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codeName="ThisWorkbook" defaultThemeVersion="166925"/>
  <mc:AlternateContent xmlns:mc="http://schemas.openxmlformats.org/markup-compatibility/2006">
    <mc:Choice Requires="x15">
      <x15ac:absPath xmlns:x15ac="http://schemas.microsoft.com/office/spreadsheetml/2010/11/ac" url="C:\Users\tops\Desktop\Data Analytics\module 3\"/>
    </mc:Choice>
  </mc:AlternateContent>
  <xr:revisionPtr revIDLastSave="0" documentId="13_ncr:80001_{EF18A36A-E021-42DE-AFB6-39C00B404CA4}" xr6:coauthVersionLast="36" xr6:coauthVersionMax="36" xr10:uidLastSave="{00000000-0000-0000-0000-000000000000}"/>
  <bookViews>
    <workbookView xWindow="0" yWindow="0" windowWidth="20490" windowHeight="7545" tabRatio="596" firstSheet="739" activeTab="743"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9" r:id="rId753"/>
  </pivotCaches>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897" l="1"/>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15" i="875" s="1"/>
  <c r="C6" i="875"/>
  <c r="C7" i="875"/>
  <c r="C8" i="875"/>
  <c r="C9" i="875"/>
  <c r="C10" i="875"/>
  <c r="C11" i="875"/>
  <c r="C2" i="875"/>
  <c r="C14" i="875" s="1"/>
  <c r="E8" i="873"/>
  <c r="C8" i="872"/>
  <c r="B8" i="868"/>
  <c r="B7" i="868"/>
  <c r="F3" i="875" l="1"/>
  <c r="F7" i="875"/>
  <c r="F11" i="875"/>
  <c r="F4" i="875"/>
  <c r="F8" i="875"/>
  <c r="F12" i="875"/>
  <c r="F6" i="875"/>
  <c r="F5" i="875"/>
  <c r="F9" i="875"/>
  <c r="F2" i="875"/>
  <c r="F10" i="875"/>
  <c r="G4" i="867"/>
  <c r="G5" i="867"/>
  <c r="G6" i="867"/>
  <c r="G3" i="867"/>
  <c r="F4" i="867"/>
  <c r="F5" i="867"/>
  <c r="F6" i="867"/>
  <c r="F3" i="867"/>
  <c r="E4" i="850" l="1"/>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6" i="842"/>
  <c r="D10" i="842"/>
  <c r="D14" i="842"/>
  <c r="B7" i="842"/>
  <c r="D7" i="842" s="1"/>
  <c r="B8" i="842"/>
  <c r="D8" i="842" s="1"/>
  <c r="B9" i="842"/>
  <c r="D9" i="842" s="1"/>
  <c r="B10" i="842"/>
  <c r="B11" i="842"/>
  <c r="D11" i="842" s="1"/>
  <c r="B12" i="842"/>
  <c r="D12" i="842" s="1"/>
  <c r="B13" i="842"/>
  <c r="D13" i="842" s="1"/>
  <c r="B14" i="842"/>
  <c r="B15" i="842"/>
  <c r="D15" i="842" s="1"/>
  <c r="B6" i="842"/>
  <c r="D7" i="841" l="1"/>
  <c r="D5" i="841"/>
  <c r="D9" i="841" s="1"/>
  <c r="B6" i="839"/>
  <c r="C6" i="839"/>
  <c r="D6" i="839" s="1"/>
  <c r="B7" i="839"/>
  <c r="D7" i="839" s="1"/>
  <c r="C7" i="839"/>
  <c r="B8" i="839"/>
  <c r="C8" i="839"/>
  <c r="B9" i="839"/>
  <c r="D9" i="839" s="1"/>
  <c r="C9" i="839"/>
  <c r="B10" i="839"/>
  <c r="C10" i="839"/>
  <c r="B11" i="839"/>
  <c r="C11" i="839"/>
  <c r="D11" i="839"/>
  <c r="B12" i="839"/>
  <c r="C12" i="839"/>
  <c r="D12" i="839" s="1"/>
  <c r="B13" i="839"/>
  <c r="D13" i="839" s="1"/>
  <c r="C13" i="839"/>
  <c r="B14" i="839"/>
  <c r="C14" i="839"/>
  <c r="B15" i="839"/>
  <c r="D15" i="839" s="1"/>
  <c r="C15" i="839"/>
  <c r="D14" i="839" l="1"/>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H5" i="795" l="1"/>
  <c r="H6" i="795"/>
  <c r="H9" i="795"/>
  <c r="H10" i="795"/>
  <c r="G3" i="795"/>
  <c r="H3" i="795" s="1"/>
  <c r="G4" i="795"/>
  <c r="H4" i="795" s="1"/>
  <c r="G5" i="795"/>
  <c r="G6" i="795"/>
  <c r="G7" i="795"/>
  <c r="H7" i="795" s="1"/>
  <c r="G8" i="795"/>
  <c r="H8" i="795" s="1"/>
  <c r="G9" i="795"/>
  <c r="G10" i="795"/>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E6" i="789"/>
  <c r="E3" i="789"/>
  <c r="C3" i="789"/>
  <c r="C4" i="789"/>
  <c r="E4" i="789" s="1"/>
  <c r="C5" i="789"/>
  <c r="E5" i="789" s="1"/>
  <c r="C6" i="789"/>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7" i="749"/>
  <c r="I8" i="749" s="1"/>
  <c r="I5" i="749"/>
  <c r="C12" i="748" l="1"/>
  <c r="C11" i="748"/>
  <c r="C10" i="748"/>
  <c r="E4" i="746"/>
  <c r="E7" i="746" s="1"/>
  <c r="E3" i="746"/>
  <c r="E8" i="746" l="1"/>
  <c r="C14" i="709"/>
  <c r="D9" i="711" l="1"/>
  <c r="D8" i="711"/>
  <c r="B8" i="707"/>
  <c r="B13" i="710"/>
  <c r="F5" i="708"/>
  <c r="F6" i="708" s="1"/>
  <c r="F4" i="708"/>
  <c r="F3" i="708"/>
  <c r="N10" i="708"/>
  <c r="N9" i="708"/>
  <c r="N8" i="708"/>
  <c r="F9" i="708" l="1"/>
  <c r="F10" i="708" s="1"/>
  <c r="F7" i="708"/>
  <c r="N12" i="708"/>
  <c r="N14" i="708"/>
  <c r="N11" i="708"/>
  <c r="N15" i="708" l="1"/>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B10" i="624" s="1"/>
  <c r="B12" i="624" s="1"/>
  <c r="L12" i="623"/>
  <c r="L13" i="623" s="1"/>
  <c r="E5" i="623"/>
  <c r="E6" i="623"/>
  <c r="E7" i="623"/>
  <c r="E8" i="623"/>
  <c r="C9" i="623"/>
  <c r="D9" i="623"/>
  <c r="E4" i="623"/>
  <c r="B9" i="623"/>
  <c r="B11" i="618"/>
  <c r="D4" i="618"/>
  <c r="D5" i="618"/>
  <c r="D6" i="618"/>
  <c r="D7" i="618"/>
  <c r="D3" i="618"/>
  <c r="B10" i="618" s="1"/>
  <c r="B12" i="618" s="1"/>
  <c r="E9" i="623" l="1"/>
  <c r="B14" i="623"/>
  <c r="C16" i="623"/>
  <c r="H16" i="623" s="1"/>
  <c r="B28" i="619"/>
  <c r="D27" i="619"/>
  <c r="C9" i="620"/>
  <c r="B9" i="620"/>
  <c r="D8" i="620"/>
  <c r="D7" i="620"/>
  <c r="D6" i="620"/>
  <c r="D5" i="620"/>
  <c r="D4" i="620"/>
  <c r="D5" i="619"/>
  <c r="D6" i="619"/>
  <c r="D7" i="619"/>
  <c r="D8" i="619"/>
  <c r="D4" i="619"/>
  <c r="C9" i="619"/>
  <c r="B9" i="619"/>
  <c r="G14" i="623" l="1"/>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G6" i="607"/>
  <c r="G7" i="607"/>
  <c r="G10" i="607"/>
  <c r="G11" i="607"/>
  <c r="G4" i="607"/>
  <c r="E4" i="607"/>
  <c r="H5" i="607" s="1"/>
  <c r="D4" i="607"/>
  <c r="G8" i="607" s="1"/>
  <c r="B15" i="605"/>
  <c r="B13" i="603"/>
  <c r="G13" i="607" l="1"/>
  <c r="G9" i="607"/>
  <c r="I9" i="607" s="1"/>
  <c r="G5" i="607"/>
  <c r="I5" i="607" s="1"/>
  <c r="H11" i="607"/>
  <c r="I11" i="607" s="1"/>
  <c r="H7" i="607"/>
  <c r="I7" i="607" s="1"/>
  <c r="H12" i="607"/>
  <c r="H8" i="607"/>
  <c r="I8" i="607" s="1"/>
  <c r="G12" i="607"/>
  <c r="H4" i="607"/>
  <c r="I4" i="607" s="1"/>
  <c r="H10" i="607"/>
  <c r="I10" i="607" s="1"/>
  <c r="H6" i="607"/>
  <c r="I6" i="607" s="1"/>
  <c r="H13" i="607"/>
  <c r="H9" i="607"/>
  <c r="J4" i="599"/>
  <c r="I13" i="607" l="1"/>
  <c r="I12" i="607"/>
  <c r="K3" i="607" s="1"/>
  <c r="J4" i="601"/>
  <c r="H10" i="598"/>
  <c r="M4" i="597" l="1"/>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8" i="546"/>
  <c r="L4" i="546"/>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C4" i="531" s="1"/>
  <c r="E9" i="528"/>
  <c r="E10" i="528"/>
  <c r="C3" i="531" l="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D2" i="494"/>
  <c r="E2" i="494"/>
  <c r="F2" i="494"/>
  <c r="C3" i="494"/>
  <c r="D3" i="494"/>
  <c r="E3" i="494"/>
  <c r="F3" i="494"/>
  <c r="C4" i="494"/>
  <c r="D4" i="494"/>
  <c r="E4" i="494"/>
  <c r="F4" i="494"/>
  <c r="C5" i="494"/>
  <c r="D5" i="494"/>
  <c r="E5" i="494"/>
  <c r="F5" i="494"/>
  <c r="C6" i="494"/>
  <c r="D6" i="494"/>
  <c r="E6" i="494"/>
  <c r="F6" i="494"/>
  <c r="C7" i="494"/>
  <c r="D7" i="494"/>
  <c r="E7" i="494"/>
  <c r="F7" i="494"/>
  <c r="C8" i="494"/>
  <c r="D8" i="494"/>
  <c r="E8" i="494"/>
  <c r="F8" i="494"/>
  <c r="C9" i="494"/>
  <c r="D9" i="494"/>
  <c r="E9" i="494"/>
  <c r="F9" i="494"/>
  <c r="C10" i="494"/>
  <c r="D10" i="494"/>
  <c r="E10" i="494"/>
  <c r="F10" i="494"/>
  <c r="C11" i="494"/>
  <c r="D11" i="494"/>
  <c r="E11" i="494"/>
  <c r="F11" i="494"/>
  <c r="F13" i="494" s="1"/>
  <c r="C12" i="494"/>
  <c r="D12" i="494"/>
  <c r="E12" i="494"/>
  <c r="F12" i="494"/>
  <c r="D13" i="494"/>
  <c r="E13" i="494"/>
  <c r="C14" i="494"/>
  <c r="D14" i="494"/>
  <c r="E14" i="494"/>
  <c r="F14" i="494"/>
  <c r="C15" i="494"/>
  <c r="D15" i="494"/>
  <c r="E15" i="494"/>
  <c r="F15" i="494"/>
  <c r="C16" i="494"/>
  <c r="D16" i="494"/>
  <c r="E16" i="494"/>
  <c r="F16" i="494"/>
  <c r="C17" i="494"/>
  <c r="D17" i="494"/>
  <c r="E17" i="494"/>
  <c r="F17" i="494"/>
  <c r="C18" i="494"/>
  <c r="D18" i="494"/>
  <c r="E18" i="494"/>
  <c r="F18" i="494"/>
  <c r="C19" i="494"/>
  <c r="D19" i="494"/>
  <c r="E19" i="494"/>
  <c r="F19" i="494"/>
  <c r="C20" i="494"/>
  <c r="D20" i="494"/>
  <c r="E20" i="494"/>
  <c r="F20" i="494"/>
  <c r="C21" i="494"/>
  <c r="D21" i="494"/>
  <c r="E21" i="494"/>
  <c r="F21" i="494"/>
  <c r="C22" i="494"/>
  <c r="D22" i="494"/>
  <c r="E22" i="494"/>
  <c r="F22" i="494"/>
  <c r="C23" i="494"/>
  <c r="D23" i="494"/>
  <c r="E23" i="494"/>
  <c r="F23" i="494"/>
  <c r="C24" i="494"/>
  <c r="D24" i="494"/>
  <c r="E24" i="494"/>
  <c r="F24" i="494"/>
  <c r="C25" i="494"/>
  <c r="D25" i="494"/>
  <c r="E25" i="494"/>
  <c r="F25" i="494"/>
  <c r="C26" i="494"/>
  <c r="D26" i="494"/>
  <c r="E26" i="494"/>
  <c r="F26" i="494"/>
  <c r="C27" i="494"/>
  <c r="D27" i="494"/>
  <c r="E27" i="494"/>
  <c r="F27" i="494"/>
  <c r="C28" i="494"/>
  <c r="D28" i="494"/>
  <c r="E28" i="494"/>
  <c r="F28" i="494"/>
  <c r="C29" i="494"/>
  <c r="D29" i="494"/>
  <c r="E29" i="494"/>
  <c r="F29" i="494"/>
  <c r="C30" i="494"/>
  <c r="D30" i="494"/>
  <c r="E30" i="494"/>
  <c r="F30" i="494"/>
  <c r="C31" i="494"/>
  <c r="D31" i="494"/>
  <c r="E31" i="494"/>
  <c r="F31" i="494"/>
  <c r="C13" i="494" l="1"/>
  <c r="C2" i="488"/>
  <c r="D2" i="488"/>
  <c r="E2" i="488"/>
  <c r="E5" i="488" s="1"/>
  <c r="F2" i="488"/>
  <c r="C3" i="488"/>
  <c r="D3" i="488"/>
  <c r="E3" i="488"/>
  <c r="F3" i="488"/>
  <c r="C4" i="488"/>
  <c r="D4" i="488"/>
  <c r="E4" i="488"/>
  <c r="F4" i="488"/>
  <c r="D5" i="488"/>
  <c r="F5" i="488"/>
  <c r="C6" i="488"/>
  <c r="D6" i="488"/>
  <c r="E6" i="488"/>
  <c r="F6" i="488"/>
  <c r="C7" i="488"/>
  <c r="D7" i="488"/>
  <c r="E7" i="488"/>
  <c r="F7" i="488"/>
  <c r="C8" i="488"/>
  <c r="D8" i="488"/>
  <c r="E8" i="488"/>
  <c r="F8" i="488"/>
  <c r="C9" i="488"/>
  <c r="D9" i="488"/>
  <c r="E9" i="488"/>
  <c r="F9" i="488"/>
  <c r="C10" i="488"/>
  <c r="D10" i="488"/>
  <c r="E10" i="488"/>
  <c r="F10" i="488"/>
  <c r="C11" i="488"/>
  <c r="D11" i="488"/>
  <c r="E11" i="488"/>
  <c r="F11" i="488"/>
  <c r="C12" i="488"/>
  <c r="D12" i="488"/>
  <c r="E12" i="488"/>
  <c r="F12" i="488"/>
  <c r="F13" i="488" s="1"/>
  <c r="C13" i="488"/>
  <c r="D13" i="488"/>
  <c r="E13" i="488"/>
  <c r="C5" i="488" l="1"/>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B11" i="448" s="1"/>
  <c r="G8" i="448"/>
  <c r="H8" i="448"/>
  <c r="G5" i="448"/>
  <c r="G3" i="439"/>
  <c r="F2" i="438"/>
  <c r="F2" i="437"/>
  <c r="B14" i="436" l="1"/>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E3" i="408" s="1"/>
  <c r="C4" i="407"/>
  <c r="B7" i="407"/>
  <c r="E3" i="406"/>
  <c r="B9" i="406"/>
  <c r="E2" i="403"/>
  <c r="C7" i="403"/>
  <c r="B2" i="388" l="1"/>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D13" i="365"/>
  <c r="A11" i="363" a="1"/>
  <c r="A11" i="363" s="1"/>
  <c r="C13" i="365" l="1"/>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C6" i="239"/>
  <c r="B6" i="239"/>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B14" i="234" s="1"/>
  <c r="E11" i="234"/>
  <c r="I11" i="234"/>
  <c r="F11" i="234"/>
  <c r="C11" i="234"/>
  <c r="G11" i="234"/>
  <c r="G5" i="232"/>
  <c r="F5" i="232"/>
  <c r="D6" i="227"/>
  <c r="D5" i="227"/>
  <c r="D4" i="227"/>
  <c r="D3" i="227"/>
  <c r="B3" i="229" l="1"/>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H4" i="113" s="1"/>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G5" i="113" l="1"/>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B3" i="32" s="1"/>
  <c r="C3" i="32"/>
  <c r="C4" i="32"/>
  <c r="C5" i="32"/>
  <c r="C6" i="32"/>
  <c r="C7" i="32"/>
  <c r="C8" i="32"/>
  <c r="C9" i="32"/>
  <c r="C10" i="32"/>
  <c r="C11" i="32"/>
  <c r="C12" i="32"/>
  <c r="C13" i="32"/>
  <c r="C14" i="32"/>
  <c r="C2" i="32"/>
  <c r="B4" i="32" l="1"/>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c r="H3" i="11" a="1"/>
  <c r="D3" i="11"/>
  <c r="D2" i="11"/>
  <c r="H2" i="11" s="1"/>
  <c r="B15" i="10" a="1"/>
  <c r="B15" i="10" s="1"/>
  <c r="D4" i="8"/>
  <c r="D2" i="8" a="1"/>
  <c r="D5" i="8" s="1"/>
  <c r="A9" i="6"/>
  <c r="A8" i="6"/>
  <c r="A7" i="6"/>
  <c r="A6" i="6"/>
  <c r="A5" i="6"/>
  <c r="A4" i="6"/>
  <c r="A3" i="6"/>
  <c r="A2" i="6"/>
  <c r="C6" i="5"/>
  <c r="C5" i="5"/>
  <c r="C4" i="5"/>
  <c r="C3" i="5"/>
  <c r="C2" i="5"/>
  <c r="D2" i="8" l="1"/>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<sst xmlns="http://schemas.openxmlformats.org/spreadsheetml/2006/main" count="9770" uniqueCount="5464">
  <si>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</si>
  <si>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</si>
  <si>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</si>
  <si>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</si>
  <si>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</si>
  <si>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</si>
  <si>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</si>
  <si>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</si>
  <si>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</si>
  <si>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</si>
  <si>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</si>
  <si>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</si>
  <si>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</si>
  <si>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</si>
  <si>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</si>
  <si>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</si>
  <si>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</si>
  <si>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</si>
  <si>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</si>
  <si>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</si>
  <si>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</si>
  <si>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</si>
  <si>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</si>
  <si>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</si>
  <si>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</si>
  <si>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</si>
  <si>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</si>
  <si>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</si>
  <si>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</si>
  <si>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</si>
  <si>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</si>
  <si>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</si>
  <si>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</si>
  <si>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</si>
  <si>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</si>
  <si>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</si>
  <si>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</si>
  <si>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</si>
  <si>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</si>
  <si>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</si>
  <si>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</si>
  <si>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</si>
  <si>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</si>
  <si>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</si>
  <si>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</si>
  <si>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</si>
  <si>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</si>
  <si>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</si>
  <si>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</si>
  <si>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</si>
  <si>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</si>
  <si>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</si>
  <si>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</si>
  <si>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</si>
  <si>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</si>
  <si>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</si>
  <si>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</si>
  <si>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</si>
  <si>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</si>
  <si>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</si>
  <si>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</si>
  <si>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</si>
  <si>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</si>
  <si>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</si>
  <si>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</si>
  <si>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</si>
  <si>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</si>
  <si>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</si>
  <si>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</si>
  <si>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</si>
  <si>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</si>
  <si>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</si>
  <si>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</si>
  <si>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</si>
  <si>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</si>
  <si>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</si>
  <si>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</si>
  <si>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</si>
  <si>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</si>
  <si>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</si>
  <si>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</si>
  <si>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</si>
  <si>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</si>
  <si>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</si>
  <si>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</si>
  <si>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</si>
  <si>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</si>
  <si>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</si>
  <si>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</si>
  <si>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</si>
  <si>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</si>
  <si>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</si>
  <si>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</si>
  <si>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</si>
  <si>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</si>
  <si>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</si>
  <si>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</si>
  <si>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</si>
  <si>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</si>
  <si>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</si>
  <si>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</si>
  <si>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</si>
  <si>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</si>
  <si>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</si>
  <si>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</si>
  <si>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</si>
  <si>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</si>
  <si>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</si>
  <si>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</si>
  <si>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</si>
  <si>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</si>
  <si>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</si>
  <si>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</si>
  <si>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</si>
  <si>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</si>
  <si>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</si>
  <si>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</si>
  <si>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</si>
  <si>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</si>
  <si>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</si>
  <si>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</si>
  <si>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</si>
  <si>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</si>
  <si>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</si>
  <si>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</si>
  <si>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</si>
  <si>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</si>
  <si>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</si>
  <si>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</si>
  <si>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</si>
  <si>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</si>
  <si>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</si>
  <si>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</si>
  <si>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</si>
  <si>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</si>
  <si>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</si>
  <si>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</si>
  <si>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</si>
  <si>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</si>
  <si>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</si>
  <si>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</si>
  <si>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</si>
  <si>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</si>
  <si>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</si>
  <si>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</si>
  <si>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</si>
  <si>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</si>
  <si>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</si>
  <si>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</si>
  <si>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</si>
  <si>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</si>
  <si>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</si>
  <si>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</si>
  <si>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</si>
  <si>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</si>
  <si>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</si>
  <si>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</si>
  <si>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</si>
  <si>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</si>
  <si>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</si>
  <si>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</si>
  <si>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</si>
  <si>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</si>
  <si>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</si>
  <si>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</si>
  <si>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</si>
  <si>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</si>
  <si>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</si>
  <si>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</si>
  <si>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</si>
  <si>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</si>
  <si>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</si>
  <si>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</si>
  <si>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</si>
  <si>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</si>
  <si>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</si>
  <si>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</si>
  <si>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</si>
  <si>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</si>
  <si>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</si>
  <si>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</si>
  <si>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</si>
  <si>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</si>
  <si>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</si>
  <si>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</si>
  <si>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</si>
  <si>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</si>
  <si>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</si>
  <si>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</si>
  <si>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</si>
  <si>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</si>
  <si>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</si>
  <si>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</si>
  <si>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</si>
  <si>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</si>
  <si>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</si>
  <si>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</si>
  <si>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</si>
  <si>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</si>
  <si>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</si>
  <si>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</si>
  <si>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</si>
  <si>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</si>
  <si>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</si>
  <si>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</si>
  <si>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</si>
  <si>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</si>
  <si>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</si>
  <si>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</si>
  <si>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</si>
  <si>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</si>
  <si>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</si>
  <si>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</si>
  <si>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</si>
  <si>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</si>
  <si>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</si>
  <si>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</si>
  <si>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</si>
  <si>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</si>
  <si>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</si>
  <si>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</si>
  <si>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</si>
  <si>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</si>
  <si>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</si>
  <si>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</si>
  <si>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</si>
  <si>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</si>
  <si>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</si>
  <si>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</si>
  <si>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</si>
  <si>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</si>
  <si>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</si>
  <si>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</si>
  <si>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</si>
  <si>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</si>
  <si>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</si>
  <si>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</si>
  <si>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</si>
  <si>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</si>
  <si>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</si>
  <si>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</si>
  <si>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</si>
  <si>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</si>
  <si>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</si>
  <si>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</si>
  <si>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</si>
  <si>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</si>
  <si>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</si>
  <si>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</si>
  <si>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</si>
  <si>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</si>
  <si>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</si>
  <si>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</si>
  <si>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</si>
  <si>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</si>
  <si>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</si>
  <si>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</si>
  <si>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</si>
  <si>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</si>
  <si>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</si>
  <si>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</si>
  <si>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</si>
  <si>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</si>
  <si>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</si>
  <si>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</si>
  <si>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</si>
  <si>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</si>
  <si>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</si>
  <si>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</si>
  <si>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</si>
  <si>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</si>
  <si>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</si>
  <si>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</si>
  <si>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</si>
  <si>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</si>
  <si>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</si>
  <si>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</si>
  <si>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</si>
  <si>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</si>
  <si>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</si>
  <si>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</si>
  <si>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</si>
  <si>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</si>
  <si>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</si>
  <si>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</si>
  <si>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</si>
  <si>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</si>
  <si>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</si>
  <si>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</si>
  <si>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</si>
  <si>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</si>
  <si>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</si>
  <si>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</si>
  <si>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</si>
  <si>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</si>
  <si>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</si>
  <si>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</si>
  <si>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</si>
  <si>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</si>
  <si>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</si>
  <si>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</si>
  <si>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</si>
  <si>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</si>
  <si>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</si>
  <si>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</si>
  <si>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</si>
  <si>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</si>
  <si>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</si>
  <si>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</si>
  <si>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</si>
  <si>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</si>
  <si>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</si>
  <si>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</si>
  <si>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</si>
  <si>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</si>
  <si>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</si>
  <si>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</si>
  <si>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</si>
  <si>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</si>
  <si>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</si>
  <si>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</si>
  <si>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</si>
  <si>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</si>
  <si>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</si>
  <si>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</si>
  <si>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</si>
  <si>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</si>
  <si>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</si>
  <si>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</si>
  <si>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</si>
  <si>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</si>
  <si>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</si>
  <si>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</si>
  <si>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</si>
  <si>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</si>
  <si>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</si>
  <si>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</si>
  <si>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</si>
  <si>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</si>
  <si>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</si>
  <si>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</si>
  <si>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</si>
  <si>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</si>
  <si>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</si>
  <si>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</si>
  <si>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</si>
  <si>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</si>
  <si>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</si>
  <si>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</si>
  <si>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</si>
  <si>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</si>
  <si>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</si>
  <si>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</si>
  <si>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</si>
  <si>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</si>
  <si>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</si>
  <si>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</si>
  <si>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</si>
  <si>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</si>
  <si>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</si>
  <si>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</si>
  <si>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</si>
  <si>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</si>
  <si>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</si>
  <si>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</si>
  <si>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</si>
  <si>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</si>
  <si>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</si>
  <si>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</si>
  <si>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</si>
  <si>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</si>
  <si>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</si>
  <si>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</si>
  <si>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</si>
  <si>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</si>
  <si>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</si>
  <si>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</si>
  <si>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</si>
  <si>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</si>
  <si>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</si>
  <si>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</si>
  <si>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</si>
  <si>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</si>
  <si>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</si>
  <si>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</si>
  <si>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</si>
  <si>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</si>
  <si>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</si>
  <si>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</si>
  <si>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</si>
  <si>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</si>
  <si>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</si>
  <si>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</si>
  <si>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</si>
  <si>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</si>
  <si>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</si>
  <si>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</si>
  <si>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</si>
  <si>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</si>
  <si>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</si>
  <si>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</si>
  <si>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</si>
  <si>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</si>
  <si>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</si>
  <si>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</si>
  <si>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</si>
  <si>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</si>
  <si>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</si>
  <si>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</si>
  <si>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</si>
  <si>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</si>
  <si>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</si>
  <si>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</si>
  <si>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</si>
  <si>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</si>
  <si>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</si>
  <si>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</si>
  <si>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</si>
  <si>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</si>
  <si>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</si>
  <si>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</si>
  <si>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</si>
  <si>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</si>
  <si>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</si>
  <si>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</si>
  <si>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</si>
  <si>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</si>
  <si>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</si>
  <si>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</si>
  <si>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</si>
  <si>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</si>
  <si>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</si>
  <si>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</si>
  <si>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</si>
  <si>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</si>
  <si>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</si>
  <si>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</si>
  <si>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</si>
  <si>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</si>
  <si>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</si>
  <si>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</si>
  <si>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</si>
  <si>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</si>
  <si>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</si>
  <si>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</si>
  <si>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</si>
  <si>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</si>
  <si>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</si>
  <si>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</si>
  <si>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</si>
  <si>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</si>
  <si>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</si>
  <si>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</si>
  <si>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</si>
  <si>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</si>
  <si>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</si>
  <si>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</si>
  <si>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</si>
  <si>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</si>
  <si>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</si>
  <si>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</si>
  <si>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</si>
  <si>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</si>
  <si>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</si>
  <si>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</si>
  <si>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</si>
  <si>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</si>
  <si>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</si>
  <si>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</si>
  <si>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</si>
  <si>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</si>
  <si>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</si>
  <si>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</si>
  <si>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</si>
  <si>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</si>
  <si>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</si>
  <si>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</si>
  <si>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</si>
  <si>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</si>
  <si>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</si>
  <si>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</si>
  <si>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</si>
  <si>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</si>
  <si>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</si>
  <si>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</si>
  <si>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</si>
  <si>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</si>
  <si>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</si>
  <si>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</si>
  <si>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</si>
  <si>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</si>
  <si>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</si>
  <si>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</si>
  <si>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</si>
  <si>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</si>
  <si>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</si>
  <si>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</si>
  <si>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</si>
  <si>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</si>
  <si>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</si>
  <si>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</si>
  <si>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</si>
  <si>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</si>
  <si>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</si>
  <si>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</si>
  <si>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</si>
  <si>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</si>
  <si>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</si>
  <si>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</si>
  <si>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</si>
  <si>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</si>
  <si>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</si>
  <si>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</si>
  <si>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</si>
  <si>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</si>
  <si>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</si>
  <si>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</si>
  <si>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</si>
  <si>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</si>
  <si>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</si>
  <si>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</si>
  <si>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</si>
  <si>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</si>
  <si>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</si>
  <si>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</si>
  <si>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</si>
  <si>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</si>
  <si>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</si>
  <si>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</si>
  <si>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</si>
  <si>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</si>
  <si>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</si>
  <si>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</si>
  <si>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</si>
  <si>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</si>
  <si>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</si>
  <si>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</si>
  <si>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</si>
  <si>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</si>
  <si>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</si>
  <si>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</si>
  <si>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</si>
  <si>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</si>
  <si>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</si>
  <si>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</si>
  <si>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</si>
  <si>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</si>
  <si>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</si>
  <si>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</si>
  <si>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</si>
  <si>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</si>
  <si>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</si>
  <si>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</si>
  <si>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</si>
  <si>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</si>
  <si>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</si>
  <si>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</si>
  <si>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</si>
  <si>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</si>
  <si>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</si>
  <si>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</si>
  <si>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</si>
  <si>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</si>
  <si>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</si>
  <si>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</si>
  <si>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</si>
  <si>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</si>
  <si>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</si>
  <si>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</si>
  <si>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</si>
  <si>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</si>
  <si>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</si>
  <si>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</si>
  <si>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</si>
  <si>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</si>
  <si>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</si>
  <si>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</si>
  <si>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</si>
  <si>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</si>
  <si>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</si>
  <si>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</si>
  <si>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</si>
  <si>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</si>
  <si>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</si>
  <si>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</si>
  <si>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</si>
  <si>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</si>
  <si>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</si>
  <si>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</si>
  <si>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</si>
  <si>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</si>
  <si>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</si>
  <si>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</si>
  <si>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</si>
  <si>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</si>
  <si>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</si>
  <si>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</si>
  <si>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</si>
  <si>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</si>
  <si>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</si>
  <si>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</si>
  <si>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</si>
  <si>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</si>
  <si>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</si>
  <si>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</si>
  <si>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</si>
  <si>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</si>
  <si>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</si>
  <si>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</si>
  <si>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</si>
  <si>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</si>
  <si>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</si>
  <si>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</si>
  <si>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</si>
  <si>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</si>
  <si>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</si>
  <si>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</si>
  <si>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</si>
  <si>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</si>
  <si>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</si>
  <si>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</si>
  <si>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</si>
  <si>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</si>
  <si>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</si>
  <si>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</si>
  <si>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</si>
  <si>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</si>
  <si>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</si>
  <si>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</si>
  <si>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</si>
  <si>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</si>
  <si>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</si>
  <si>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</si>
  <si>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</si>
  <si>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</si>
  <si>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</si>
  <si>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</si>
  <si>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</si>
  <si>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</si>
  <si>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</si>
  <si>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</si>
  <si>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</si>
  <si>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</si>
  <si>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</si>
  <si>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</si>
  <si>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</si>
  <si>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</si>
  <si>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</si>
  <si>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</si>
  <si>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</si>
  <si>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</si>
  <si>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</si>
  <si>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</si>
  <si>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</si>
  <si>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</si>
  <si>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</si>
  <si>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</si>
  <si>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</si>
  <si>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</si>
  <si>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</si>
  <si>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</si>
  <si>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</si>
  <si>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</si>
  <si>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</si>
  <si>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</si>
  <si>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</si>
  <si>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</si>
  <si>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</si>
  <si>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</si>
  <si>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</si>
  <si>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</si>
  <si>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</si>
  <si>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</si>
  <si>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</si>
  <si>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</si>
  <si>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</si>
  <si>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</si>
  <si>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</si>
  <si>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</si>
  <si>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</si>
  <si>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</si>
  <si>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</si>
  <si>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</si>
  <si>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</si>
  <si>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</si>
  <si>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</si>
  <si>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</si>
  <si>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</si>
  <si>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</si>
  <si>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</si>
  <si>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</si>
  <si>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</si>
  <si>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</si>
  <si>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</si>
  <si>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</si>
  <si>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</si>
  <si>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</si>
  <si>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</si>
  <si>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</si>
  <si>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</si>
  <si>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</si>
  <si>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</si>
  <si>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</si>
  <si>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</si>
  <si>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</si>
  <si>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</si>
  <si>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</si>
  <si>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</si>
  <si>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</si>
  <si>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</si>
  <si>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</si>
  <si>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</si>
  <si>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</si>
  <si>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</si>
  <si>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</si>
  <si>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</si>
  <si>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</si>
  <si>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</si>
  <si>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</si>
  <si>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</si>
  <si>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</si>
  <si>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</si>
  <si>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</si>
  <si>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</si>
  <si>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</si>
  <si>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</si>
  <si>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</si>
  <si>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</si>
  <si>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</si>
  <si>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</si>
  <si>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</si>
  <si>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</si>
  <si>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</si>
  <si>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</si>
  <si>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</si>
  <si>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</si>
  <si>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</si>
  <si>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</si>
  <si>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</si>
  <si>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</si>
  <si>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</si>
  <si>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</si>
  <si>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</si>
  <si>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</si>
  <si>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</si>
  <si>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</si>
  <si>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</si>
  <si>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</si>
  <si>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</si>
  <si>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</si>
  <si>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</si>
  <si>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</si>
  <si>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</si>
  <si>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</si>
  <si>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</si>
  <si>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</si>
  <si>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</si>
  <si>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</si>
  <si>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</si>
  <si>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</si>
  <si>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</si>
  <si>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</si>
  <si>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</si>
  <si>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</si>
  <si>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</si>
  <si>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</si>
  <si>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</si>
  <si>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</si>
  <si>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</si>
  <si>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</si>
  <si>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</si>
  <si>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</si>
  <si>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</si>
  <si>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</si>
  <si>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</si>
  <si>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</si>
  <si>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</si>
  <si>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</si>
  <si>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</si>
  <si>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</si>
  <si>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</si>
  <si>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</si>
  <si>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</si>
  <si>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</si>
  <si>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</si>
  <si>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</si>
  <si>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</si>
  <si>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</si>
  <si>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</si>
  <si>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</si>
  <si>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</si>
  <si>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</si>
  <si>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</si>
  <si>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</si>
  <si>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</si>
  <si>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</si>
  <si>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</si>
  <si>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</si>
  <si>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</si>
  <si>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</si>
  <si>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</si>
  <si>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</si>
  <si>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</si>
  <si>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</si>
  <si>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</si>
  <si>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</si>
  <si>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</si>
  <si>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</si>
  <si>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</si>
  <si>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</si>
  <si>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</si>
  <si>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</si>
  <si>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</si>
  <si>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</si>
  <si>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</si>
  <si>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</si>
  <si>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</si>
  <si>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</si>
  <si>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</si>
  <si>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</si>
  <si>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</si>
  <si>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</si>
  <si>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</si>
  <si>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</si>
  <si>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</si>
  <si>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</si>
  <si>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</si>
  <si>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</si>
  <si>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</si>
  <si>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</si>
  <si>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</si>
  <si>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</si>
  <si>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</si>
  <si>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</si>
  <si>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</si>
  <si>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</si>
  <si>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</si>
  <si>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</si>
  <si>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</si>
  <si>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</si>
  <si>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</si>
  <si>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</si>
  <si>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</si>
  <si>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</si>
  <si>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</si>
  <si>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</si>
  <si>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</si>
  <si>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</si>
  <si>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</si>
  <si>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</si>
  <si>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</si>
  <si>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</si>
  <si>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</si>
  <si>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</si>
  <si>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</si>
  <si>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</si>
  <si>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</si>
  <si>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</si>
  <si>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</si>
  <si>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</si>
  <si>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</si>
  <si>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</si>
  <si>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</si>
  <si>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</si>
  <si>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</si>
  <si>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</si>
  <si>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</si>
  <si>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</si>
  <si>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</si>
  <si>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</si>
  <si>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</si>
  <si>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</si>
  <si>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</si>
  <si>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</si>
  <si>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</si>
  <si>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</si>
  <si>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</si>
  <si>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</si>
  <si>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</si>
  <si>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</si>
  <si>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</si>
  <si>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</si>
  <si>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</si>
  <si>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</si>
  <si>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</si>
  <si>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</si>
  <si>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</si>
  <si>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</si>
  <si>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</si>
  <si>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</si>
  <si>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</si>
  <si>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</si>
  <si>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</si>
  <si>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</si>
  <si>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</si>
  <si>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</si>
  <si>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</si>
  <si>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</si>
  <si>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</si>
  <si>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</si>
  <si>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</si>
  <si>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</si>
  <si>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</si>
  <si>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</si>
  <si>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</si>
  <si>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</si>
  <si>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</si>
  <si>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</si>
  <si>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</si>
  <si>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</si>
  <si>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</si>
  <si>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</si>
  <si>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</si>
  <si>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</si>
  <si>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</si>
  <si>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</si>
  <si>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</si>
  <si>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</si>
  <si>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</si>
  <si>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</si>
  <si>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</si>
  <si>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</si>
  <si>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</si>
  <si>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</si>
  <si>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</si>
  <si>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</si>
  <si>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</si>
  <si>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</si>
  <si>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</si>
  <si>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</si>
  <si>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</si>
  <si>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</si>
  <si>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</si>
  <si>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</si>
  <si>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</si>
  <si>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</si>
  <si>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</si>
  <si>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</si>
  <si>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</si>
  <si>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</si>
  <si>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</si>
  <si>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</si>
  <si>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</si>
  <si>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</si>
  <si>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</si>
  <si>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</si>
  <si>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</si>
  <si>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</si>
  <si>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</si>
  <si>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</si>
  <si>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</si>
  <si>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</si>
  <si>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</si>
  <si>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</si>
  <si>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</si>
  <si>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</si>
  <si>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</si>
  <si>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</si>
  <si>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</si>
  <si>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</si>
  <si>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</si>
  <si>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</si>
  <si>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</si>
  <si>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</si>
  <si>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</si>
  <si>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</si>
  <si>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</si>
  <si>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</si>
  <si>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</si>
  <si>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</si>
  <si>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</si>
  <si>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</si>
  <si>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</si>
  <si>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</si>
  <si>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</si>
  <si>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</si>
  <si>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</si>
  <si>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</si>
  <si>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</si>
  <si>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</si>
  <si>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</si>
  <si>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</si>
  <si>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</si>
  <si>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</si>
  <si>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</si>
  <si>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</si>
  <si>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</si>
  <si>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</si>
  <si>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</si>
  <si>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</si>
  <si>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</si>
  <si>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</si>
  <si>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</si>
  <si>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</si>
  <si>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</si>
  <si>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</si>
  <si>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</si>
  <si>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</si>
  <si>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</si>
  <si>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</si>
  <si>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</si>
  <si>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</si>
  <si>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</si>
  <si>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</si>
  <si>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</si>
  <si>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</si>
  <si>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</si>
  <si>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</si>
  <si>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</si>
  <si>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</si>
  <si>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</si>
  <si>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</si>
  <si>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</si>
  <si>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</si>
  <si>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</si>
  <si>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</si>
  <si>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</si>
  <si>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</si>
  <si>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</si>
  <si>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</si>
  <si>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</si>
  <si>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</si>
  <si>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</si>
  <si>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</si>
  <si>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</si>
  <si>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</si>
  <si>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</si>
  <si>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</si>
  <si>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</si>
  <si>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</si>
  <si>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</si>
  <si>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</si>
  <si>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</si>
  <si>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</si>
  <si>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</si>
  <si>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</si>
  <si>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</si>
  <si>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</si>
  <si>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</si>
  <si>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</si>
  <si>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</si>
  <si>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</si>
  <si>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</si>
  <si>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</si>
  <si>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</si>
  <si>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</si>
  <si>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</si>
  <si>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</si>
  <si>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</si>
  <si>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</si>
  <si>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</si>
  <si>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</si>
  <si>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</si>
  <si>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</si>
  <si>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</si>
  <si>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</si>
  <si>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</si>
  <si>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</si>
  <si>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</si>
  <si>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</si>
  <si>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</si>
  <si>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</si>
  <si>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</si>
  <si>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</si>
  <si>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</si>
  <si>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</si>
  <si>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</si>
  <si>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</si>
  <si>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</si>
  <si>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</si>
  <si>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</si>
  <si>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</si>
  <si>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</si>
  <si>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</si>
  <si>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</si>
  <si>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</si>
  <si>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</si>
  <si>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</si>
  <si>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</si>
  <si>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</si>
  <si>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</si>
  <si>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</si>
  <si>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</si>
  <si>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</si>
  <si>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</si>
  <si>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</si>
  <si>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</si>
  <si>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</si>
  <si>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</si>
  <si>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</si>
  <si>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</si>
  <si>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</si>
  <si>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</si>
  <si>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</si>
  <si>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</si>
  <si>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</si>
  <si>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</si>
  <si>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</si>
  <si>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</si>
  <si>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</si>
  <si>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</si>
  <si>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</si>
  <si>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</si>
  <si>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</si>
  <si>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</si>
  <si>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</si>
  <si>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</si>
  <si>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</si>
  <si>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</si>
  <si>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</si>
  <si>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</si>
  <si>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</si>
  <si>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</si>
  <si>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</si>
  <si>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</si>
  <si>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</si>
  <si>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</si>
  <si>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</si>
  <si>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</si>
  <si>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</si>
  <si>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</si>
  <si>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</si>
  <si>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</si>
  <si>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</si>
  <si>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</si>
  <si>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</si>
  <si>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</si>
  <si>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</si>
  <si>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</si>
  <si>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</si>
  <si>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</si>
  <si>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</si>
  <si>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</si>
  <si>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</si>
  <si>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</si>
  <si>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</si>
  <si>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</si>
  <si>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</si>
  <si>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</si>
  <si>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</si>
  <si>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</si>
  <si>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</si>
  <si>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</si>
  <si>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</si>
  <si>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</si>
  <si>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</si>
  <si>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</si>
  <si>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</si>
  <si>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</si>
  <si>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</si>
  <si>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</si>
  <si>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</si>
  <si>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</si>
  <si>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</si>
  <si>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</si>
  <si>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</si>
  <si>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</si>
  <si>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</si>
  <si>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</si>
  <si>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</si>
  <si>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</si>
  <si>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</si>
  <si>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</si>
  <si>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</si>
  <si>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</si>
  <si>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</si>
  <si>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</si>
  <si>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</si>
  <si>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</si>
  <si>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</si>
  <si>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</si>
  <si>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</si>
  <si>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</si>
  <si>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</si>
  <si>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</si>
  <si>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</si>
  <si>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</si>
  <si>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</si>
  <si>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</si>
  <si>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</si>
  <si>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</si>
  <si>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</si>
  <si>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</si>
  <si>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</si>
  <si>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</si>
  <si>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</si>
  <si>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</si>
  <si>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</si>
  <si>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</si>
  <si>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</si>
  <si>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</si>
  <si>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</si>
  <si>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</si>
  <si>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</si>
  <si>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</si>
  <si>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</si>
  <si>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</si>
  <si>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</si>
  <si>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</si>
  <si>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</si>
  <si>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</si>
  <si>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</si>
  <si>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</si>
  <si>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</si>
  <si>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</si>
  <si>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</si>
  <si>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</si>
  <si>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</si>
  <si>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</si>
  <si>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</si>
  <si>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</si>
  <si>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</si>
  <si>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</si>
  <si>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</si>
  <si>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</si>
  <si>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</si>
  <si>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</si>
  <si>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</si>
  <si>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</si>
  <si>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</si>
  <si>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</si>
  <si>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</si>
  <si>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</si>
  <si>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</si>
  <si>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</si>
  <si>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</si>
  <si>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</si>
  <si>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</si>
  <si>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</si>
  <si>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</si>
  <si>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</si>
  <si>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</si>
  <si>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</si>
  <si>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</si>
  <si>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</si>
  <si>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</si>
  <si>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</si>
  <si>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</si>
  <si>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</si>
  <si>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</si>
  <si>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</si>
  <si>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</si>
  <si>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</si>
  <si>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</si>
  <si>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</si>
  <si>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</si>
  <si>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</si>
  <si>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</si>
  <si>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</si>
  <si>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</si>
  <si>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</si>
  <si>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</si>
  <si>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</si>
  <si>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</si>
  <si>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</si>
  <si>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</si>
  <si>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</si>
  <si>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</si>
  <si>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</si>
  <si>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</si>
  <si>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</si>
  <si>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</si>
  <si>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</si>
  <si>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</si>
  <si>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</si>
  <si>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</si>
  <si>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</si>
  <si>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</si>
  <si>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</si>
  <si>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</si>
  <si>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</si>
  <si>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</si>
  <si>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</si>
  <si>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</si>
  <si>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</si>
  <si>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</si>
  <si>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</si>
  <si>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</si>
  <si>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</si>
  <si>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</si>
  <si>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</si>
  <si>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</si>
  <si>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</si>
  <si>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</si>
  <si>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</si>
  <si>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</si>
  <si>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</si>
  <si>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</si>
  <si>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</si>
  <si>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</si>
  <si>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</si>
  <si>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</si>
  <si>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</si>
  <si>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</si>
  <si>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</si>
  <si>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</si>
  <si>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</si>
  <si>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</si>
  <si>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</si>
  <si>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</si>
  <si>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</si>
  <si>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</si>
  <si>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</si>
  <si>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</si>
  <si>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</si>
  <si>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</si>
  <si>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</si>
  <si>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</si>
  <si>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</si>
  <si>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</si>
  <si>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</si>
  <si>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</si>
  <si>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</si>
  <si>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</si>
  <si>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</si>
  <si>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</si>
  <si>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</si>
  <si>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</si>
  <si>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</si>
  <si>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</si>
  <si>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</si>
  <si>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</si>
  <si>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</si>
  <si>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</si>
  <si>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</si>
  <si>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</si>
  <si>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</si>
  <si>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</si>
  <si>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</si>
  <si>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</si>
  <si>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</si>
  <si>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</si>
  <si>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</si>
  <si>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</si>
  <si>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</si>
  <si>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</si>
  <si>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</si>
  <si>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</si>
  <si>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</si>
  <si>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</si>
  <si>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</si>
  <si>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</si>
  <si>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</si>
  <si>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</si>
  <si>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</si>
  <si>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</si>
  <si>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</si>
  <si>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</si>
  <si>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</si>
  <si>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</si>
  <si>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</si>
  <si>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</si>
  <si>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</si>
  <si>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</si>
  <si>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</si>
  <si>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</si>
  <si>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</si>
  <si>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</si>
  <si>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</si>
  <si>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</si>
  <si>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</si>
  <si>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</si>
  <si>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</si>
  <si>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</si>
  <si>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</si>
  <si>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</si>
  <si>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</si>
  <si>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</si>
  <si>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</si>
  <si>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</si>
  <si>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</si>
  <si>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</si>
  <si>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</si>
  <si>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</si>
  <si>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</si>
  <si>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</si>
  <si>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</si>
  <si>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</si>
  <si>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</si>
  <si>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</si>
  <si>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</si>
  <si>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</si>
  <si>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</si>
  <si>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</si>
  <si>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</si>
  <si>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</si>
  <si>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</si>
  <si>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</si>
  <si>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</si>
  <si>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</si>
  <si>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</si>
  <si>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</si>
  <si>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</si>
  <si>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</si>
  <si>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</si>
  <si>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</si>
  <si>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</si>
  <si>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</si>
  <si>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</si>
  <si>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</si>
  <si>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</si>
  <si>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</si>
  <si>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</si>
  <si>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</si>
  <si>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</si>
  <si>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</si>
  <si>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</si>
  <si>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</si>
  <si>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</si>
  <si>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</si>
  <si>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</si>
  <si>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</si>
  <si>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</si>
  <si>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</si>
  <si>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</si>
  <si>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</si>
  <si>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</si>
  <si>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</si>
  <si>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</si>
  <si>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</si>
  <si>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</si>
  <si>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</si>
  <si>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</si>
  <si>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</si>
  <si>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</si>
  <si>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</si>
  <si>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</si>
  <si>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</si>
  <si>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</si>
  <si>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</si>
  <si>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</si>
  <si>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</si>
  <si>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</si>
  <si>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</si>
  <si>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</si>
  <si>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</si>
  <si>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</si>
  <si>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</si>
  <si>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</si>
  <si>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</si>
  <si>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</si>
  <si>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</si>
  <si>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</si>
  <si>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</si>
  <si>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</si>
  <si>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</si>
  <si>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</si>
  <si>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</si>
  <si>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</si>
  <si>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</si>
  <si>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</si>
  <si>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</si>
  <si>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</si>
  <si>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</si>
  <si>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</si>
  <si>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</si>
  <si>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</si>
  <si>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</si>
  <si>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</si>
  <si>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</si>
  <si>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</si>
  <si>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</si>
  <si>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</si>
  <si>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</si>
  <si>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</si>
  <si>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</si>
  <si>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</si>
  <si>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</si>
  <si>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</si>
  <si>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</si>
  <si>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</si>
  <si>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</si>
  <si>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</si>
  <si>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</si>
  <si>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</si>
  <si>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</si>
  <si>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</si>
  <si>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</si>
  <si>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</si>
  <si>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</si>
  <si>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</si>
  <si>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</si>
  <si>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</si>
  <si>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</si>
  <si>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</si>
  <si>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</si>
  <si>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</si>
  <si>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</si>
  <si>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</si>
  <si>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</si>
  <si>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</si>
  <si>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</si>
  <si>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</si>
  <si>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</si>
  <si>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</si>
  <si>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</si>
  <si>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</si>
  <si>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</si>
  <si>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</si>
  <si>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</si>
  <si>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</si>
  <si>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</si>
  <si>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</si>
  <si>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</si>
  <si>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</si>
  <si>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</si>
  <si>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</si>
  <si>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</si>
  <si>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</si>
  <si>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</si>
  <si>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</si>
  <si>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</si>
  <si>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</si>
  <si>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</si>
  <si>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</si>
  <si>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</si>
  <si>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</si>
  <si>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</si>
  <si>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</si>
  <si>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</si>
  <si>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</si>
  <si>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</si>
  <si>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</si>
  <si>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</si>
  <si>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</si>
  <si>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</si>
  <si>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</si>
  <si>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</si>
  <si>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</si>
  <si>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</si>
  <si>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</si>
  <si>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</si>
  <si>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</si>
  <si>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</si>
  <si>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</si>
  <si>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</si>
  <si>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</si>
  <si>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</si>
  <si>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</si>
  <si>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</si>
  <si>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</si>
  <si>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</si>
  <si>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</si>
  <si>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</si>
  <si>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</si>
  <si>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</si>
  <si>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</si>
  <si>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</si>
  <si>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</si>
  <si>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</si>
  <si>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</si>
  <si>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</si>
  <si>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</si>
  <si>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</si>
  <si>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</si>
  <si>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</si>
  <si>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</si>
  <si>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</si>
  <si>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</si>
  <si>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</si>
  <si>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</si>
  <si>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</si>
  <si>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</si>
  <si>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</si>
  <si>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</si>
  <si>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</si>
  <si>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</si>
  <si>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</si>
  <si>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</si>
  <si>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</si>
  <si>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</si>
  <si>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</si>
  <si>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</si>
  <si>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</si>
  <si>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</si>
  <si>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</si>
  <si>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</si>
  <si>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</si>
  <si>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</si>
  <si>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</si>
  <si>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</si>
  <si>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</si>
  <si>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</si>
  <si>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</si>
  <si>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</si>
  <si>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</si>
  <si>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</si>
  <si>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</si>
  <si>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</si>
  <si>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</si>
  <si>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</si>
  <si>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</si>
  <si>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</si>
  <si>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</si>
  <si>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</si>
  <si>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</si>
  <si>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</si>
  <si>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</si>
  <si>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</si>
  <si>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</si>
  <si>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</si>
  <si>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</si>
  <si>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</si>
  <si>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</si>
  <si>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</si>
  <si>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</si>
  <si>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</si>
  <si>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</si>
  <si>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</si>
  <si>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</si>
  <si>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</si>
  <si>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</si>
  <si>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</si>
  <si>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</si>
  <si>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</si>
  <si>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</si>
  <si>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</si>
  <si>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</si>
  <si>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</si>
  <si>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</si>
  <si>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</si>
  <si>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</si>
  <si>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</si>
  <si>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</si>
  <si>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</si>
  <si>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</si>
  <si>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</si>
  <si>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</si>
  <si>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</si>
  <si>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</si>
  <si>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</si>
  <si>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</si>
  <si>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</si>
  <si>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</si>
  <si>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</si>
  <si>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</si>
  <si>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</si>
  <si>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</si>
  <si>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</si>
  <si>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</si>
  <si>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</si>
  <si>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</si>
  <si>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</si>
  <si>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</si>
  <si>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</si>
  <si>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</si>
  <si>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</si>
  <si>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</si>
  <si>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</si>
  <si>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</si>
  <si>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</si>
  <si>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</si>
  <si>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</si>
  <si>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</si>
  <si>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</si>
  <si>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</si>
  <si>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</si>
  <si>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</si>
  <si>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</si>
  <si>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</si>
  <si>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</si>
  <si>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</si>
  <si>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</si>
  <si>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</si>
  <si>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</si>
  <si>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</si>
  <si>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</si>
  <si>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</si>
  <si>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</si>
  <si>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</si>
  <si>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</si>
  <si>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</si>
  <si>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</si>
  <si>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</si>
  <si>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</si>
  <si>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</si>
  <si>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</si>
  <si>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</si>
  <si>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</si>
  <si>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</si>
  <si>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</si>
  <si>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</si>
  <si>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</si>
  <si>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</si>
  <si>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</si>
  <si>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</si>
  <si>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</si>
  <si>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</si>
  <si>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</si>
  <si>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</si>
  <si>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</si>
  <si>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</si>
  <si>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</si>
  <si>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</si>
  <si>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</si>
  <si>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</si>
  <si>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</si>
  <si>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</si>
  <si>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</si>
  <si>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</si>
  <si>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</si>
  <si>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</si>
  <si>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</si>
  <si>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</si>
  <si>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</si>
  <si>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</si>
  <si>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</si>
  <si>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</si>
  <si>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</si>
  <si>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</si>
  <si>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</si>
  <si>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</si>
  <si>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</si>
  <si>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</si>
  <si>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</si>
  <si>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</si>
  <si>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</si>
  <si>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</si>
  <si>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</si>
  <si>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</si>
  <si>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</si>
  <si>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</si>
  <si>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</si>
  <si>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</si>
  <si>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</si>
  <si>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</si>
  <si>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</si>
  <si>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</si>
  <si>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</si>
  <si>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</si>
  <si>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</si>
  <si>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</si>
  <si>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</si>
  <si>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</si>
  <si>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</si>
  <si>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</si>
  <si>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</si>
  <si>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</si>
  <si>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</si>
  <si>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</si>
  <si>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</si>
  <si>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</si>
  <si>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</si>
  <si>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</si>
  <si>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</si>
  <si>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</si>
  <si>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</si>
  <si>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</si>
  <si>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</si>
  <si>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</si>
  <si>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</si>
  <si>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</si>
  <si>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</si>
  <si>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</si>
  <si>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</si>
  <si>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</si>
  <si>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</si>
  <si>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</si>
  <si>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</si>
  <si>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</si>
  <si>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</si>
  <si>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</si>
  <si>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</si>
  <si>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</si>
  <si>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</si>
  <si>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</si>
  <si>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</si>
  <si>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</si>
  <si>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</si>
  <si>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</si>
  <si>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</si>
  <si>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</si>
  <si>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</si>
  <si>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</si>
  <si>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</si>
  <si>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</si>
  <si>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</si>
  <si>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</si>
  <si>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</si>
  <si>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</si>
  <si>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</si>
  <si>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</si>
  <si>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</si>
  <si>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</si>
  <si>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</si>
  <si>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</si>
  <si>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</si>
  <si>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</si>
  <si>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</si>
  <si>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</si>
  <si>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</si>
  <si>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</si>
  <si>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</si>
  <si>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</si>
  <si>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</si>
  <si>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</si>
  <si>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</si>
  <si>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</si>
  <si>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</si>
  <si>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</si>
  <si>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</si>
  <si>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</si>
  <si>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</si>
  <si>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</si>
  <si>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</si>
  <si>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</si>
  <si>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</si>
  <si>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</si>
  <si>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</si>
  <si>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</si>
  <si>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</si>
  <si>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</si>
  <si>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</si>
  <si>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</si>
  <si>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</si>
  <si>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</si>
  <si>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</si>
  <si>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</si>
  <si>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</si>
  <si>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</si>
  <si>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</si>
  <si>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</si>
  <si>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</si>
  <si>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</si>
  <si>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</si>
  <si>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</si>
  <si>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</si>
  <si>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</si>
  <si>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</si>
  <si>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</si>
  <si>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</si>
  <si>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</si>
  <si>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</si>
  <si>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</si>
  <si>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</si>
  <si>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</si>
  <si>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</si>
  <si>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</si>
  <si>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</si>
  <si>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</si>
  <si>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</si>
  <si>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</si>
  <si>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</si>
  <si>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</si>
  <si>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</si>
  <si>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</si>
  <si>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</si>
  <si>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</si>
  <si>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</si>
  <si>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</si>
  <si>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</si>
  <si>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</si>
  <si>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</si>
  <si>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</si>
  <si>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</si>
  <si>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</si>
  <si>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</si>
  <si>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</si>
  <si>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</si>
  <si>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</si>
  <si>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</si>
  <si>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</si>
  <si>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</si>
  <si>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</si>
  <si>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</si>
  <si>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</si>
  <si>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</si>
  <si>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</si>
  <si>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</si>
  <si>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</si>
  <si>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</si>
  <si>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</si>
  <si>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</si>
  <si>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</si>
  <si>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</si>
  <si>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</si>
  <si>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</si>
  <si>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</si>
  <si>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</si>
  <si>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</si>
  <si>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</si>
  <si>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</si>
  <si>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</si>
  <si>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</si>
  <si>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</si>
  <si>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</si>
  <si>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</si>
  <si>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</si>
  <si>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</si>
  <si>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</si>
  <si>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</si>
  <si>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</si>
  <si>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</si>
  <si>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</si>
  <si>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</si>
  <si>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</si>
  <si>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</si>
  <si>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</si>
  <si>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</si>
  <si>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</si>
  <si>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</si>
  <si>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</si>
  <si>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</si>
  <si>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</si>
  <si>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</si>
  <si>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</si>
  <si>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</si>
  <si>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</si>
  <si>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</si>
  <si>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</si>
  <si>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</si>
  <si>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</si>
  <si>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</si>
  <si>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</si>
  <si>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</si>
  <si>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</si>
  <si>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</si>
  <si>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</si>
  <si>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</si>
  <si>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</si>
  <si>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</si>
  <si>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</si>
  <si>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</si>
  <si>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</si>
  <si>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</si>
  <si>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</si>
  <si>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</si>
  <si>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</si>
  <si>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</si>
  <si>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</si>
  <si>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</si>
  <si>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</si>
  <si>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</si>
  <si>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</si>
  <si>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</si>
  <si>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</si>
  <si>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</si>
  <si>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</si>
  <si>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</si>
  <si>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</si>
  <si>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</si>
  <si>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</si>
  <si>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</si>
  <si>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</si>
  <si>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</si>
  <si>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</si>
  <si>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</si>
  <si>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</si>
  <si>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</si>
  <si>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</si>
  <si>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</si>
  <si>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</si>
  <si>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</si>
  <si>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</si>
  <si>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</si>
  <si>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</si>
  <si>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</si>
  <si>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</si>
  <si>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</si>
  <si>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</si>
  <si>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</si>
  <si>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</si>
  <si>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</si>
  <si>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</si>
  <si>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</si>
  <si>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</si>
  <si>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</si>
  <si>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</si>
  <si>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</si>
  <si>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</si>
  <si>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</si>
  <si>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</si>
  <si>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</si>
  <si>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</si>
  <si>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</si>
  <si>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</si>
  <si>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</si>
  <si>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</si>
  <si>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</si>
  <si>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</si>
  <si>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</si>
  <si>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</si>
  <si>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</si>
  <si>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</si>
  <si>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</si>
  <si>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</si>
  <si>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</si>
  <si>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</si>
  <si>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</si>
  <si>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</si>
  <si>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</si>
  <si>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</si>
  <si>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</si>
  <si>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</si>
  <si>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</si>
  <si>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</si>
  <si>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</si>
  <si>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</si>
  <si>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</si>
  <si>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</si>
  <si>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</si>
  <si>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</si>
  <si>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</si>
  <si>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</si>
  <si>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</si>
  <si>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</si>
  <si>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</si>
  <si>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</si>
  <si>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</si>
  <si>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</si>
  <si>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</si>
  <si>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</si>
  <si>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</si>
  <si>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</si>
  <si>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</si>
  <si>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</si>
  <si>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</si>
  <si>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</si>
  <si>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</si>
  <si>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</si>
  <si>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</si>
  <si>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</si>
  <si>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</si>
  <si>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</si>
  <si>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</si>
  <si>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</si>
  <si>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</si>
  <si>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</si>
  <si>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</si>
  <si>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</si>
  <si>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</si>
  <si>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</si>
  <si>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</si>
  <si>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</si>
  <si>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</si>
  <si>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</si>
  <si>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</si>
  <si>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</si>
  <si>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</si>
  <si>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</si>
  <si>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</si>
  <si>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</si>
  <si>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</si>
  <si>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</si>
  <si>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</si>
  <si>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</si>
  <si>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</si>
  <si>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</si>
  <si>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</si>
  <si>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</si>
  <si>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</si>
  <si>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</si>
  <si>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</si>
  <si>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</si>
  <si>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</si>
  <si>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</si>
  <si>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</si>
  <si>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</si>
  <si>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</si>
  <si>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</si>
  <si>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</si>
  <si>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</si>
  <si>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</si>
  <si>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</si>
  <si>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</si>
  <si>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</si>
  <si>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</si>
  <si>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</si>
  <si>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</si>
  <si>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</si>
  <si>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</si>
  <si>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</si>
  <si>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</si>
  <si>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</si>
  <si>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</si>
  <si>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</si>
  <si>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</si>
  <si>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</si>
  <si>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</si>
  <si>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</si>
  <si>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</si>
  <si>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</si>
  <si>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</si>
  <si>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</si>
  <si>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</si>
  <si>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</si>
  <si>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</si>
  <si>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</si>
  <si>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</si>
  <si>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</si>
  <si>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</si>
  <si>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</si>
  <si>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</si>
  <si>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</si>
  <si>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</si>
  <si>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</si>
  <si>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</si>
  <si>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</si>
  <si>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</si>
  <si>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</si>
  <si>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</si>
  <si>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</si>
  <si>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</si>
  <si>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</si>
  <si>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</si>
  <si>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</si>
  <si>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</si>
  <si>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</si>
  <si>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</si>
  <si>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</si>
  <si>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</si>
  <si>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</si>
  <si>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</si>
  <si>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</si>
  <si>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</si>
  <si>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</si>
  <si>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</si>
  <si>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</si>
  <si>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</si>
  <si>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</si>
  <si>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</si>
  <si>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</si>
  <si>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</si>
  <si>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</si>
  <si>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</si>
  <si>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</si>
  <si>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</si>
  <si>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</si>
  <si>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</si>
  <si>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</si>
  <si>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</si>
  <si>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</si>
  <si>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</si>
  <si>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</si>
  <si>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</si>
  <si>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</si>
  <si>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</si>
  <si>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</si>
  <si>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</si>
  <si>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</si>
  <si>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</si>
  <si>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</si>
  <si>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</si>
  <si>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</si>
  <si>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</si>
  <si>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</si>
  <si>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</si>
  <si>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</si>
  <si>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</si>
  <si>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</si>
  <si>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</si>
  <si>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</si>
  <si>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</si>
  <si>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</si>
  <si>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</si>
  <si>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</si>
  <si>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</si>
  <si>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</si>
  <si>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</si>
  <si>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</si>
  <si>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</si>
  <si>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</si>
  <si>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</si>
  <si>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</si>
  <si>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</si>
  <si>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</si>
  <si>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</si>
  <si>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</si>
  <si>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</si>
  <si>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</si>
  <si>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</si>
  <si>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</si>
  <si>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</si>
  <si>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</si>
  <si>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</si>
  <si>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</si>
  <si>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</si>
  <si>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</si>
  <si>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</si>
  <si>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</si>
  <si>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</si>
  <si>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</si>
  <si>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</si>
  <si>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</si>
  <si>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</si>
  <si>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</si>
  <si>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</si>
  <si>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</si>
  <si>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</si>
  <si>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</si>
  <si>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</si>
  <si>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</si>
  <si>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</si>
  <si>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</si>
  <si>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</si>
  <si>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</si>
  <si>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</si>
  <si>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</si>
  <si>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</si>
  <si>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</si>
  <si>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</si>
  <si>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</si>
  <si>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</si>
  <si>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</si>
  <si>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</si>
  <si>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</si>
  <si>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</si>
  <si>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</si>
  <si>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</si>
  <si>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</si>
  <si>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</si>
  <si>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</si>
  <si>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</si>
  <si>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</si>
  <si>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</si>
  <si>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</si>
  <si>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</si>
  <si>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</si>
  <si>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</si>
  <si>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</si>
  <si>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</si>
  <si>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</si>
  <si>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</si>
  <si>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</si>
  <si>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</si>
  <si>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</si>
  <si>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</si>
  <si>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</si>
  <si>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</si>
  <si>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</si>
  <si>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</si>
  <si>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</si>
  <si>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</si>
  <si>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</si>
  <si>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</si>
  <si>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</si>
  <si>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</si>
  <si>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</si>
  <si>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</si>
  <si>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</si>
  <si>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</si>
  <si>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</si>
  <si>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</si>
  <si>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</si>
  <si>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</si>
  <si>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</si>
  <si>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</si>
  <si>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</si>
  <si>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</si>
  <si>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</si>
  <si>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</si>
  <si>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</si>
  <si>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</si>
  <si>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</si>
  <si>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</si>
  <si>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</si>
  <si>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</si>
  <si>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</si>
  <si>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</si>
  <si>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</si>
  <si>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</si>
  <si>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</si>
  <si>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</si>
  <si>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</si>
  <si>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</si>
  <si>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</si>
  <si>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</si>
  <si>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</si>
  <si>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</si>
  <si>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</si>
  <si>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</si>
  <si>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</si>
  <si>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</si>
  <si>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</si>
  <si>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</si>
  <si>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</si>
  <si>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</si>
  <si>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</si>
  <si>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</si>
  <si>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</si>
  <si>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</si>
  <si>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</si>
  <si>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</si>
  <si>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</si>
  <si>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</si>
  <si>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</si>
  <si>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</si>
  <si>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</si>
  <si>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</si>
  <si>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</si>
  <si>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</si>
  <si>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</si>
  <si>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</si>
  <si>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</si>
  <si>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</si>
  <si>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</si>
  <si>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</si>
  <si>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</si>
  <si>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</si>
  <si>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</si>
  <si>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</si>
  <si>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</si>
  <si>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</si>
  <si>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</si>
  <si>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</si>
  <si>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</si>
  <si>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</si>
  <si>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</si>
  <si>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</si>
  <si>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</si>
  <si>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</si>
  <si>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</si>
  <si>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</si>
  <si>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</si>
  <si>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</si>
  <si>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</si>
  <si>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</si>
  <si>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</si>
  <si>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</si>
  <si>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</si>
  <si>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</si>
  <si>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</si>
  <si>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</si>
  <si>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</si>
  <si>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</si>
  <si>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</si>
  <si>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</si>
  <si>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</si>
  <si>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</si>
  <si>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</si>
  <si>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</si>
  <si>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</si>
  <si>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</si>
  <si>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</si>
  <si>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</si>
  <si>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</si>
  <si>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</si>
  <si>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</si>
  <si>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</si>
  <si>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</si>
  <si>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</si>
  <si>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</si>
  <si>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</si>
  <si>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</si>
  <si>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</si>
  <si>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</si>
  <si>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</si>
  <si>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</si>
  <si>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</si>
  <si>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</si>
  <si>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</si>
  <si>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</si>
  <si>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</si>
  <si>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</si>
  <si>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</si>
  <si>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</si>
  <si>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</si>
  <si>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</si>
  <si>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</si>
  <si>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</si>
  <si>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</si>
  <si>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</si>
  <si>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</si>
  <si>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</si>
  <si>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</si>
  <si>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</si>
  <si>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</si>
  <si>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</si>
  <si>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</si>
  <si>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</si>
  <si>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</si>
  <si>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</si>
  <si>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</si>
  <si>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</si>
  <si>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</si>
  <si>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</si>
  <si>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</si>
  <si>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</si>
  <si>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</si>
  <si>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</si>
  <si>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</si>
  <si>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</si>
  <si>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</si>
  <si>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</si>
  <si>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</si>
  <si>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</si>
  <si>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</si>
  <si>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</si>
  <si>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</si>
  <si>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</si>
  <si>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</si>
  <si>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</si>
  <si>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</si>
  <si>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</si>
  <si>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</si>
  <si>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</si>
  <si>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</si>
  <si>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</si>
  <si>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</si>
  <si>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</si>
  <si>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</si>
  <si>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</si>
  <si>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</si>
  <si>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</si>
  <si>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</si>
  <si>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</si>
  <si>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</si>
  <si>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</si>
  <si>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</si>
  <si>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</si>
  <si>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</si>
  <si>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</si>
  <si>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</si>
  <si>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</si>
  <si>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</si>
  <si>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</si>
  <si>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</si>
  <si>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</si>
  <si>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</si>
  <si>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</si>
  <si>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</si>
  <si>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</si>
  <si>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</si>
  <si>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</si>
  <si>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</si>
  <si>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</si>
  <si>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</si>
  <si>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</si>
  <si>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</si>
  <si>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</si>
  <si>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</si>
  <si>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</si>
  <si>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</si>
  <si>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</si>
  <si>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</si>
  <si>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</si>
  <si>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</si>
  <si>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</si>
  <si>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</si>
  <si>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</si>
  <si>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</si>
  <si>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</si>
  <si>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</si>
  <si>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</si>
  <si>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</si>
  <si>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</si>
  <si>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</si>
  <si>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</si>
  <si>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</si>
  <si>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</si>
  <si>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</si>
  <si>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</si>
  <si>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</si>
  <si>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</si>
  <si>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</si>
  <si>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</si>
  <si>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</si>
  <si>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</si>
  <si>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</si>
  <si>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</si>
  <si>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</si>
  <si>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</si>
  <si>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</si>
  <si>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</si>
  <si>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</si>
  <si>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</si>
  <si>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</si>
  <si>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</si>
  <si>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</si>
  <si>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</si>
  <si>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</si>
  <si>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</si>
  <si>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</si>
  <si>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</si>
  <si>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</si>
  <si>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</si>
  <si>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</si>
  <si>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</si>
  <si>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</si>
  <si>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</si>
  <si>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</si>
  <si>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</si>
  <si>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</si>
  <si>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</si>
  <si>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</si>
  <si>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</si>
  <si>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</si>
  <si>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</si>
  <si>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</si>
  <si>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</si>
  <si>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</si>
  <si>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</si>
  <si>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</si>
  <si>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</si>
  <si>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</si>
  <si>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</si>
  <si>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</si>
  <si>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</si>
  <si>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</si>
  <si>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</si>
  <si>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</si>
  <si>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</si>
  <si>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</si>
  <si>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</si>
  <si>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</si>
  <si>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</si>
  <si>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</si>
  <si>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</si>
  <si>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</si>
  <si>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</si>
  <si>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</si>
  <si>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</si>
  <si>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</si>
  <si>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</si>
  <si>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</si>
  <si>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</si>
  <si>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</si>
  <si>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</si>
  <si>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</si>
  <si>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</si>
  <si>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</si>
  <si>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</si>
  <si>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</si>
  <si>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</si>
  <si>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</si>
  <si>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</si>
  <si>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</si>
  <si>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</si>
  <si>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</si>
  <si>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</si>
  <si>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</si>
  <si>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</si>
  <si>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</si>
  <si>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</si>
  <si>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</si>
  <si>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</si>
  <si>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</si>
  <si>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</si>
  <si>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</si>
  <si>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</si>
  <si>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</si>
  <si>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</si>
  <si>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</si>
  <si>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</si>
  <si>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</si>
  <si>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</si>
  <si>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</si>
  <si>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</si>
  <si>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</si>
  <si>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</si>
  <si>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</si>
  <si>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</si>
  <si>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</si>
  <si>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</si>
  <si>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</si>
  <si>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</si>
  <si>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</si>
  <si>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</si>
  <si>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</si>
  <si>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</si>
  <si>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</si>
  <si>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</si>
  <si>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</si>
  <si>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</si>
  <si>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</si>
  <si>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</si>
  <si>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</si>
  <si>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</si>
  <si>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</si>
  <si>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</si>
  <si>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</si>
  <si>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</si>
  <si>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</si>
  <si>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</si>
  <si>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</si>
  <si>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</si>
  <si>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</si>
  <si>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</si>
  <si>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</si>
  <si>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</si>
  <si>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</si>
  <si>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</si>
  <si>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</si>
  <si>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</si>
  <si>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</si>
  <si>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</si>
  <si>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</si>
  <si>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</si>
  <si>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</si>
  <si>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</si>
  <si>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</si>
  <si>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</si>
  <si>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</si>
  <si>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</si>
  <si>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</si>
  <si>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</si>
  <si>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</si>
  <si>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</si>
  <si>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</si>
  <si>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</si>
  <si>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</si>
  <si>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</si>
  <si>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</si>
  <si>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</si>
  <si>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</si>
  <si>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</si>
  <si>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</si>
  <si>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</si>
  <si>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</si>
  <si>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</si>
  <si>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</si>
  <si>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</si>
  <si>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</si>
  <si>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</si>
  <si>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</si>
  <si>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</si>
  <si>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</si>
  <si>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</si>
  <si>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</si>
  <si>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</si>
  <si>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</si>
  <si>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</si>
  <si>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</si>
  <si>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</si>
  <si>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</si>
  <si>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</si>
  <si>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</si>
  <si>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</si>
  <si>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</si>
  <si>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</si>
  <si>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</si>
  <si>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</si>
  <si>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</si>
  <si>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</si>
  <si>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</si>
  <si>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</si>
  <si>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</si>
  <si>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</si>
  <si>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</si>
  <si>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</si>
  <si>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</si>
  <si>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</si>
  <si>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</si>
  <si>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</si>
  <si>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</si>
  <si>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</si>
  <si>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</si>
  <si>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</si>
  <si>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</si>
  <si>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</si>
  <si>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</si>
  <si>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</si>
  <si>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</si>
  <si>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</si>
  <si>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</si>
  <si>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</si>
  <si>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</si>
  <si>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</si>
  <si>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</si>
  <si>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</si>
  <si>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</si>
  <si>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</si>
  <si>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</si>
  <si>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</si>
  <si>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</si>
  <si>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</si>
  <si>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</si>
  <si>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</si>
  <si>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</si>
  <si>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</si>
  <si>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</si>
  <si>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</si>
  <si>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</si>
  <si>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</si>
  <si>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</si>
  <si>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</si>
  <si>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</si>
  <si>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</si>
  <si>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</si>
  <si>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</si>
  <si>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</si>
  <si>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</si>
  <si>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</si>
  <si>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</si>
  <si>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</si>
  <si>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</si>
  <si>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</si>
  <si>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</si>
  <si>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</si>
  <si>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</si>
  <si>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</si>
  <si>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</si>
  <si>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</si>
  <si>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</si>
  <si>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</si>
  <si>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</si>
  <si>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</si>
  <si>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</si>
  <si>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</si>
  <si>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</si>
  <si>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</si>
  <si>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</si>
  <si>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</si>
  <si>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</si>
  <si>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</si>
  <si>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</si>
  <si>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</si>
  <si>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</si>
  <si>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</si>
  <si>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</si>
  <si>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</si>
  <si>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</si>
  <si>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</si>
  <si>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</si>
  <si>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</si>
  <si>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</si>
  <si>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</si>
  <si>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</si>
  <si>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</si>
  <si>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</si>
  <si>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</si>
  <si>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</si>
  <si>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</si>
  <si>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</si>
  <si>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</si>
  <si>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</si>
  <si>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</si>
  <si>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</si>
  <si>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</si>
  <si>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</si>
  <si>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</si>
  <si>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</si>
  <si>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</si>
  <si>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</si>
  <si>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</si>
  <si>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</si>
  <si>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</si>
  <si>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</si>
  <si>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</si>
  <si>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</si>
  <si>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</si>
  <si>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</si>
  <si>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</si>
  <si>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</si>
  <si>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</si>
  <si>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</si>
  <si>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</si>
  <si>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</si>
  <si>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</si>
  <si>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</si>
  <si>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</si>
  <si>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</si>
  <si>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</si>
  <si>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</si>
  <si>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</si>
  <si>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</si>
  <si>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</si>
  <si>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</si>
  <si>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</si>
  <si>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</si>
  <si>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</si>
  <si>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</si>
  <si>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</si>
  <si>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</si>
  <si>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</si>
  <si>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</si>
  <si>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</si>
  <si>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</si>
  <si>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</si>
  <si>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</si>
  <si>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</si>
  <si>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</si>
  <si>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</si>
  <si>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</si>
  <si>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</si>
  <si>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</si>
  <si>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</si>
  <si>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</si>
  <si>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</si>
  <si>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</si>
  <si>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</si>
  <si>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</si>
  <si>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</si>
  <si>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</si>
  <si>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</si>
  <si>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</si>
  <si>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</si>
  <si>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</si>
  <si>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</si>
  <si>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</si>
  <si>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</si>
  <si>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</si>
  <si>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</si>
  <si>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</si>
  <si>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</si>
  <si>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</si>
  <si>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</si>
  <si>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</si>
  <si>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</si>
  <si>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</si>
  <si>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</si>
  <si>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</si>
  <si>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</si>
  <si>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</si>
  <si>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</si>
  <si>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</si>
  <si>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</si>
  <si>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</si>
  <si>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</si>
  <si>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</si>
  <si>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</si>
  <si>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</si>
  <si>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</si>
  <si>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</si>
  <si>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</si>
  <si>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</si>
  <si>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</si>
  <si>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</si>
  <si>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</si>
  <si>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</si>
  <si>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</si>
  <si>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</si>
  <si>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</si>
  <si>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</si>
  <si>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</si>
  <si>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</si>
  <si>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</si>
  <si>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</si>
  <si>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</si>
  <si>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</si>
  <si>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</si>
  <si>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</si>
  <si>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</si>
  <si>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</si>
  <si>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</si>
  <si>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</si>
  <si>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</si>
  <si>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</si>
  <si>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</si>
  <si>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</si>
  <si>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</si>
  <si>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</si>
  <si>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</si>
  <si>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</si>
  <si>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</si>
  <si>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</si>
  <si>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</si>
  <si>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</si>
  <si>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</si>
  <si>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</si>
  <si>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</si>
  <si>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</si>
  <si>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</si>
  <si>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</si>
  <si>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</si>
  <si>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</si>
  <si>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</si>
  <si>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</si>
  <si>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</si>
  <si>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</si>
  <si>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</si>
  <si>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</si>
  <si>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</si>
  <si>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</si>
  <si>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</si>
  <si>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</si>
  <si>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</si>
  <si>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</si>
  <si>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</si>
  <si>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</si>
  <si>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</si>
  <si>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</si>
  <si>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</si>
  <si>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</si>
  <si>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</si>
  <si>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</si>
  <si>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</si>
  <si>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</si>
  <si>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</si>
  <si>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</si>
  <si>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</si>
  <si>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</si>
  <si>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</si>
  <si>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</si>
  <si>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</si>
  <si>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</si>
  <si>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</si>
  <si>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</si>
  <si>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</si>
  <si>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</si>
  <si>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</si>
  <si>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</si>
  <si>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</si>
  <si>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</si>
  <si>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</si>
  <si>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</si>
  <si>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</si>
  <si>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</si>
  <si>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</si>
  <si>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</si>
  <si>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</si>
  <si>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</si>
  <si>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</si>
  <si>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</si>
  <si>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</si>
  <si>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</si>
  <si>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</si>
  <si>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</si>
  <si>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</si>
  <si>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</si>
  <si>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</si>
  <si>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</si>
  <si>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</si>
  <si>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</si>
  <si>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</si>
  <si>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</si>
  <si>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</si>
  <si>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</si>
  <si>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</si>
  <si>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</si>
  <si>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</si>
  <si>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</si>
  <si>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</si>
  <si>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</si>
  <si>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</si>
  <si>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</si>
  <si>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</si>
  <si>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</si>
  <si>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</si>
  <si>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</si>
  <si>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</si>
  <si>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</si>
  <si>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</si>
  <si>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</si>
  <si>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</si>
  <si>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</si>
  <si>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</si>
  <si>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</si>
  <si>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</si>
  <si>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</si>
  <si>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</si>
  <si>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</si>
  <si>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</si>
  <si>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</si>
  <si>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</si>
  <si>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</si>
  <si>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</si>
  <si>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</si>
  <si>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</si>
  <si>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</si>
  <si>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</si>
  <si>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</si>
  <si>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</si>
  <si>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</si>
  <si>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</si>
  <si>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</si>
  <si>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</si>
  <si>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</si>
  <si>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</si>
  <si>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</si>
  <si>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</si>
  <si>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</si>
  <si>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</si>
  <si>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</si>
  <si>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</si>
  <si>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</si>
  <si>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</si>
  <si>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</si>
  <si>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</si>
  <si>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</si>
  <si>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</si>
  <si>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</si>
  <si>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</si>
  <si>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</si>
  <si>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</si>
  <si>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</si>
  <si>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</si>
  <si>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</si>
  <si>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</si>
  <si>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</si>
  <si>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</si>
  <si>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</si>
  <si>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</si>
  <si>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</si>
  <si>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</si>
  <si>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</si>
  <si>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</si>
  <si>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</si>
  <si>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</si>
  <si>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</si>
  <si>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</si>
  <si>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</si>
  <si>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</si>
  <si>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</si>
  <si>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</si>
  <si>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</si>
  <si>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</si>
  <si>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</si>
  <si>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</si>
  <si>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</si>
  <si>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</si>
  <si>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</si>
  <si>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</si>
  <si>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</si>
  <si>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</si>
  <si>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</si>
  <si>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</si>
  <si>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</si>
  <si>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</si>
  <si>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</si>
  <si>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</si>
  <si>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</si>
  <si>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</si>
  <si>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</si>
  <si>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</si>
  <si>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</si>
  <si>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</si>
  <si>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</si>
  <si>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</si>
  <si>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</si>
  <si>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</si>
  <si>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</si>
  <si>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</si>
  <si>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</si>
  <si>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</si>
  <si>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</si>
  <si>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</si>
  <si>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</si>
  <si>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</si>
  <si>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</si>
  <si>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</si>
  <si>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</si>
  <si>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</si>
  <si>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</si>
  <si>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</si>
  <si>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</si>
  <si>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</si>
  <si>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</si>
  <si>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</si>
  <si>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</si>
  <si>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</si>
  <si>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</si>
  <si>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</si>
  <si>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</si>
  <si>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</si>
  <si>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</si>
  <si>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</si>
  <si>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</si>
  <si>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</si>
  <si>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</si>
  <si>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</si>
  <si>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</si>
  <si>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</si>
  <si>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</si>
  <si>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</si>
  <si>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</si>
  <si>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</si>
  <si>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</si>
  <si>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</si>
  <si>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</si>
  <si>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</si>
  <si>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</si>
  <si>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</si>
  <si>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</si>
  <si>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</si>
  <si>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</si>
  <si>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</si>
  <si>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</si>
  <si>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</si>
  <si>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</si>
  <si>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</si>
  <si>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</si>
  <si>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</si>
  <si>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</si>
  <si>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</si>
  <si>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</si>
  <si>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</si>
  <si>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</si>
  <si>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</si>
  <si>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</si>
  <si>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</si>
  <si>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</si>
  <si>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</si>
  <si>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</si>
  <si>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</si>
  <si>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</si>
  <si>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</si>
  <si>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</si>
  <si>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</si>
  <si>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</si>
  <si>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</si>
  <si>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</si>
  <si>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</si>
  <si>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</si>
  <si>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</si>
  <si>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</si>
  <si>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</si>
  <si>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</si>
  <si>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</si>
  <si>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</si>
  <si>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</si>
  <si>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</si>
  <si>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</si>
  <si>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</si>
  <si>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</si>
  <si>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</si>
  <si>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</si>
  <si>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</si>
  <si>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</si>
  <si>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</si>
  <si>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</si>
  <si>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</si>
  <si>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</si>
  <si>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</si>
  <si>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</si>
  <si>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</si>
  <si>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</si>
  <si>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</si>
  <si>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</si>
  <si>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</si>
  <si>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</si>
  <si>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</si>
  <si>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</si>
  <si>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</si>
  <si>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</si>
  <si>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</si>
  <si>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</si>
  <si>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</si>
  <si>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</si>
  <si>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</si>
  <si>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</si>
  <si>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</si>
  <si>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</si>
  <si>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</si>
  <si>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</si>
  <si>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</si>
  <si>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</si>
  <si>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</si>
  <si>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</si>
  <si>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</si>
  <si>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</si>
  <si>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</si>
  <si>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</si>
  <si>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</si>
  <si>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</si>
  <si>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</si>
  <si>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</si>
  <si>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</si>
  <si>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</si>
  <si>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</si>
  <si>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</si>
  <si>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</si>
  <si>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</si>
  <si>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</si>
  <si>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</si>
  <si>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</si>
  <si>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</si>
  <si>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</si>
  <si>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</si>
  <si>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</si>
  <si>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</si>
  <si>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</si>
  <si>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</si>
  <si>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</si>
  <si>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</si>
  <si>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</si>
  <si>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</si>
  <si>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</si>
  <si>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</si>
  <si>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</si>
  <si>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</si>
  <si>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</si>
  <si>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</si>
  <si>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</si>
  <si>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</si>
  <si>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</si>
  <si>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</si>
  <si>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</si>
  <si>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</si>
  <si>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</si>
  <si>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</si>
  <si>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</si>
  <si>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</si>
  <si>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</si>
  <si>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</si>
  <si>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</si>
  <si>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</si>
  <si>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</si>
  <si>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</si>
  <si>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</si>
  <si>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</si>
  <si>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</si>
  <si>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</si>
  <si>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</si>
  <si>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</si>
  <si>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</si>
  <si>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</si>
  <si>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</si>
  <si>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</si>
  <si>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</si>
  <si>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</si>
  <si>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</si>
  <si>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</si>
  <si>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</si>
  <si>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</si>
  <si>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</si>
  <si>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</si>
  <si>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</si>
  <si>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</si>
  <si>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</si>
  <si>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</si>
  <si>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</si>
  <si>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</si>
  <si>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</si>
  <si>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</si>
  <si>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</si>
  <si>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</si>
  <si>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</si>
  <si>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</si>
  <si>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</si>
  <si>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</si>
  <si>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</si>
  <si>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</si>
  <si>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</si>
  <si>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</si>
  <si>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</si>
  <si>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</si>
  <si>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</si>
  <si>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</si>
  <si>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</si>
  <si>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</si>
  <si>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</si>
  <si>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</si>
  <si>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</si>
  <si>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</si>
  <si>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</si>
  <si>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</si>
  <si>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</si>
  <si>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</si>
  <si>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</si>
  <si>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</si>
  <si>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</si>
  <si>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</si>
  <si>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</si>
  <si>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</si>
  <si>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</si>
  <si>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</si>
  <si>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</si>
  <si>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</si>
  <si>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</si>
  <si>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</si>
  <si>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</si>
  <si>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</si>
  <si>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</si>
  <si>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</si>
  <si>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</si>
  <si>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</si>
  <si>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</si>
  <si>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</si>
  <si>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</si>
  <si>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</si>
  <si>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</si>
  <si>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</si>
  <si>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</si>
  <si>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</si>
  <si>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</si>
  <si>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</si>
  <si>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</si>
  <si>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</si>
  <si>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</si>
  <si>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</si>
  <si>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</si>
  <si>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</si>
  <si>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</si>
  <si>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</si>
  <si>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</si>
  <si>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</si>
  <si>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</si>
  <si>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</si>
  <si>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</si>
  <si>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</si>
  <si>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</si>
  <si>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</si>
  <si>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</si>
  <si>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</si>
  <si>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</si>
  <si>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</si>
  <si>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</si>
  <si>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</si>
  <si>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</si>
  <si>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</si>
  <si>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</si>
  <si>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</si>
  <si>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</si>
  <si>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</si>
  <si>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</si>
  <si>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</si>
  <si>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</si>
  <si>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</si>
  <si>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</si>
  <si>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</si>
  <si>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</si>
  <si>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</si>
  <si>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</si>
  <si>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</si>
  <si>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</si>
  <si>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</si>
  <si>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</si>
  <si>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</si>
  <si>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</si>
  <si>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</si>
  <si>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</si>
  <si>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</si>
  <si>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</si>
  <si>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</si>
  <si>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</si>
  <si>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</si>
  <si>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</si>
  <si>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</si>
  <si>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</si>
  <si>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</si>
  <si>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</si>
  <si>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</si>
  <si>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</si>
  <si>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</si>
  <si>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</si>
  <si>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</si>
  <si>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</si>
  <si>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</si>
  <si>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</si>
  <si>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</si>
  <si>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</si>
  <si>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</si>
  <si>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</si>
  <si>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</si>
  <si>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</si>
  <si>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</si>
  <si>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</si>
  <si>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</si>
  <si>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</si>
  <si>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</si>
  <si>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</si>
  <si>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</si>
  <si>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</si>
  <si>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</si>
  <si>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</si>
  <si>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</si>
  <si>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</si>
  <si>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</si>
  <si>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</si>
  <si>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</si>
  <si>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</si>
  <si>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</si>
  <si>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</si>
  <si>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</si>
  <si>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</si>
  <si>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</si>
  <si>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</si>
  <si>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</si>
  <si>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</si>
  <si>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</si>
  <si>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</si>
  <si>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</si>
  <si>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</si>
  <si>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</si>
  <si>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</si>
  <si>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</si>
  <si>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</si>
  <si>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</si>
  <si>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</si>
  <si>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</si>
  <si>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</si>
  <si>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</si>
  <si>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</si>
  <si>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</si>
  <si>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</si>
  <si>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</si>
  <si>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</si>
  <si>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</si>
  <si>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</si>
  <si>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</si>
  <si>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</si>
  <si>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</si>
  <si>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</si>
  <si>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</si>
  <si>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</si>
  <si>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</si>
  <si>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</si>
  <si>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</si>
  <si>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</si>
  <si>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</si>
  <si>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</si>
  <si>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</si>
  <si>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</si>
  <si>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</si>
  <si>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</si>
  <si>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</si>
  <si>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</si>
  <si>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</si>
  <si>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</si>
  <si>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</si>
  <si>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</si>
  <si>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</si>
  <si>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</si>
  <si>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</si>
  <si>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</si>
  <si>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</si>
  <si>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</si>
  <si>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</si>
  <si>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</si>
  <si>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</si>
  <si>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</si>
  <si>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</si>
  <si>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</si>
  <si>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</si>
  <si>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</si>
  <si>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</si>
  <si>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</si>
  <si>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</si>
  <si>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</si>
  <si>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</si>
  <si>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</si>
  <si>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</si>
  <si>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</si>
  <si>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</si>
  <si>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</si>
  <si>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</si>
  <si>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</si>
  <si>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</si>
  <si>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</si>
  <si>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</si>
  <si>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</si>
  <si>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</si>
  <si>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</si>
  <si>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</si>
  <si>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</si>
  <si>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</si>
  <si>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</si>
  <si>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</si>
  <si>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</si>
  <si>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</si>
  <si>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</si>
  <si>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</si>
  <si>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</si>
  <si>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</si>
  <si>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</si>
  <si>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</si>
  <si>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</si>
  <si>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</si>
  <si>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</si>
  <si>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</si>
  <si>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</si>
  <si>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</si>
  <si>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</si>
  <si>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</si>
  <si>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</si>
  <si>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</si>
  <si>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</si>
  <si>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</si>
  <si>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</si>
  <si>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</si>
  <si>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</si>
  <si>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</si>
  <si>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</si>
  <si>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</si>
  <si>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</si>
  <si>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</si>
  <si>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</si>
  <si>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</si>
  <si>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</si>
  <si>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</si>
  <si>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</si>
  <si>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</si>
  <si>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</si>
  <si>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</si>
  <si>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</si>
  <si>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</si>
  <si>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</si>
  <si>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</si>
  <si>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</si>
  <si>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</si>
  <si>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</si>
  <si>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</si>
  <si>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</si>
  <si>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</si>
  <si>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</si>
  <si>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</si>
  <si>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</si>
  <si>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</si>
  <si>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</si>
  <si>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</si>
  <si>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</si>
  <si>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</si>
  <si>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</si>
  <si>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</si>
  <si>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</si>
  <si>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</si>
  <si>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</si>
  <si>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</si>
  <si>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</si>
  <si>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</si>
  <si>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</si>
  <si>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</si>
  <si>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</si>
  <si>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</si>
  <si>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</si>
  <si>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</si>
  <si>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</si>
  <si>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</si>
  <si>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</si>
  <si>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</si>
  <si>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</si>
  <si>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</si>
  <si>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</si>
  <si>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</si>
  <si>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</si>
  <si>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</si>
  <si>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</si>
  <si>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</si>
  <si>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</si>
  <si>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</si>
  <si>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</si>
  <si>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</si>
  <si>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</si>
  <si>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</si>
  <si>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</si>
  <si>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</si>
  <si>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</si>
  <si>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</si>
  <si>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</si>
  <si>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</si>
  <si>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</si>
  <si>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</si>
  <si>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</si>
  <si>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</si>
  <si>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</si>
  <si>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</si>
  <si>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</si>
  <si>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</si>
  <si>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</si>
  <si>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</si>
  <si>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</si>
  <si>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</si>
  <si>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</si>
  <si>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</si>
  <si>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</si>
  <si>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</si>
  <si>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</si>
  <si>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</si>
  <si>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</si>
  <si>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</si>
  <si>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</si>
  <si>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</si>
  <si>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</si>
  <si>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</si>
  <si>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</si>
  <si>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</si>
  <si>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</si>
  <si>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</si>
  <si>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</si>
  <si>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</si>
  <si>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</si>
  <si>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</si>
  <si>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</si>
  <si>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</si>
  <si>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</si>
  <si>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</si>
  <si>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</si>
  <si>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</si>
  <si>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</si>
  <si>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</si>
  <si>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</si>
  <si>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</si>
  <si>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</si>
  <si>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</si>
  <si>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</si>
  <si>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</si>
  <si>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</si>
  <si>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</si>
  <si>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</si>
  <si>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</si>
  <si>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</si>
  <si>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</si>
  <si>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</si>
  <si>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</si>
  <si>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</si>
  <si>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</si>
  <si>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</si>
  <si>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</si>
  <si>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</si>
  <si>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</si>
  <si>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</si>
  <si>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</si>
  <si>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</si>
  <si>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</si>
  <si>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</si>
  <si>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</si>
  <si>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</si>
  <si>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</si>
  <si>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</si>
  <si>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</si>
  <si>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</si>
  <si>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</si>
  <si>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</si>
  <si>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</si>
  <si>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</si>
  <si>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</si>
  <si>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</si>
  <si>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</si>
  <si>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</si>
  <si>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</si>
  <si>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</si>
  <si>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</si>
  <si>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</si>
  <si>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</si>
  <si>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</si>
  <si>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</si>
  <si>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</si>
  <si>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</si>
  <si>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</si>
  <si>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</si>
  <si>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</si>
  <si>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</si>
  <si>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</si>
  <si>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</si>
  <si>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</si>
  <si>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</si>
  <si>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</si>
  <si>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</si>
  <si>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</si>
  <si>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</si>
  <si>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</si>
  <si>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</si>
  <si>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</si>
  <si>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</si>
  <si>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</si>
  <si>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</si>
  <si>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</si>
  <si>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</si>
  <si>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</si>
  <si>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</si>
  <si>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</si>
  <si>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</si>
  <si>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</si>
  <si>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</si>
  <si>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</si>
  <si>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</si>
  <si>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</si>
  <si>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</si>
  <si>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</si>
  <si>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</si>
  <si>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</si>
  <si>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</si>
  <si>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</si>
  <si>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</si>
  <si>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</si>
  <si>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</si>
  <si>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</si>
  <si>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</si>
  <si>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</si>
  <si>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</si>
  <si>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</si>
  <si>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</si>
  <si>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</si>
  <si>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</si>
  <si>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</si>
  <si>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</si>
  <si>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</si>
  <si>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</si>
  <si>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</si>
  <si>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</si>
  <si>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</si>
  <si>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</si>
  <si>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</si>
  <si>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</si>
  <si>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</si>
  <si>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</si>
  <si>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</si>
  <si>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</si>
  <si>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</si>
  <si>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</si>
  <si>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</si>
  <si>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</si>
  <si>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</si>
  <si>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</si>
  <si>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</si>
  <si>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</si>
  <si>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</si>
  <si>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</si>
  <si>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</si>
  <si>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</si>
  <si>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</si>
  <si>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</si>
  <si>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</si>
  <si>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</si>
  <si>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</si>
  <si>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</si>
  <si>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</si>
  <si>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</si>
  <si>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</si>
  <si>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</si>
  <si>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</si>
  <si>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</si>
  <si>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</si>
  <si>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</si>
  <si>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</si>
  <si>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</si>
  <si>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</si>
  <si>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</si>
  <si>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</si>
  <si>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</si>
  <si>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</si>
  <si>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</si>
  <si>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</si>
  <si>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</si>
  <si>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</si>
  <si>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</si>
  <si>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</si>
  <si>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</si>
  <si>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</si>
  <si>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</si>
  <si>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</si>
  <si>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</si>
  <si>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</si>
  <si>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</si>
  <si>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</si>
  <si>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</si>
  <si>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</si>
  <si>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</si>
  <si>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</si>
  <si>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</si>
  <si>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</si>
  <si>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</si>
  <si>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</si>
  <si>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</si>
  <si>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</si>
  <si>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</si>
  <si>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</si>
  <si>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</si>
  <si>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</si>
  <si>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</si>
  <si>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</si>
  <si>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</si>
  <si>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</si>
  <si>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</si>
  <si>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</si>
  <si>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</si>
  <si>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</si>
  <si>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</si>
  <si>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</si>
  <si>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</si>
  <si>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</si>
  <si>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</si>
  <si>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</si>
  <si>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</si>
  <si>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</si>
  <si>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</si>
  <si>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</si>
  <si>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</si>
  <si>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</si>
  <si>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</si>
  <si>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</si>
  <si>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</si>
  <si>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</si>
  <si>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</si>
  <si>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</si>
  <si>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</si>
  <si>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</si>
  <si>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</si>
  <si>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</si>
  <si>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</si>
  <si>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</si>
  <si>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</si>
  <si>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</si>
  <si>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</si>
  <si>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</si>
  <si>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</si>
  <si>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</si>
  <si>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</si>
  <si>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</si>
  <si>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</si>
  <si>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</si>
  <si>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</si>
  <si>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</si>
  <si>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</si>
  <si>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</si>
  <si>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</si>
  <si>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</si>
  <si>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</si>
  <si>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</si>
  <si>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</si>
  <si>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</si>
  <si>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</si>
  <si>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</si>
  <si>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</si>
  <si>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</si>
  <si>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</si>
  <si>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</si>
  <si>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</si>
  <si>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</si>
  <si>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</si>
  <si>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</si>
  <si>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</si>
  <si>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</si>
  <si>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</si>
  <si>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</si>
  <si>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</si>
  <si>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</si>
  <si>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</si>
  <si>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</si>
  <si>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</si>
  <si>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</si>
  <si>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</si>
  <si>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</si>
  <si>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</si>
  <si>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</si>
  <si>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</si>
  <si>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</si>
  <si>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</si>
  <si>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</si>
  <si>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</si>
  <si>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</si>
  <si>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</si>
  <si>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</si>
  <si>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</si>
  <si>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</si>
  <si>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</si>
  <si>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</si>
  <si>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</si>
  <si>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</si>
  <si>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</si>
  <si>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</si>
  <si>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</si>
  <si>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</si>
  <si>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</si>
  <si>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</si>
  <si>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</si>
  <si>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</si>
  <si>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</si>
  <si>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</si>
  <si>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</si>
  <si>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</si>
  <si>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</si>
  <si>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</si>
  <si>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</si>
  <si>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</si>
  <si>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</si>
  <si>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</si>
  <si>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</si>
  <si>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</si>
  <si>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</si>
  <si>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</si>
  <si>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</si>
  <si>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</si>
  <si>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</si>
  <si>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</si>
  <si>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</si>
  <si>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</si>
  <si>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</si>
  <si>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</si>
  <si>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</si>
  <si>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</si>
  <si>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</si>
  <si>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</si>
  <si>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</si>
  <si>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</si>
  <si>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</si>
  <si>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</si>
  <si>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</si>
  <si>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</si>
  <si>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</si>
  <si>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</si>
  <si>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</si>
  <si>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</si>
  <si>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</si>
  <si>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</si>
  <si>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</si>
  <si>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</si>
  <si>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</si>
  <si>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</si>
  <si>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</si>
  <si>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</si>
  <si>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</si>
  <si>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</si>
  <si>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</si>
  <si>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</si>
  <si>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</si>
  <si>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</si>
  <si>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</si>
  <si>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</si>
  <si>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</si>
  <si>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</si>
  <si>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</si>
  <si>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</si>
  <si>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</si>
  <si>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</si>
  <si>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</si>
  <si>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</si>
  <si>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</si>
  <si>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</si>
  <si>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</si>
  <si>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</si>
  <si>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</si>
  <si>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</si>
  <si>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</si>
  <si>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</si>
  <si>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</si>
  <si>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</si>
  <si>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</si>
  <si>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</si>
  <si>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</si>
  <si>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</si>
  <si>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</si>
  <si>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</si>
  <si>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</si>
  <si>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</si>
  <si>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</si>
  <si>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</si>
  <si>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</si>
  <si>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</si>
  <si>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</si>
  <si>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</si>
  <si>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</si>
  <si>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</si>
  <si>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</si>
  <si>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</si>
  <si>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</si>
  <si>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</si>
  <si>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</si>
  <si>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</si>
  <si>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</si>
  <si>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</si>
  <si>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</si>
  <si>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</si>
  <si>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</si>
  <si>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</si>
  <si>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</si>
  <si>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</si>
  <si>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</si>
  <si>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</si>
  <si>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</si>
  <si>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</si>
  <si>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</si>
  <si>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</si>
  <si>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</si>
  <si>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</si>
  <si>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</si>
  <si>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</si>
  <si>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</si>
  <si>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</si>
  <si>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</si>
  <si>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</si>
  <si>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</si>
  <si>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</si>
  <si>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</si>
  <si>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</si>
  <si>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</si>
  <si>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</si>
  <si>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</si>
  <si>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</si>
  <si>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</si>
  <si>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</si>
  <si>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</si>
  <si>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</si>
  <si>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</si>
  <si>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</si>
  <si>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</si>
  <si>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</si>
  <si>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</si>
  <si>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</si>
  <si>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</si>
  <si>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</si>
  <si>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</si>
  <si>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</si>
  <si>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</si>
  <si>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</si>
  <si>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</si>
  <si>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</si>
  <si>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</si>
  <si>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</si>
  <si>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</si>
  <si>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</si>
  <si>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</si>
  <si>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</si>
  <si>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</si>
  <si>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</si>
  <si>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</si>
  <si>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</si>
  <si>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</si>
  <si>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</si>
  <si>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</si>
  <si>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</si>
  <si>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</si>
  <si>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</si>
  <si>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</si>
  <si>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</si>
  <si>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</si>
  <si>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</si>
  <si>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</si>
  <si>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</si>
  <si>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</si>
  <si>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</si>
  <si>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</si>
  <si>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</si>
  <si>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</si>
  <si>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</si>
  <si>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</si>
  <si>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</si>
  <si>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</si>
  <si>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</si>
  <si>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</si>
  <si>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</si>
  <si>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</si>
  <si>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</si>
  <si>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</si>
  <si>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</si>
  <si>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</si>
  <si>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</si>
  <si>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</si>
  <si>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</si>
  <si>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</si>
  <si>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</si>
  <si>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</si>
  <si>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</si>
  <si>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</si>
  <si>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</si>
  <si>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</si>
  <si>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</si>
  <si>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</si>
  <si>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</si>
  <si>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</si>
  <si>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</si>
  <si>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</si>
  <si>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</si>
  <si>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</si>
  <si>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</si>
  <si>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</si>
  <si>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</si>
  <si>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</si>
  <si>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</si>
  <si>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</si>
  <si>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</si>
  <si>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</si>
  <si>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</si>
  <si>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</si>
  <si>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</si>
  <si>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</si>
  <si>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</si>
  <si>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</si>
  <si>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</si>
  <si>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</si>
  <si>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</si>
  <si>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</si>
  <si>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</si>
  <si>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</si>
  <si>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</si>
  <si>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</si>
  <si>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</si>
  <si>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</si>
  <si>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</si>
  <si>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</si>
  <si>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</si>
  <si>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</si>
  <si>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</si>
  <si>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</si>
  <si>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</si>
  <si>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</si>
  <si>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</si>
  <si>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</si>
  <si>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</si>
  <si>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</si>
  <si>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</si>
  <si>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</si>
  <si>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</si>
  <si>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</si>
  <si>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</si>
  <si>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</si>
  <si>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</si>
  <si>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</si>
  <si>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</si>
  <si>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</si>
  <si>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</si>
  <si>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</si>
  <si>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</si>
  <si>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</si>
  <si>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</si>
  <si>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</si>
  <si>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</si>
  <si>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</si>
  <si>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</si>
  <si>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</si>
  <si>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</si>
  <si>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</si>
  <si>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</si>
  <si>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</si>
  <si>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</si>
  <si>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</si>
  <si>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</si>
  <si>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</si>
  <si>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</si>
  <si>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</si>
  <si>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</si>
  <si>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</si>
  <si>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</si>
  <si>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</si>
  <si>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</si>
  <si>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</si>
  <si>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</si>
  <si>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</si>
  <si>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</si>
  <si>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</si>
  <si>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</si>
  <si>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</si>
  <si>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</si>
  <si>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</si>
  <si>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</si>
  <si>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</si>
  <si>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</si>
  <si>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</si>
  <si>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</si>
  <si>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</si>
  <si>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</si>
  <si>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</si>
  <si>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</si>
  <si>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</si>
  <si>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</si>
  <si>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</si>
  <si>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</si>
  <si>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</si>
  <si>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</si>
  <si>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</si>
  <si>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</si>
  <si>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</si>
  <si>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</si>
  <si>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</si>
  <si>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</si>
  <si>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</si>
  <si>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</si>
  <si>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</si>
  <si>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</si>
  <si>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</si>
  <si>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</si>
  <si>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</si>
  <si>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</si>
  <si>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</si>
  <si>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</si>
  <si>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</si>
  <si>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</si>
  <si>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</si>
  <si>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</si>
  <si>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</si>
  <si>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</si>
  <si>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</si>
  <si>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</si>
  <si>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</si>
  <si>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</si>
  <si>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</si>
  <si>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</si>
  <si>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</si>
  <si>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</si>
  <si>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</si>
  <si>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</si>
  <si>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</si>
  <si>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</si>
  <si>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</si>
  <si>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</si>
  <si>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</si>
  <si>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</si>
  <si>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</si>
  <si>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</si>
  <si>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</si>
  <si>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</si>
  <si>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</si>
  <si>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</si>
  <si>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</si>
  <si>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</si>
  <si>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</si>
  <si>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</si>
  <si>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</si>
  <si>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</si>
  <si>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</si>
  <si>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</si>
  <si>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</si>
  <si>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</si>
  <si>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</si>
  <si>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</si>
  <si>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</si>
  <si>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</si>
  <si>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</si>
  <si>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</si>
  <si>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</si>
  <si>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</si>
  <si>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</si>
  <si>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</si>
  <si>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</si>
  <si>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</si>
  <si>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</si>
  <si>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</si>
  <si>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</si>
  <si>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</si>
  <si>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</si>
  <si>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</si>
  <si>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</si>
  <si>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</si>
  <si>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</si>
  <si>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</si>
  <si>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</si>
  <si>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</si>
  <si>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</si>
  <si>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</si>
  <si>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</si>
  <si>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</si>
  <si>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</si>
  <si>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</si>
  <si>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</si>
  <si>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</si>
  <si>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</si>
  <si>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</si>
  <si>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</si>
  <si>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</si>
  <si>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</si>
  <si>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</si>
  <si>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</si>
  <si>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</si>
  <si>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</si>
  <si>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</si>
  <si>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</si>
  <si>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</si>
  <si>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</si>
  <si>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</si>
  <si>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</si>
  <si>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</si>
  <si>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</si>
  <si>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</si>
  <si>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</si>
  <si>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</si>
  <si>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</si>
  <si>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</si>
  <si>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</si>
  <si>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</si>
  <si>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</si>
  <si>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</si>
  <si>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</si>
  <si>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</si>
  <si>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</si>
  <si>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</si>
  <si>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</si>
  <si>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</si>
  <si>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</si>
  <si>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</si>
  <si>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</si>
  <si>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</si>
  <si>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</si>
  <si>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</si>
  <si>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</si>
  <si>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</si>
  <si>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</si>
  <si>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</si>
  <si>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</si>
  <si>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</si>
  <si>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</si>
  <si>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</si>
  <si>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</si>
  <si>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</si>
  <si>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</si>
  <si>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</si>
  <si>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</si>
  <si>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</si>
  <si>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</si>
  <si>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</si>
  <si>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</si>
  <si>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</si>
  <si>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</si>
  <si>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</si>
  <si>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</si>
  <si>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</si>
  <si>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</si>
  <si>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</si>
  <si>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</si>
  <si>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</si>
  <si>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</si>
  <si>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</si>
  <si>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</si>
  <si>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</si>
  <si>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</si>
  <si>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</si>
  <si>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</si>
  <si>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</si>
  <si>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</si>
  <si>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</si>
  <si>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</si>
  <si>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</si>
  <si>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</si>
  <si>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</si>
  <si>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</si>
  <si>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</si>
  <si>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</si>
  <si>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</si>
  <si>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</si>
  <si>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</si>
  <si>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</si>
  <si>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</si>
  <si>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</si>
  <si>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</si>
  <si>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</si>
  <si>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</si>
  <si>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</si>
  <si>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</si>
  <si>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</si>
  <si>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</si>
  <si>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</si>
  <si>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</si>
  <si>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</si>
  <si>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</si>
  <si>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</si>
  <si>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</si>
  <si>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</si>
  <si>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</si>
  <si>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</si>
  <si>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</si>
  <si>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</si>
  <si>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</si>
  <si>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</si>
  <si>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</si>
  <si>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</si>
  <si>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</si>
  <si>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</si>
  <si>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</si>
  <si>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</si>
  <si>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</si>
  <si>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</si>
  <si>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</si>
  <si>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</si>
  <si>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</si>
  <si>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</si>
  <si>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</si>
  <si>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</si>
  <si>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</si>
  <si>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</si>
  <si>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</si>
  <si>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</si>
  <si>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</si>
  <si>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</si>
  <si>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</si>
  <si>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</si>
  <si>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</si>
  <si>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</si>
  <si>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</si>
  <si>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</si>
  <si>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</si>
  <si>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</si>
  <si>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</si>
  <si>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</si>
  <si>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</si>
  <si>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</si>
  <si>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</si>
  <si>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</si>
  <si>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</si>
  <si>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</si>
  <si>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</si>
  <si>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</si>
  <si>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</si>
  <si>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</si>
  <si>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</si>
  <si>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</si>
  <si>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</si>
  <si>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</si>
  <si>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</si>
  <si>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</si>
  <si>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</si>
  <si>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</si>
  <si>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</si>
  <si>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</si>
  <si>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</si>
  <si>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</si>
  <si>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</si>
  <si>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</si>
  <si>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</si>
  <si>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</si>
  <si>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</si>
  <si>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</si>
  <si>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</si>
  <si>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</si>
  <si>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</si>
  <si>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</si>
  <si>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</si>
  <si>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</si>
  <si>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</si>
  <si>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</si>
  <si>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</si>
  <si>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</si>
  <si>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</si>
  <si>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</si>
  <si>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</si>
  <si>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</si>
  <si>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</si>
  <si>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</si>
  <si>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</si>
  <si>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</si>
  <si>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</si>
  <si>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</si>
  <si>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</si>
  <si>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</si>
  <si>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</si>
  <si>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</si>
  <si>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</si>
  <si>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</si>
  <si>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</si>
  <si>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</si>
  <si>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</si>
  <si>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</si>
  <si>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</si>
  <si>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</si>
  <si>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</si>
  <si>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</si>
  <si>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</si>
  <si>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</si>
  <si>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</si>
  <si>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</si>
  <si>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</si>
  <si>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</si>
  <si>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</si>
  <si>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</si>
  <si>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</si>
  <si>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</si>
  <si>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</si>
  <si>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</si>
  <si>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</si>
  <si>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</si>
  <si>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</si>
  <si>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</si>
  <si>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</si>
  <si>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</si>
  <si>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</si>
  <si>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</si>
  <si>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</si>
  <si>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</si>
  <si>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</si>
  <si>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</si>
  <si>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</si>
  <si>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</si>
  <si>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</si>
  <si>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</si>
  <si>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</si>
  <si>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</si>
  <si>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</si>
  <si>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</si>
  <si>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</si>
  <si>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</si>
  <si>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</si>
  <si>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</si>
  <si>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</si>
  <si>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</si>
  <si>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</si>
  <si>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</si>
  <si>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</si>
  <si>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</si>
  <si>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</si>
  <si>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</si>
  <si>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</si>
  <si>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</si>
  <si>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</si>
  <si>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</si>
  <si>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</si>
  <si>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</si>
  <si>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</si>
  <si>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</si>
  <si>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</si>
  <si>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</si>
  <si>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</si>
  <si>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</si>
  <si>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</si>
  <si>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</si>
  <si>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</si>
  <si>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</si>
  <si>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</si>
  <si>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</si>
  <si>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</si>
  <si>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</si>
  <si>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</si>
  <si>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</si>
  <si>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</si>
  <si>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</si>
  <si>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</si>
  <si>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</si>
  <si>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</si>
  <si>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</si>
  <si>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</si>
  <si>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</si>
  <si>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</si>
  <si>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</si>
  <si>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</si>
  <si>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</si>
  <si>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</si>
  <si>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</si>
  <si>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</si>
  <si>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</si>
  <si>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</si>
  <si>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</si>
  <si>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</si>
  <si>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</si>
  <si>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</si>
  <si>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</si>
  <si>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</si>
  <si>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</si>
  <si>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</si>
  <si>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</si>
  <si>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</si>
  <si>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</si>
  <si>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</si>
  <si>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</si>
  <si>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</si>
  <si>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</si>
  <si>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</si>
  <si>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</si>
  <si>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</si>
  <si>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</si>
  <si>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</si>
  <si>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</si>
  <si>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</si>
  <si>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</si>
  <si>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</si>
  <si>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</si>
  <si>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</si>
  <si>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</si>
  <si>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</si>
  <si>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</si>
  <si>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</si>
  <si>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</si>
  <si>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</si>
  <si>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</si>
  <si>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</si>
  <si>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</si>
  <si>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</si>
  <si>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</si>
  <si>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</si>
  <si>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</si>
  <si>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</si>
  <si>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</si>
  <si>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</si>
  <si>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</si>
  <si>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</si>
  <si>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</si>
  <si>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</si>
  <si>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</si>
  <si>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</si>
  <si>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</si>
  <si>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</si>
  <si>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</si>
  <si>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</si>
  <si>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</si>
  <si>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</si>
  <si>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</si>
  <si>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</si>
  <si>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</si>
  <si>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</si>
  <si>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</si>
  <si>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</si>
  <si>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</si>
  <si>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</si>
  <si>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</si>
  <si>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</si>
  <si>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</si>
  <si>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</si>
  <si>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</si>
  <si>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</si>
  <si>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</si>
  <si>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</si>
  <si>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</si>
  <si>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</si>
  <si>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</si>
  <si>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</si>
  <si>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</si>
  <si>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</si>
  <si>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</si>
  <si>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</si>
  <si>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</si>
  <si>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</si>
  <si>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</si>
  <si>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</si>
  <si>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</si>
  <si>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</si>
  <si>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</si>
  <si>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</si>
  <si>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</si>
  <si>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</si>
  <si>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</si>
  <si>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</si>
  <si>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</si>
  <si>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</si>
  <si>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</si>
  <si>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</si>
  <si>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</si>
  <si>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</si>
  <si>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</si>
  <si>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</si>
  <si>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</si>
  <si>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</si>
  <si>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</si>
  <si>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</si>
  <si>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</si>
  <si>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</si>
  <si>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</si>
  <si>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</si>
  <si>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</si>
  <si>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</si>
  <si>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</si>
  <si>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</si>
  <si>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</si>
  <si>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</si>
  <si>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</si>
  <si>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</si>
  <si>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</si>
  <si>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</si>
  <si>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</si>
  <si>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</si>
  <si>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</si>
  <si>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</si>
  <si>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</si>
  <si>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</si>
  <si>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</si>
  <si>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</si>
  <si>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</si>
  <si>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</si>
  <si>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</si>
  <si>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</si>
  <si>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</si>
  <si>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</si>
  <si>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</si>
  <si>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</si>
  <si>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</si>
  <si>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</si>
  <si>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</si>
  <si>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</si>
  <si>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</si>
  <si>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</si>
  <si>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</si>
  <si>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</si>
  <si>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</si>
  <si>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</si>
  <si>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</si>
  <si>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</si>
  <si>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</si>
  <si>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</si>
  <si>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</si>
  <si>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</si>
  <si>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</si>
  <si>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</si>
  <si>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</si>
  <si>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</si>
  <si>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</si>
  <si>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</si>
  <si>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</si>
  <si>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</si>
  <si>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</si>
  <si>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</si>
  <si>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</si>
  <si>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</si>
  <si>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</si>
  <si>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</si>
  <si>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</si>
  <si>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</si>
  <si>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</si>
  <si>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</si>
  <si>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</si>
  <si>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</si>
  <si>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</si>
  <si>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</si>
  <si>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</si>
  <si>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</si>
  <si>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</si>
  <si>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</si>
  <si>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</si>
  <si>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</si>
  <si>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</si>
  <si>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</si>
  <si>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</si>
  <si>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</si>
  <si>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</si>
  <si>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</si>
  <si>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</si>
  <si>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</si>
  <si>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</si>
  <si>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</si>
  <si>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</si>
  <si>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</si>
  <si>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</si>
  <si>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</si>
  <si>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</si>
  <si>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</si>
  <si>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</si>
  <si>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</si>
  <si>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</si>
  <si>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</si>
  <si>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</si>
  <si>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</si>
  <si>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</si>
  <si>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</si>
  <si>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</si>
  <si>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</si>
  <si>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</si>
  <si>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</si>
  <si>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</si>
  <si>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</si>
  <si>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</si>
  <si>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</si>
  <si>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</si>
  <si>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</si>
  <si>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</si>
  <si>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</si>
  <si>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</si>
  <si>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</si>
  <si>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</si>
  <si>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</si>
  <si>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</si>
  <si>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</si>
  <si>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</si>
  <si>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</si>
  <si>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</si>
  <si>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</si>
  <si>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</si>
  <si>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</si>
  <si>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</si>
  <si>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</si>
  <si>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</si>
  <si>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</si>
  <si>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</si>
  <si>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</si>
  <si>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</si>
  <si>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</si>
  <si>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</si>
  <si>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</si>
  <si>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</si>
  <si>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</si>
  <si>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</si>
  <si>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</si>
  <si>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</si>
  <si>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</si>
  <si>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</si>
  <si>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</si>
  <si>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</si>
  <si>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</si>
  <si>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</si>
  <si>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</si>
  <si>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</si>
  <si>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</si>
  <si>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</si>
  <si>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</si>
  <si>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</si>
  <si>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</si>
  <si>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</si>
  <si>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</si>
  <si>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</si>
  <si>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</si>
  <si>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</si>
  <si>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</si>
  <si>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</si>
  <si>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</si>
  <si>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</si>
  <si>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</si>
  <si>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</si>
  <si>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</si>
  <si>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</si>
  <si>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</si>
  <si>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</si>
  <si>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</si>
  <si>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</si>
  <si>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</si>
  <si>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</si>
  <si>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</si>
  <si>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</si>
  <si>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</si>
  <si>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</si>
  <si>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</si>
  <si>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</si>
  <si>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</si>
  <si>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</si>
  <si>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</si>
  <si>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</si>
  <si>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</si>
  <si>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</si>
  <si>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</si>
  <si>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</si>
  <si>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</si>
  <si>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</si>
  <si>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</si>
  <si>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</si>
  <si>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</si>
  <si>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</si>
  <si>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</si>
  <si>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</si>
  <si>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</si>
  <si>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</si>
  <si>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</si>
  <si>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</si>
  <si>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</si>
  <si>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</si>
  <si>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</si>
  <si>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</si>
  <si>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</si>
  <si>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</si>
  <si>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</si>
  <si>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</si>
  <si>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</si>
  <si>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</si>
  <si>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</si>
  <si>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</si>
  <si>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</si>
  <si>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</si>
  <si>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</si>
  <si>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</si>
  <si>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</si>
  <si>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</si>
  <si>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</si>
  <si>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</si>
  <si>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</si>
  <si>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</si>
  <si>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</si>
  <si>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</si>
  <si>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</si>
  <si>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</si>
  <si>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</si>
  <si>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</si>
  <si>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</si>
  <si>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</si>
  <si>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</si>
  <si>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</si>
  <si>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</si>
  <si>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</si>
  <si>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</si>
  <si>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</si>
  <si>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</si>
  <si>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</si>
  <si>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</si>
  <si>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</si>
  <si>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</si>
  <si>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</si>
  <si>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</si>
  <si>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</si>
  <si>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</si>
  <si>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</si>
  <si>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</si>
  <si>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</si>
  <si>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</si>
  <si>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</si>
  <si>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</si>
  <si>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</si>
  <si>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</si>
  <si>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</si>
  <si>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</si>
  <si>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</si>
  <si>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</si>
  <si>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</si>
  <si>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</si>
  <si>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</si>
  <si>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</si>
  <si>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</si>
  <si>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</si>
  <si>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</si>
  <si>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</si>
  <si>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</si>
  <si>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</si>
  <si>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</si>
  <si>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</si>
  <si>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</si>
  <si>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</si>
  <si>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</si>
  <si>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</si>
  <si>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</si>
  <si>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</si>
  <si>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</si>
  <si>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</si>
  <si>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</si>
  <si>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</si>
  <si>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</si>
  <si>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</si>
  <si>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</si>
  <si>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</si>
  <si>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</si>
  <si>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</si>
  <si>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</si>
  <si>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</si>
  <si>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</si>
  <si>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</si>
  <si>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</si>
  <si>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</si>
  <si>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</si>
  <si>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</si>
  <si>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</si>
  <si>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</si>
  <si>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</si>
  <si>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</si>
  <si>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</si>
  <si>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</si>
  <si>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</si>
  <si>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</si>
  <si>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</si>
  <si>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</si>
  <si>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</si>
  <si>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</si>
  <si>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</si>
  <si>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</si>
  <si>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</si>
  <si>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</si>
  <si>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</si>
  <si>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</si>
  <si>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</si>
  <si>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</si>
  <si>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</si>
  <si>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</si>
  <si>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</si>
  <si>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</si>
  <si>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</si>
  <si>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</si>
  <si>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</si>
  <si>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</si>
  <si>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</si>
  <si>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</si>
  <si>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</si>
  <si>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</si>
  <si>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</si>
  <si>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</si>
  <si>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</si>
  <si>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</si>
  <si>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</si>
  <si>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</si>
  <si>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</si>
  <si>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</si>
  <si>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</si>
  <si>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</si>
  <si>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</si>
  <si>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</si>
  <si>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</si>
  <si>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</si>
  <si>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</si>
  <si>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</si>
  <si>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</si>
  <si>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</si>
  <si>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</si>
  <si>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</si>
  <si>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</si>
  <si>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</si>
  <si>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</si>
  <si>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</si>
  <si>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</si>
  <si>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</si>
  <si>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</si>
  <si>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</si>
  <si>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</si>
  <si>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</si>
  <si>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</si>
  <si>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</si>
  <si>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</si>
  <si>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</si>
  <si>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</si>
  <si>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</si>
  <si>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</si>
  <si>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</si>
  <si>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</si>
  <si>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</si>
  <si>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</si>
  <si>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</si>
  <si>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</si>
  <si>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</si>
  <si>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</si>
  <si>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</si>
  <si>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</si>
  <si>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</si>
  <si>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</si>
  <si>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</si>
  <si>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</si>
  <si>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</si>
  <si>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</si>
  <si>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</si>
  <si>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</si>
  <si>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</si>
  <si>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</si>
  <si>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</si>
  <si>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</si>
  <si>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</si>
  <si>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</si>
  <si>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</si>
  <si>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</si>
  <si>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</si>
  <si>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</si>
  <si>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</si>
  <si>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</si>
  <si>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</si>
  <si>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</si>
  <si>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</si>
  <si>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</si>
  <si>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</si>
  <si>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</si>
  <si>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</si>
  <si>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</si>
  <si>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</si>
  <si>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</si>
  <si>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</si>
  <si>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</si>
  <si>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</si>
  <si>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</si>
  <si>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</si>
  <si>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</si>
  <si>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</si>
  <si>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</si>
  <si>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</si>
  <si>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</si>
  <si>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</si>
  <si>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</si>
  <si>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</si>
  <si>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</si>
  <si>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</si>
  <si>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</si>
  <si>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</si>
  <si>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</si>
  <si>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</si>
  <si>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</si>
  <si>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</si>
  <si>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</si>
  <si>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</si>
  <si>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</si>
  <si>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</si>
  <si>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</si>
  <si>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</si>
  <si>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</si>
  <si>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</si>
  <si>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</si>
  <si>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</si>
  <si>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</si>
  <si>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</si>
  <si>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</si>
  <si>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</si>
  <si>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</si>
  <si>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</si>
  <si>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</si>
  <si>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</si>
  <si>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</si>
  <si>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</si>
  <si>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</si>
  <si>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</si>
  <si>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</si>
  <si>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</si>
  <si>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</si>
  <si>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</si>
  <si>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</si>
  <si>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</si>
  <si>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</si>
  <si>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</si>
  <si>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</si>
  <si>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</si>
  <si>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</si>
  <si>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</si>
  <si>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</si>
  <si>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</si>
  <si>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</si>
  <si>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</si>
  <si>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</si>
  <si>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</si>
  <si>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</si>
  <si>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</si>
  <si>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</si>
  <si>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</si>
  <si>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</si>
  <si>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</si>
  <si>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</si>
  <si>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</si>
  <si>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</si>
  <si>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</si>
  <si>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</si>
  <si>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</si>
  <si>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</si>
  <si>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</si>
  <si>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</si>
  <si>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</si>
  <si>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</si>
  <si>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</si>
  <si>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</si>
  <si>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</si>
  <si>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</si>
  <si>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</si>
  <si>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</si>
  <si>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</si>
  <si>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</si>
  <si>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</si>
  <si>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</si>
  <si>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</si>
  <si>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</si>
  <si>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</si>
  <si>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</si>
  <si>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</si>
  <si>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</si>
  <si>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</si>
  <si>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</si>
  <si>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</si>
  <si>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</si>
  <si>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</si>
  <si>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</si>
  <si>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</si>
  <si>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</si>
  <si>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</si>
  <si>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</si>
  <si>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</si>
  <si>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</si>
  <si>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</si>
  <si>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</si>
  <si>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</si>
  <si>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</si>
  <si>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</si>
  <si>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</si>
  <si>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</si>
  <si>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</si>
  <si>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</si>
  <si>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</si>
  <si>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</si>
  <si>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</si>
  <si>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</si>
  <si>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</si>
  <si>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</si>
  <si>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</si>
  <si>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</si>
  <si>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</si>
  <si>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</si>
  <si>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</si>
  <si>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</si>
  <si>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</si>
  <si>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</si>
  <si>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</si>
  <si>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</si>
  <si>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</si>
  <si>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</si>
  <si>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</si>
  <si>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</si>
  <si>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</si>
  <si>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</si>
  <si>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</si>
  <si>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</si>
  <si>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</si>
  <si>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</si>
  <si>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</si>
  <si>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</si>
  <si>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</si>
  <si>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</si>
  <si>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</si>
  <si>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</si>
  <si>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</si>
  <si>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</si>
  <si>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</si>
  <si>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</si>
  <si>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</si>
  <si>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</si>
  <si>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</si>
  <si>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</si>
  <si>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</si>
  <si>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</si>
  <si>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</si>
  <si>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</si>
  <si>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</si>
  <si>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</si>
  <si>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</si>
  <si>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</si>
  <si>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</si>
  <si>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</si>
  <si>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</si>
  <si>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</si>
  <si>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</si>
  <si>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</si>
  <si>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</si>
  <si>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</si>
  <si>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</si>
  <si>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</si>
  <si>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</si>
  <si>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</si>
  <si>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</si>
  <si>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</si>
  <si>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</si>
  <si>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</si>
  <si>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</si>
  <si>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</si>
  <si>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</si>
  <si>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</si>
  <si>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</si>
  <si>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</si>
  <si>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</si>
  <si>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</si>
  <si>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</si>
  <si>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</si>
  <si>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</si>
  <si>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</si>
  <si>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</si>
  <si>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</si>
  <si>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</si>
  <si>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</si>
  <si>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</si>
  <si>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</si>
  <si>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</si>
  <si>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</si>
  <si>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</si>
  <si>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</si>
  <si>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</si>
  <si>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</si>
  <si>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</si>
  <si>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</si>
  <si>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</si>
  <si>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</si>
  <si>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</si>
  <si>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</si>
  <si>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</si>
  <si>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</si>
  <si>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</si>
  <si>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</si>
  <si>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</si>
  <si>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</si>
  <si>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</si>
  <si>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</si>
  <si>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</si>
  <si>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</si>
  <si>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</si>
  <si>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</si>
  <si>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</si>
  <si>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</si>
  <si>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</si>
  <si>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</si>
  <si>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</si>
  <si>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</si>
  <si>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</si>
  <si>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</si>
  <si>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</si>
  <si>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</si>
  <si>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</si>
  <si>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</si>
  <si>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</si>
  <si>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</si>
  <si>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</si>
  <si>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</si>
  <si>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</si>
  <si>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</si>
  <si>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</si>
  <si>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</si>
  <si>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</si>
  <si>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</si>
  <si>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</si>
  <si>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</si>
  <si>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</si>
  <si>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</si>
  <si>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</si>
  <si>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</si>
  <si>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</si>
  <si>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</si>
  <si>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</si>
  <si>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</si>
  <si>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</si>
  <si>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</si>
  <si>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</si>
  <si>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</si>
  <si>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</si>
  <si>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</si>
  <si>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</si>
  <si>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</si>
  <si>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</si>
  <si>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</si>
  <si>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</si>
  <si>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</si>
  <si>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</si>
  <si>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</si>
  <si>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</si>
  <si>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</si>
  <si>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</si>
  <si>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</si>
  <si>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</si>
  <si>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</si>
  <si>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</si>
  <si>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</si>
  <si>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</si>
  <si>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</si>
  <si>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</si>
  <si>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</si>
  <si>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</si>
  <si>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</si>
  <si>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</si>
  <si>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</si>
  <si>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</si>
  <si>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</si>
  <si>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</si>
  <si>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</si>
  <si>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</si>
  <si>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</si>
  <si>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</si>
  <si>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</si>
  <si>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</si>
  <si>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</si>
  <si>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</si>
  <si>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</si>
  <si>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</si>
  <si>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</si>
  <si>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</si>
  <si>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</si>
  <si>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</si>
  <si>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</si>
  <si>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</si>
  <si>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</si>
  <si>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</si>
  <si>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</si>
  <si>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</si>
  <si>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</si>
  <si>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</si>
  <si>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</si>
  <si>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</si>
  <si>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</si>
  <si>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</si>
  <si>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</si>
  <si>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</si>
  <si>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</si>
  <si>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</si>
  <si>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</si>
  <si>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</si>
  <si>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</si>
  <si>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</si>
  <si>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</si>
  <si>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</si>
  <si>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</si>
  <si>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</si>
  <si>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</si>
  <si>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</si>
  <si>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</si>
  <si>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</si>
  <si>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</si>
  <si>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</si>
  <si>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</si>
  <si>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</si>
  <si>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</si>
  <si>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</si>
  <si>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</si>
  <si>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</si>
  <si>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</si>
  <si>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</si>
  <si>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</si>
  <si>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</si>
  <si>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</si>
  <si>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</si>
  <si>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</si>
  <si>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</si>
  <si>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</si>
  <si>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</si>
  <si>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</si>
  <si>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</si>
  <si>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</si>
  <si>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</si>
  <si>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</si>
  <si>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</si>
  <si>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</si>
  <si>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</si>
  <si>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</si>
  <si>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</si>
  <si>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</si>
  <si>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</si>
  <si>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</si>
  <si>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</si>
  <si>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</si>
  <si>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</si>
  <si>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</si>
  <si>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</si>
  <si>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</si>
  <si>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</si>
  <si>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</si>
  <si>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</si>
  <si>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</si>
  <si>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</si>
  <si>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</si>
  <si>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</si>
  <si>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</si>
  <si>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</si>
  <si>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</si>
  <si>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</si>
  <si>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</si>
  <si>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</si>
  <si>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</si>
  <si>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</si>
  <si>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</si>
  <si>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</si>
  <si>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</si>
  <si>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</si>
  <si>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</si>
  <si>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</si>
  <si>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</si>
  <si>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</si>
  <si>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</si>
  <si>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</si>
  <si>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</si>
  <si>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</si>
  <si>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</si>
  <si>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</si>
  <si>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</si>
  <si>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</si>
  <si>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</si>
  <si>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</si>
  <si>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</si>
  <si>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</si>
  <si>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</si>
  <si>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</si>
  <si>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</si>
  <si>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</si>
  <si>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</si>
  <si>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</si>
  <si>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</si>
  <si>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</si>
  <si>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</si>
  <si>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</si>
  <si>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</si>
  <si>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</si>
  <si>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</si>
  <si>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</si>
  <si>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</si>
  <si>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</si>
  <si>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</si>
  <si>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</si>
  <si>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</si>
  <si>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</si>
  <si>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</si>
  <si>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</si>
  <si>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</si>
  <si>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</si>
  <si>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</si>
  <si>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</si>
  <si>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</si>
  <si>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</si>
  <si>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</si>
  <si>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</si>
  <si>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</si>
  <si>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</si>
  <si>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</si>
  <si>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</si>
  <si>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Per-day Stock Prices in $</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</si>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</sst>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quot;$&quot;#,##0_);[Red]\(&quot;$&quot;#,##0\)"/>
    <numFmt numFmtId="165" formatCode="&quot;$&quot;#,##0.00_);[Red]\(&quot;$&quot;#,##0.00\)"/>
    <numFmt numFmtId="166" formatCode="_([$€-2]* #,##0.00_);_([$€-2]* \(#,##0.00\);_([$€-2]* &quot;-&quot;??_)"/>
    <numFmt numFmtId="167" formatCode="&quot;$&quot;#,##0.00"/>
    <numFmt numFmtId="168" formatCode="[$-F400]h:mm:ss\ AM/PM"/>
    <numFmt numFmtId="169" formatCode="dddd"/>
    <numFmt numFmtId="170" formatCode="[$-409]m/d/yy\ h:mm\ AM/PM;@"/>
    <numFmt numFmtId="171" formatCode="[$-409]mmm\-yy;@"/>
    <numFmt numFmtId="172" formatCode="[$-409]mmmm\-yy;@"/>
    <numFmt numFmtId="173" formatCode="#\ ???/???"/>
    <numFmt numFmtId="174" formatCode="[$-F800]dddd\,\ mmmm\ dd\,\ yyyy"/>
    <numFmt numFmtId="175" formatCode="[$-409]mmmm\ d\,\ yyyy;@"/>
    <numFmt numFmtId="176" formatCode="#\ ?/10"/>
    <numFmt numFmtId="177" formatCode="#\ ??/50"/>
    <numFmt numFmtId="178" formatCode="0.000"/>
    <numFmt numFmtId="179" formatCode="0%;[Red]\-0%"/>
    <numFmt numFmtId="180" formatCode="0.0%"/>
    <numFmt numFmtId="181" formatCode="0.00000"/>
    <numFmt numFmtId="182" formatCode="00%;[Red]\-0.00%"/>
    <numFmt numFmtId="183" formatCode="&quot;$&quot;#,##0"/>
    <numFmt numFmtId="184" formatCode="0.0000"/>
  </numFmts>
  <fonts count="54">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78">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7"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7"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8" fontId="20" fillId="0" borderId="0" xfId="0" applyNumberFormat="1" applyFont="1"/>
    <xf numFmtId="20" fontId="5" fillId="0" borderId="1" xfId="0" applyNumberFormat="1" applyFont="1" applyBorder="1" applyAlignment="1">
      <alignment horizontal="center"/>
    </xf>
    <xf numFmtId="168" fontId="0" fillId="0" borderId="0" xfId="0" applyNumberFormat="1"/>
    <xf numFmtId="9" fontId="0" fillId="0" borderId="1" xfId="0" applyNumberFormat="1" applyBorder="1" applyAlignment="1">
      <alignment horizontal="center"/>
    </xf>
    <xf numFmtId="164" fontId="0" fillId="0" borderId="1" xfId="0" applyNumberFormat="1" applyBorder="1" applyAlignment="1">
      <alignment horizontal="center"/>
    </xf>
    <xf numFmtId="165" fontId="5" fillId="0" borderId="1" xfId="0" applyNumberFormat="1" applyFont="1" applyBorder="1" applyAlignment="1">
      <alignment horizontal="center"/>
    </xf>
    <xf numFmtId="165" fontId="0" fillId="0" borderId="0" xfId="0" applyNumberFormat="1"/>
    <xf numFmtId="0" fontId="5" fillId="0" borderId="5" xfId="0" applyFont="1" applyBorder="1" applyAlignment="1">
      <alignment horizontal="center"/>
    </xf>
    <xf numFmtId="164"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164"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7"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9" fontId="0" fillId="0" borderId="1" xfId="0" applyNumberFormat="1" applyBorder="1" applyAlignment="1">
      <alignment horizontal="center"/>
    </xf>
    <xf numFmtId="169"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9"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165"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70" fontId="0" fillId="0" borderId="1" xfId="0" applyNumberFormat="1" applyBorder="1" applyAlignment="1">
      <alignment horizontal="center"/>
    </xf>
    <xf numFmtId="170"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164" fontId="8" fillId="0" borderId="1" xfId="0" applyNumberFormat="1" applyFont="1" applyBorder="1" applyAlignment="1">
      <alignment horizontal="center"/>
    </xf>
    <xf numFmtId="0" fontId="8" fillId="0" borderId="1" xfId="0" applyFont="1" applyBorder="1" applyAlignment="1">
      <alignment horizontal="center"/>
    </xf>
    <xf numFmtId="164"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7"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71"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164" fontId="0" fillId="0" borderId="20" xfId="0" applyNumberFormat="1" applyBorder="1" applyAlignment="1">
      <alignment horizontal="center"/>
    </xf>
    <xf numFmtId="9" fontId="0" fillId="0" borderId="20" xfId="0" applyNumberFormat="1" applyBorder="1" applyAlignment="1">
      <alignment horizontal="center"/>
    </xf>
    <xf numFmtId="167" fontId="5" fillId="0" borderId="23" xfId="0" applyNumberFormat="1" applyFont="1" applyBorder="1" applyAlignment="1">
      <alignment horizontal="center"/>
    </xf>
    <xf numFmtId="167" fontId="5" fillId="0" borderId="17" xfId="0" applyNumberFormat="1" applyFont="1" applyBorder="1" applyAlignment="1">
      <alignment vertical="center"/>
    </xf>
    <xf numFmtId="167" fontId="5" fillId="0" borderId="10" xfId="0" applyNumberFormat="1" applyFont="1" applyBorder="1" applyAlignment="1">
      <alignment vertical="center"/>
    </xf>
    <xf numFmtId="167" fontId="5" fillId="0" borderId="44" xfId="0" applyNumberFormat="1" applyFont="1" applyBorder="1" applyAlignment="1">
      <alignment vertical="center"/>
    </xf>
    <xf numFmtId="167" fontId="5" fillId="0" borderId="1" xfId="0" applyNumberFormat="1" applyFont="1" applyBorder="1" applyAlignment="1">
      <alignment vertical="center"/>
    </xf>
    <xf numFmtId="167" fontId="5" fillId="0" borderId="20" xfId="0" applyNumberFormat="1" applyFont="1" applyBorder="1" applyAlignment="1">
      <alignment horizontal="center"/>
    </xf>
    <xf numFmtId="164" fontId="0" fillId="0" borderId="22" xfId="0" applyNumberFormat="1" applyBorder="1" applyAlignment="1">
      <alignment horizontal="center"/>
    </xf>
    <xf numFmtId="167" fontId="5" fillId="0" borderId="22" xfId="0" applyNumberFormat="1" applyFont="1" applyBorder="1" applyAlignment="1">
      <alignment horizontal="center"/>
    </xf>
    <xf numFmtId="0" fontId="0" fillId="0" borderId="24" xfId="0" applyBorder="1" applyAlignment="1">
      <alignment horizontal="center"/>
    </xf>
    <xf numFmtId="167" fontId="5" fillId="0" borderId="25" xfId="0" applyNumberFormat="1" applyFont="1" applyBorder="1" applyAlignment="1">
      <alignment horizontal="center"/>
    </xf>
    <xf numFmtId="167" fontId="5" fillId="0" borderId="1" xfId="0" applyNumberFormat="1" applyFont="1" applyBorder="1" applyAlignment="1">
      <alignment horizontal="center" vertical="center"/>
    </xf>
    <xf numFmtId="164"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165" fontId="5" fillId="0" borderId="23" xfId="0" applyNumberFormat="1" applyFont="1" applyBorder="1" applyAlignment="1">
      <alignment horizontal="center"/>
    </xf>
    <xf numFmtId="165" fontId="5" fillId="0" borderId="25" xfId="0" applyNumberFormat="1" applyFont="1"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5"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7"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2"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3" fontId="0" fillId="0" borderId="1" xfId="0" applyNumberFormat="1" applyBorder="1" applyAlignment="1">
      <alignment horizontal="left"/>
    </xf>
    <xf numFmtId="13" fontId="5" fillId="0" borderId="1" xfId="0" applyNumberFormat="1" applyFont="1" applyBorder="1" applyAlignment="1">
      <alignment horizontal="center"/>
    </xf>
    <xf numFmtId="173"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164"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165" fontId="47" fillId="0" borderId="20" xfId="0" applyNumberFormat="1" applyFont="1" applyBorder="1" applyAlignment="1">
      <alignment horizontal="center"/>
    </xf>
    <xf numFmtId="165" fontId="47" fillId="0" borderId="23" xfId="0" applyNumberFormat="1" applyFont="1" applyBorder="1" applyAlignment="1">
      <alignment horizontal="center"/>
    </xf>
    <xf numFmtId="0" fontId="0" fillId="5" borderId="1" xfId="0" applyFill="1" applyBorder="1" applyAlignment="1">
      <alignment horizontal="center"/>
    </xf>
    <xf numFmtId="165"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7"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3"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4" fontId="0" fillId="0" borderId="0" xfId="0" applyNumberFormat="1"/>
    <xf numFmtId="0" fontId="0" fillId="0" borderId="1" xfId="0" quotePrefix="1" applyBorder="1"/>
    <xf numFmtId="174" fontId="0" fillId="0" borderId="1" xfId="0" applyNumberFormat="1" applyBorder="1" applyAlignment="1">
      <alignment horizontal="center"/>
    </xf>
    <xf numFmtId="0" fontId="0" fillId="0" borderId="1" xfId="0" quotePrefix="1" applyBorder="1" applyAlignment="1">
      <alignment horizontal="left"/>
    </xf>
    <xf numFmtId="164"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164"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7"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5" fontId="0" fillId="0" borderId="1" xfId="0" applyNumberFormat="1" applyBorder="1" applyAlignment="1">
      <alignment horizontal="center"/>
    </xf>
    <xf numFmtId="20" fontId="0" fillId="0" borderId="1" xfId="0" quotePrefix="1" applyNumberFormat="1" applyBorder="1" applyAlignment="1">
      <alignment horizontal="center"/>
    </xf>
    <xf numFmtId="168" fontId="5" fillId="0" borderId="1" xfId="0" applyNumberFormat="1" applyFont="1" applyBorder="1" applyAlignment="1">
      <alignment horizontal="center"/>
    </xf>
    <xf numFmtId="174"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6" fontId="5" fillId="0" borderId="1" xfId="0" applyNumberFormat="1" applyFont="1" applyBorder="1" applyAlignment="1">
      <alignment horizontal="center"/>
    </xf>
    <xf numFmtId="177" fontId="5" fillId="0" borderId="1" xfId="0" applyNumberFormat="1" applyFont="1" applyBorder="1" applyAlignment="1">
      <alignment horizontal="center"/>
    </xf>
    <xf numFmtId="177" fontId="0" fillId="0" borderId="1" xfId="0" applyNumberFormat="1" applyBorder="1" applyAlignment="1">
      <alignment horizontal="center"/>
    </xf>
    <xf numFmtId="178"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9" fontId="0" fillId="0" borderId="0" xfId="0" applyNumberFormat="1"/>
    <xf numFmtId="9" fontId="0" fillId="0" borderId="0" xfId="2" applyFont="1"/>
    <xf numFmtId="180" fontId="0" fillId="0" borderId="0" xfId="2" applyNumberFormat="1" applyFont="1"/>
    <xf numFmtId="181" fontId="0" fillId="0" borderId="0" xfId="0" applyNumberFormat="1"/>
    <xf numFmtId="180" fontId="5" fillId="0" borderId="1" xfId="0" applyNumberFormat="1" applyFont="1" applyBorder="1" applyAlignment="1">
      <alignment horizontal="center"/>
    </xf>
    <xf numFmtId="180" fontId="0" fillId="0" borderId="0" xfId="0" applyNumberFormat="1"/>
    <xf numFmtId="182" fontId="5" fillId="0" borderId="1" xfId="0" applyNumberFormat="1" applyFont="1" applyBorder="1" applyAlignment="1">
      <alignment horizontal="center"/>
    </xf>
    <xf numFmtId="183" fontId="0" fillId="0" borderId="1" xfId="0" applyNumberFormat="1" applyBorder="1" applyAlignment="1">
      <alignment horizontal="center"/>
    </xf>
    <xf numFmtId="0" fontId="0" fillId="0" borderId="32" xfId="0" applyBorder="1" applyAlignment="1">
      <alignment horizontal="center"/>
    </xf>
    <xf numFmtId="183" fontId="5" fillId="0" borderId="1" xfId="0" applyNumberFormat="1" applyFont="1" applyBorder="1" applyAlignment="1">
      <alignment horizontal="center"/>
    </xf>
    <xf numFmtId="0" fontId="0" fillId="6" borderId="1" xfId="0" applyFill="1" applyBorder="1" applyAlignment="1">
      <alignment horizontal="center"/>
    </xf>
    <xf numFmtId="167" fontId="5" fillId="6" borderId="1" xfId="0" applyNumberFormat="1" applyFont="1" applyFill="1" applyBorder="1" applyAlignment="1">
      <alignment horizontal="center"/>
    </xf>
    <xf numFmtId="183" fontId="5" fillId="6" borderId="1" xfId="0" applyNumberFormat="1" applyFont="1" applyFill="1" applyBorder="1" applyAlignment="1">
      <alignment horizontal="center"/>
    </xf>
    <xf numFmtId="183" fontId="0" fillId="0" borderId="20" xfId="0" applyNumberFormat="1" applyBorder="1" applyAlignment="1">
      <alignment horizontal="center"/>
    </xf>
    <xf numFmtId="0" fontId="2" fillId="2" borderId="56" xfId="0" applyFont="1" applyFill="1" applyBorder="1" applyAlignment="1">
      <alignment horizontal="center" vertical="center"/>
    </xf>
    <xf numFmtId="183" fontId="5" fillId="0" borderId="23" xfId="0" applyNumberFormat="1" applyFont="1" applyBorder="1" applyAlignment="1">
      <alignment horizontal="center"/>
    </xf>
    <xf numFmtId="183"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7"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4"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0" fillId="0" borderId="0" xfId="0" applyNumberFormat="1"/>
    <xf numFmtId="0" fontId="0" fillId="0" borderId="0" xfId="0" applyFill="1" applyBorder="1" applyAlignment="1"/>
    <xf numFmtId="0" fontId="0" fillId="0" borderId="31" xfId="0" applyFill="1" applyBorder="1" applyAlignment="1"/>
    <xf numFmtId="0" fontId="46" fillId="0" borderId="53" xfId="0" applyFont="1" applyFill="1" applyBorder="1" applyAlignment="1">
      <alignment horizontal="center"/>
    </xf>
    <xf numFmtId="0" fontId="0" fillId="0" borderId="0" xfId="0" applyBorder="1"/>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7" fontId="5" fillId="0" borderId="1" xfId="0" applyNumberFormat="1" applyFont="1" applyBorder="1" applyAlignment="1">
      <alignment horizontal="center" vertical="center"/>
    </xf>
    <xf numFmtId="167" fontId="5" fillId="0" borderId="4" xfId="0" applyNumberFormat="1" applyFont="1" applyBorder="1" applyAlignment="1">
      <alignment horizontal="center" vertical="center"/>
    </xf>
    <xf numFmtId="167"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164"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pivotCacheDefinition" Target="pivotCache/pivotCacheDefinition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sharedStrings" Target="sharedStrings.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pivotCacheDefinition" Target="pivotCache/pivotCacheDefinition2.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pivotCacheDefinition" Target="pivotCache/pivotCacheDefinition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theme" Target="theme/theme1.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011ABCD3-5C45-423F-8D1D-33BA4E95F1E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CBC03208-C9B1-4B90-A488-9B94BED8C3F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8786114D-AA92-4360-91C1-74A0B77F39D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B4B51510-7B7B-42AC-A232-87020B46745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947A3614-1A56-43DA-B16B-6167FA39285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A67C51AD-EB14-4C94-9C60-A4CE0B263D6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521E9195-F59F-495C-918B-130B0D1EF1F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9C-4B26-92EF-03C53E7CF69A}"/>
                </c:ext>
              </c:extLst>
            </c:dLbl>
            <c:dLbl>
              <c:idx val="2"/>
              <c:tx>
                <c:rich>
                  <a:bodyPr/>
                  <a:lstStyle/>
                  <a:p>
                    <a:fld id="{38642A05-AA8A-4844-9658-4EA402B009E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54F94528-6BEC-4EC1-A63F-F54A984842B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9C-4B26-92EF-03C53E7CF69A}"/>
                </c:ext>
              </c:extLst>
            </c:dLbl>
            <c:dLbl>
              <c:idx val="5"/>
              <c:tx>
                <c:rich>
                  <a:bodyPr/>
                  <a:lstStyle/>
                  <a:p>
                    <a:fld id="{A0F4C4E9-C188-40A9-8224-538D8B681B7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59C-4B26-92EF-03C53E7CF69A}"/>
                </c:ext>
              </c:extLst>
            </c:dLbl>
            <c:dLbl>
              <c:idx val="8"/>
              <c:tx>
                <c:rich>
                  <a:bodyPr/>
                  <a:lstStyle/>
                  <a:p>
                    <a:fld id="{A10F2A56-B12E-4308-ADA5-07C6F351944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06542191-F5C7-4A83-B885-BFBC69B9A5F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59C-4B26-92EF-03C53E7CF69A}"/>
                </c:ext>
              </c:extLst>
            </c:dLbl>
            <c:dLbl>
              <c:idx val="11"/>
              <c:tx>
                <c:rich>
                  <a:bodyPr/>
                  <a:lstStyle/>
                  <a:p>
                    <a:fld id="{B0CD32E4-57A9-4141-8BA5-CC1BD8B7300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7AE11325-C845-4578-86FA-BA56750C676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DF4F9C14-3ABE-44BA-A92B-926E27B23BA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6557D9D9-D51F-405C-B94E-292B717F228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3E3FDB2E-FD06-431B-9F72-983D33CA7AF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6EABB03D-9280-4709-9B5B-456B3CBE1E9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DE5A8A1E-30E4-45E2-AD35-85336F5D97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7343F4BC-5D04-42E3-9C3B-DE152C4DF150}"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9D030C89-5121-4EA9-8300-8E9EFE0B5A5F}"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A370127E-CFF9-4370-8518-DE8795262789}"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C27A3749-1D42-4C5C-B1E1-247B5E861B5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D8737A1C-9997-4BAB-A089-F0CFA6551208}"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29D187A7-6DC2-4A52-8007-36B8B9AB767D}"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E2C5544C-1D80-4634-815E-51C7B9A4CB1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6E89E2F4-12D6-4D21-8F9C-7E7E39562D1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E7918A3E-708A-4CEC-9990-F8411DDBA88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3F69354E-D8DD-49E8-A0ED-2EC7F1CBDCA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10D579A0-6787-473F-94A3-4BD094252C7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EE0C8DAF-20FD-4C30-B21E-6DE1C4CE902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03284ED8-2062-4420-874F-89FA6DC596C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DCFEA481-7459-4C7A-B093-0A65E2B1FFD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F492228D-C562-45B8-9EEA-F50BAC38880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B0AE5E28-D544-4932-894A-C52F774190E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82809F2C-D65B-47EC-9F63-AFBFFDDBF43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B016A1E8-86DC-4794-A5AF-C40C3D2677A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6EC0814C-388B-46C9-8958-2D9295F1769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E5AF7BCA-E734-4298-A5A9-C7E587EF75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70A3247A-1CE9-4D35-8DC5-92048A29E9F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DE8A1129-8EB8-48D1-8D7F-2445C441473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E1CEC1A9-13E7-44D4-8339-9833F6E22BF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0631D3BB-1FDA-4187-A98A-8AF8B7BDB77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A284B9C9-EC0D-4331-A69A-E732B4DC3B5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71675" y="193675"/>
              <a:ext cx="4572000" cy="283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78150" y="650875"/>
              <a:ext cx="7410450" cy="2828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3450" y="6508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2324" y="574675"/>
              <a:ext cx="6384925" cy="2790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86024" y="200025"/>
              <a:ext cx="6042026" cy="2828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9525</xdr:rowOff>
        </xdr:from>
        <xdr:to>
          <xdr:col>8</xdr:col>
          <xdr:colOff>600075</xdr:colOff>
          <xdr:row>19</xdr:row>
          <xdr:rowOff>180975</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44725" y="193675"/>
              <a:ext cx="4572000" cy="283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98675" y="3651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8050" y="6508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67025" y="1746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2700" y="666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68450" y="539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tops" refreshedDate="45453.569377199077" createdVersion="6" refreshedVersion="6"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5"/>
  <cols>
    <col min="1" max="1" width="14.8554687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5"/>
  <cols>
    <col min="3" max="3" width="21.7109375" bestFit="1" customWidth="1"/>
    <col min="4" max="4" width="40.4257812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5"/>
  <cols>
    <col min="1" max="1" width="14.5703125" bestFit="1" customWidth="1"/>
    <col min="2" max="2" width="9.8554687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5"/>
  <cols>
    <col min="1" max="1" width="13.85546875" bestFit="1" customWidth="1"/>
    <col min="3" max="3" width="14.8554687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5"/>
  <cols>
    <col min="1" max="1" width="16.140625" bestFit="1" customWidth="1"/>
    <col min="2" max="2" width="15.7109375" bestFit="1" customWidth="1"/>
    <col min="3" max="3" width="19.42578125" bestFit="1" customWidth="1"/>
    <col min="4" max="4" width="22.710937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5"/>
  <cols>
    <col min="1" max="1" width="15.140625" bestFit="1" customWidth="1"/>
    <col min="2" max="2" width="18.140625" bestFit="1" customWidth="1"/>
    <col min="3" max="3" width="19.710937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5"/>
  <cols>
    <col min="1" max="1" width="23.140625" bestFit="1" customWidth="1"/>
    <col min="2" max="2" width="11.28515625" customWidth="1"/>
    <col min="3" max="3" width="12.42578125" customWidth="1"/>
    <col min="4" max="4" width="11.42578125" customWidth="1"/>
    <col min="7" max="7" width="27.140625" bestFit="1" customWidth="1"/>
    <col min="8" max="8" width="21.85546875" customWidth="1"/>
    <col min="9" max="9" width="21.85546875" bestFit="1" customWidth="1"/>
  </cols>
  <sheetData>
    <row r="1" spans="1:9" ht="41.1"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5"/>
  <cols>
    <col min="1" max="1" width="17.140625" bestFit="1" customWidth="1"/>
    <col min="2" max="2" width="19.7109375" bestFit="1" customWidth="1"/>
    <col min="3" max="3" width="14.85546875" bestFit="1" customWidth="1"/>
    <col min="4" max="4" width="27.570312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5"/>
  <cols>
    <col min="1" max="1" width="11.85546875" bestFit="1" customWidth="1"/>
    <col min="2" max="2" width="10.85546875" bestFit="1" customWidth="1"/>
    <col min="3" max="3" width="15.85546875" bestFit="1" customWidth="1"/>
    <col min="4" max="4" width="11.85546875" bestFit="1" customWidth="1"/>
    <col min="5" max="6" width="9.8554687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5"/>
  <cols>
    <col min="1" max="1" width="12.85546875" bestFit="1" customWidth="1"/>
    <col min="2" max="2" width="11.5703125" bestFit="1" customWidth="1"/>
    <col min="3" max="3" width="15.7109375" bestFit="1" customWidth="1"/>
    <col min="6" max="6" width="16.8554687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5"/>
  <cols>
    <col min="2" max="2" width="26.140625" bestFit="1" customWidth="1"/>
    <col min="3" max="3" width="25.8554687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5"/>
  <cols>
    <col min="1" max="1" width="9.85546875" style="14" bestFit="1" customWidth="1"/>
    <col min="2" max="2" width="7.85546875" style="14" bestFit="1" customWidth="1"/>
    <col min="3" max="3" width="8.7109375" style="14" customWidth="1"/>
    <col min="4" max="4" width="8.85546875" style="14" bestFit="1" customWidth="1"/>
    <col min="5" max="5" width="8.7109375" customWidth="1"/>
  </cols>
  <sheetData>
    <row r="1" spans="1:4" ht="51.95"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5"/>
  <cols>
    <col min="3" max="3" width="12.140625" bestFit="1" customWidth="1"/>
    <col min="4" max="4" width="12.710937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5"/>
  <cols>
    <col min="1" max="1" width="16.42578125" bestFit="1" customWidth="1"/>
    <col min="2" max="2" width="10.5703125" bestFit="1" customWidth="1"/>
    <col min="3" max="3" width="13.140625" bestFit="1" customWidth="1"/>
    <col min="4" max="4" width="10.5703125" bestFit="1" customWidth="1"/>
    <col min="5" max="5" width="14.8554687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5"/>
  <cols>
    <col min="2" max="2" width="13.570312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5"/>
  <cols>
    <col min="1" max="1" width="17.5703125" bestFit="1" customWidth="1"/>
    <col min="2" max="2" width="11.28515625" bestFit="1" customWidth="1"/>
    <col min="3" max="3" width="11.5703125" bestFit="1" customWidth="1"/>
    <col min="4" max="4" width="13.4257812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5"/>
  <cols>
    <col min="1" max="1" width="28.85546875" bestFit="1" customWidth="1"/>
    <col min="2" max="2" width="16.5703125" bestFit="1" customWidth="1"/>
    <col min="3" max="3" width="17.7109375" bestFit="1" customWidth="1"/>
    <col min="4" max="4" width="15.570312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5"/>
  <cols>
    <col min="2" max="2" width="9.14062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5"/>
  <cols>
    <col min="1" max="1" width="16.140625" bestFit="1" customWidth="1"/>
    <col min="3" max="3" width="9.140625" bestFit="1" customWidth="1"/>
    <col min="4" max="4" width="11.4257812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5"/>
  <cols>
    <col min="1" max="1" width="13.140625" bestFit="1" customWidth="1"/>
    <col min="2" max="2" width="9.42578125" bestFit="1" customWidth="1"/>
    <col min="3" max="3" width="13.4257812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5"/>
  <cols>
    <col min="1" max="1" width="16.42578125" bestFit="1" customWidth="1"/>
    <col min="2" max="2" width="58.42578125" bestFit="1" customWidth="1"/>
    <col min="3" max="3" width="14.7109375" bestFit="1" customWidth="1"/>
    <col min="4" max="4" width="13.5703125" bestFit="1" customWidth="1"/>
    <col min="5" max="5" width="11.28515625" bestFit="1" customWidth="1"/>
    <col min="6" max="6" width="13.7109375" bestFit="1" customWidth="1"/>
    <col min="7" max="7" width="14.570312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5"/>
  <cols>
    <col min="1" max="1" width="9.85546875" bestFit="1" customWidth="1"/>
    <col min="2" max="2" width="8.570312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5"/>
  <cols>
    <col min="2" max="2" width="11.4257812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5"/>
  <cols>
    <col min="1" max="1" width="20.28515625" customWidth="1"/>
    <col min="2" max="2" width="11.42578125" bestFit="1" customWidth="1"/>
  </cols>
  <sheetData>
    <row r="1" spans="1:2" ht="45">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5"/>
  <cols>
    <col min="1" max="1" width="23" bestFit="1" customWidth="1"/>
    <col min="2" max="2" width="11.4257812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5"/>
  <cols>
    <col min="5" max="5" width="11.4257812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5"/>
  <cols>
    <col min="1" max="1" width="18.85546875" bestFit="1" customWidth="1"/>
    <col min="5" max="5" width="14.85546875" bestFit="1" customWidth="1"/>
    <col min="6" max="6" width="15.28515625" bestFit="1" customWidth="1"/>
    <col min="7" max="8" width="6.85546875" bestFit="1" customWidth="1"/>
    <col min="9" max="9" width="10.710937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5"/>
  <cols>
    <col min="1" max="1" width="21.140625" bestFit="1" customWidth="1"/>
    <col min="2" max="2" width="15.28515625" bestFit="1" customWidth="1"/>
    <col min="3" max="3" width="7.140625" bestFit="1" customWidth="1"/>
    <col min="4" max="5" width="6.85546875" bestFit="1" customWidth="1"/>
    <col min="6" max="6" width="10.710937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5"/>
  <cols>
    <col min="3" max="3" width="14.710937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5"/>
  <cols>
    <col min="1" max="1" width="15.7109375" bestFit="1" customWidth="1"/>
    <col min="2" max="2" width="15.28515625" bestFit="1" customWidth="1"/>
    <col min="3" max="3" width="4.85546875" bestFit="1" customWidth="1"/>
    <col min="4" max="4" width="10.7109375" bestFit="1" customWidth="1"/>
    <col min="5" max="5" width="22.42578125" bestFit="1" customWidth="1"/>
    <col min="6" max="6" width="19.42578125" bestFit="1" customWidth="1"/>
    <col min="7" max="7" width="27.14062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5"/>
  <cols>
    <col min="1" max="1" width="12.85546875" bestFit="1" customWidth="1"/>
    <col min="2" max="2" width="12.85546875" customWidth="1"/>
    <col min="3" max="3" width="15.7109375" bestFit="1" customWidth="1"/>
    <col min="4" max="4" width="8.140625" bestFit="1" customWidth="1"/>
    <col min="5" max="5" width="15.8554687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5"/>
  <cols>
    <col min="1" max="1" width="13.42578125" bestFit="1" customWidth="1"/>
    <col min="2" max="2" width="16.140625" bestFit="1" customWidth="1"/>
    <col min="3" max="3" width="2.85546875" bestFit="1" customWidth="1"/>
    <col min="4" max="4" width="10.7109375" bestFit="1" customWidth="1"/>
    <col min="5" max="6" width="2.85546875" bestFit="1" customWidth="1"/>
    <col min="7" max="7" width="10.710937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5"/>
  <cols>
    <col min="1" max="1" width="15.85546875" bestFit="1" customWidth="1"/>
    <col min="2" max="2" width="13.85546875" bestFit="1" customWidth="1"/>
    <col min="3" max="3" width="14.42578125" bestFit="1" customWidth="1"/>
    <col min="4" max="4" width="9.285156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5"/>
  <cols>
    <col min="1" max="1" width="19.28515625" bestFit="1" customWidth="1"/>
    <col min="2" max="2" width="16.28515625" bestFit="1" customWidth="1"/>
    <col min="3" max="4" width="8.85546875" bestFit="1" customWidth="1"/>
    <col min="5" max="5" width="11.28515625" bestFit="1" customWidth="1"/>
  </cols>
  <sheetData>
    <row r="3" spans="1:5">
      <c r="A3" s="23" t="s">
        <v>393</v>
      </c>
      <c r="B3" s="23" t="s">
        <v>338</v>
      </c>
    </row>
    <row r="4" spans="1:5">
      <c r="A4" s="23" t="s">
        <v>336</v>
      </c>
      <c r="B4" t="s">
        <v>307</v>
      </c>
      <c r="C4" t="s">
        <v>308</v>
      </c>
      <c r="D4" t="s">
        <v>309</v>
      </c>
      <c r="E4" t="s">
        <v>337</v>
      </c>
    </row>
    <row r="5" spans="1:5">
      <c r="A5" s="24" t="s">
        <v>388</v>
      </c>
      <c r="B5" s="365">
        <v>100000</v>
      </c>
      <c r="C5" s="365">
        <v>290000</v>
      </c>
      <c r="D5" s="365">
        <v>190000</v>
      </c>
      <c r="E5" s="365">
        <v>580000</v>
      </c>
    </row>
    <row r="6" spans="1:5">
      <c r="A6" s="24" t="s">
        <v>392</v>
      </c>
      <c r="B6" s="365">
        <v>150000</v>
      </c>
      <c r="C6" s="365">
        <v>350000</v>
      </c>
      <c r="D6" s="365">
        <v>240000</v>
      </c>
      <c r="E6" s="365">
        <v>740000</v>
      </c>
    </row>
    <row r="7" spans="1:5">
      <c r="A7" s="24" t="s">
        <v>389</v>
      </c>
      <c r="B7" s="365">
        <v>200000</v>
      </c>
      <c r="C7" s="365">
        <v>300000</v>
      </c>
      <c r="D7" s="365">
        <v>300000</v>
      </c>
      <c r="E7" s="365">
        <v>800000</v>
      </c>
    </row>
    <row r="8" spans="1:5">
      <c r="A8" s="24" t="s">
        <v>390</v>
      </c>
      <c r="B8" s="365">
        <v>230000</v>
      </c>
      <c r="C8" s="365">
        <v>280000</v>
      </c>
      <c r="D8" s="365">
        <v>390000</v>
      </c>
      <c r="E8" s="365">
        <v>900000</v>
      </c>
    </row>
    <row r="9" spans="1:5">
      <c r="A9" s="24" t="s">
        <v>391</v>
      </c>
      <c r="B9" s="365">
        <v>110000</v>
      </c>
      <c r="C9" s="365">
        <v>250000</v>
      </c>
      <c r="D9" s="365">
        <v>380000</v>
      </c>
      <c r="E9" s="365">
        <v>740000</v>
      </c>
    </row>
    <row r="10" spans="1:5">
      <c r="A10" s="24" t="s">
        <v>337</v>
      </c>
      <c r="B10" s="365">
        <v>790000</v>
      </c>
      <c r="C10" s="365">
        <v>1470000</v>
      </c>
      <c r="D10" s="365">
        <v>1500000</v>
      </c>
      <c r="E10" s="365">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5"/>
  <cols>
    <col min="1" max="1" width="12" bestFit="1" customWidth="1"/>
    <col min="2" max="2" width="6.5703125" bestFit="1" customWidth="1"/>
    <col min="3" max="3" width="11.4257812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5"/>
  <cols>
    <col min="2" max="2" width="11.5703125" bestFit="1" customWidth="1"/>
    <col min="5" max="5" width="12.42578125" bestFit="1" customWidth="1"/>
    <col min="6" max="6" width="15.28515625" bestFit="1" customWidth="1"/>
    <col min="7" max="7" width="9.28515625" bestFit="1" customWidth="1"/>
    <col min="8" max="8" width="11.85546875" bestFit="1" customWidth="1"/>
    <col min="9" max="9" width="6.85546875" bestFit="1" customWidth="1"/>
    <col min="10" max="10" width="10.710937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5"/>
  <cols>
    <col min="1" max="1" width="18.7109375" bestFit="1" customWidth="1"/>
    <col min="2" max="2" width="10" bestFit="1" customWidth="1"/>
  </cols>
  <sheetData>
    <row r="1" spans="1:3">
      <c r="A1" s="1" t="s">
        <v>130</v>
      </c>
      <c r="B1" s="1" t="s">
        <v>403</v>
      </c>
      <c r="C1" s="1" t="s">
        <v>414</v>
      </c>
    </row>
    <row r="2" spans="1:3" ht="18">
      <c r="A2" s="26" t="s">
        <v>404</v>
      </c>
      <c r="B2" s="27" t="s">
        <v>409</v>
      </c>
      <c r="C2" s="28" t="str">
        <f>B2</f>
        <v>TS21433</v>
      </c>
    </row>
    <row r="3" spans="1:3" ht="18">
      <c r="A3" s="2" t="s">
        <v>405</v>
      </c>
      <c r="B3" s="27" t="s">
        <v>410</v>
      </c>
      <c r="C3" s="28" t="str">
        <f>B3</f>
        <v>TS34686</v>
      </c>
    </row>
    <row r="4" spans="1:3" ht="18">
      <c r="A4" s="2" t="s">
        <v>406</v>
      </c>
      <c r="B4" s="27" t="s">
        <v>411</v>
      </c>
      <c r="C4" s="28" t="str">
        <f>B4</f>
        <v>TS29340</v>
      </c>
    </row>
    <row r="5" spans="1:3" ht="18">
      <c r="A5" s="2" t="s">
        <v>407</v>
      </c>
      <c r="B5" s="27" t="s">
        <v>412</v>
      </c>
      <c r="C5" s="28" t="str">
        <f>B5</f>
        <v>TS22065</v>
      </c>
    </row>
    <row r="6" spans="1:3" ht="18">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5"/>
  <cols>
    <col min="1" max="1" width="7.42578125" bestFit="1" customWidth="1"/>
    <col min="2" max="2" width="9.7109375" bestFit="1" customWidth="1"/>
    <col min="3" max="3" width="14.85546875" customWidth="1"/>
  </cols>
  <sheetData>
    <row r="1" spans="1:5">
      <c r="A1" s="1" t="s">
        <v>201</v>
      </c>
      <c r="B1" s="1" t="s">
        <v>425</v>
      </c>
      <c r="C1" s="1" t="s">
        <v>426</v>
      </c>
    </row>
    <row r="2" spans="1:5" ht="30">
      <c r="A2" s="2" t="s">
        <v>415</v>
      </c>
      <c r="B2" s="27" t="s">
        <v>427</v>
      </c>
      <c r="C2" s="29" t="str">
        <f>B2</f>
        <v>PD010</v>
      </c>
      <c r="E2" s="30"/>
    </row>
    <row r="3" spans="1:5" ht="30">
      <c r="A3" s="2" t="s">
        <v>416</v>
      </c>
      <c r="B3" s="27" t="s">
        <v>428</v>
      </c>
      <c r="C3" s="29" t="str">
        <f t="shared" ref="C3:C11" si="0">B3</f>
        <v>PD011</v>
      </c>
    </row>
    <row r="4" spans="1:5" ht="30">
      <c r="A4" s="2" t="s">
        <v>417</v>
      </c>
      <c r="B4" s="27" t="s">
        <v>429</v>
      </c>
      <c r="C4" s="29" t="str">
        <f t="shared" si="0"/>
        <v>PD012</v>
      </c>
    </row>
    <row r="5" spans="1:5" ht="30">
      <c r="A5" s="2" t="s">
        <v>418</v>
      </c>
      <c r="B5" s="27" t="s">
        <v>430</v>
      </c>
      <c r="C5" s="29" t="str">
        <f t="shared" si="0"/>
        <v>PD013</v>
      </c>
    </row>
    <row r="6" spans="1:5" ht="30">
      <c r="A6" s="2" t="s">
        <v>419</v>
      </c>
      <c r="B6" s="27" t="s">
        <v>431</v>
      </c>
      <c r="C6" s="29" t="str">
        <f t="shared" si="0"/>
        <v>PD014</v>
      </c>
    </row>
    <row r="7" spans="1:5" ht="30">
      <c r="A7" s="2" t="s">
        <v>420</v>
      </c>
      <c r="B7" s="27" t="s">
        <v>432</v>
      </c>
      <c r="C7" s="29" t="str">
        <f t="shared" si="0"/>
        <v>PD015</v>
      </c>
    </row>
    <row r="8" spans="1:5" ht="30">
      <c r="A8" s="2" t="s">
        <v>421</v>
      </c>
      <c r="B8" s="27" t="s">
        <v>433</v>
      </c>
      <c r="C8" s="29" t="str">
        <f t="shared" si="0"/>
        <v>PD016</v>
      </c>
    </row>
    <row r="9" spans="1:5" ht="30">
      <c r="A9" s="2" t="s">
        <v>422</v>
      </c>
      <c r="B9" s="27" t="s">
        <v>434</v>
      </c>
      <c r="C9" s="29" t="str">
        <f t="shared" si="0"/>
        <v>PD017</v>
      </c>
    </row>
    <row r="10" spans="1:5" ht="30">
      <c r="A10" s="2" t="s">
        <v>423</v>
      </c>
      <c r="B10" s="27" t="s">
        <v>435</v>
      </c>
      <c r="C10" s="29" t="str">
        <f t="shared" si="0"/>
        <v>PD018</v>
      </c>
    </row>
    <row r="11" spans="1:5" ht="30">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5"/>
  <cols>
    <col min="1" max="1" width="7.42578125" bestFit="1" customWidth="1"/>
    <col min="2" max="2" width="9.7109375" bestFit="1" customWidth="1"/>
    <col min="3" max="3" width="14.85546875" bestFit="1" customWidth="1"/>
  </cols>
  <sheetData>
    <row r="1" spans="1:4">
      <c r="A1" s="1" t="s">
        <v>201</v>
      </c>
      <c r="B1" s="1" t="s">
        <v>425</v>
      </c>
      <c r="C1" s="1" t="s">
        <v>426</v>
      </c>
    </row>
    <row r="2" spans="1:4" ht="30">
      <c r="A2" s="2" t="s">
        <v>415</v>
      </c>
      <c r="B2" s="27" t="s">
        <v>427</v>
      </c>
      <c r="C2" s="31" t="str">
        <f>"("&amp;B2&amp;")"</f>
        <v>(PD010)</v>
      </c>
      <c r="D2" s="32"/>
    </row>
    <row r="3" spans="1:4" ht="30">
      <c r="A3" s="2" t="s">
        <v>416</v>
      </c>
      <c r="B3" s="27" t="s">
        <v>428</v>
      </c>
      <c r="C3" s="31" t="str">
        <f t="shared" ref="C3:C11" si="0">"("&amp;B3&amp;")"</f>
        <v>(PD011)</v>
      </c>
    </row>
    <row r="4" spans="1:4" ht="30">
      <c r="A4" s="2" t="s">
        <v>417</v>
      </c>
      <c r="B4" s="27" t="s">
        <v>429</v>
      </c>
      <c r="C4" s="31" t="str">
        <f t="shared" si="0"/>
        <v>(PD012)</v>
      </c>
    </row>
    <row r="5" spans="1:4" ht="30">
      <c r="A5" s="2" t="s">
        <v>418</v>
      </c>
      <c r="B5" s="27" t="s">
        <v>430</v>
      </c>
      <c r="C5" s="31" t="str">
        <f t="shared" si="0"/>
        <v>(PD013)</v>
      </c>
    </row>
    <row r="6" spans="1:4" ht="30">
      <c r="A6" s="2" t="s">
        <v>419</v>
      </c>
      <c r="B6" s="27" t="s">
        <v>431</v>
      </c>
      <c r="C6" s="31" t="str">
        <f t="shared" si="0"/>
        <v>(PD014)</v>
      </c>
    </row>
    <row r="7" spans="1:4" ht="30">
      <c r="A7" s="2" t="s">
        <v>420</v>
      </c>
      <c r="B7" s="27" t="s">
        <v>432</v>
      </c>
      <c r="C7" s="31" t="str">
        <f t="shared" si="0"/>
        <v>(PD015)</v>
      </c>
    </row>
    <row r="8" spans="1:4" ht="30">
      <c r="A8" s="2" t="s">
        <v>421</v>
      </c>
      <c r="B8" s="27" t="s">
        <v>433</v>
      </c>
      <c r="C8" s="31" t="str">
        <f t="shared" si="0"/>
        <v>(PD016)</v>
      </c>
    </row>
    <row r="9" spans="1:4" ht="30">
      <c r="A9" s="2" t="s">
        <v>422</v>
      </c>
      <c r="B9" s="27" t="s">
        <v>434</v>
      </c>
      <c r="C9" s="31" t="str">
        <f t="shared" si="0"/>
        <v>(PD017)</v>
      </c>
    </row>
    <row r="10" spans="1:4" ht="30">
      <c r="A10" s="2" t="s">
        <v>423</v>
      </c>
      <c r="B10" s="27" t="s">
        <v>435</v>
      </c>
      <c r="C10" s="31" t="str">
        <f t="shared" si="0"/>
        <v>(PD018)</v>
      </c>
    </row>
    <row r="11" spans="1:4" ht="30">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5"/>
  <cols>
    <col min="1" max="1" width="14.85546875" bestFit="1" customWidth="1"/>
    <col min="2" max="2" width="19.85546875" style="14" customWidth="1"/>
  </cols>
  <sheetData>
    <row r="1" spans="1:2">
      <c r="A1" s="1" t="s">
        <v>201</v>
      </c>
      <c r="B1" s="2" t="s">
        <v>437</v>
      </c>
    </row>
    <row r="2" spans="1:2">
      <c r="A2" s="14"/>
    </row>
    <row r="3" spans="1:2">
      <c r="A3" s="1" t="s">
        <v>440</v>
      </c>
      <c r="B3" s="27" t="s">
        <v>438</v>
      </c>
    </row>
    <row r="4" spans="1:2">
      <c r="A4" s="14"/>
    </row>
    <row r="5" spans="1:2" ht="30.95"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0.95"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5"/>
  <cols>
    <col min="1" max="1" width="11.42578125" bestFit="1" customWidth="1"/>
    <col min="2" max="2" width="15.140625" bestFit="1" customWidth="1"/>
    <col min="3" max="3" width="15.140625" customWidth="1"/>
    <col min="4" max="4" width="17.42578125" customWidth="1"/>
  </cols>
  <sheetData>
    <row r="1" spans="1:4">
      <c r="A1" s="1" t="s">
        <v>97</v>
      </c>
      <c r="B1" s="1" t="s">
        <v>447</v>
      </c>
      <c r="C1" s="1" t="s">
        <v>448</v>
      </c>
      <c r="D1" s="1" t="s">
        <v>414</v>
      </c>
    </row>
    <row r="2" spans="1:4" ht="44.25">
      <c r="A2" s="2" t="s">
        <v>394</v>
      </c>
      <c r="B2" s="2">
        <v>2020</v>
      </c>
      <c r="C2" s="27" t="s">
        <v>449</v>
      </c>
      <c r="D2" s="34" t="str">
        <f>C2</f>
        <v>MAT1329845</v>
      </c>
    </row>
    <row r="3" spans="1:4" ht="44.25">
      <c r="A3" s="2" t="s">
        <v>101</v>
      </c>
      <c r="B3" s="2">
        <v>2021</v>
      </c>
      <c r="C3" s="27" t="s">
        <v>450</v>
      </c>
      <c r="D3" s="34" t="str">
        <f>C3</f>
        <v>ENG1803820</v>
      </c>
    </row>
    <row r="4" spans="1:4" ht="44.25">
      <c r="A4" s="2" t="s">
        <v>98</v>
      </c>
      <c r="B4" s="2">
        <v>2022</v>
      </c>
      <c r="C4" s="27" t="s">
        <v>451</v>
      </c>
      <c r="D4" s="34" t="str">
        <f>C4</f>
        <v>HIS9803418</v>
      </c>
    </row>
    <row r="5" spans="1:4" ht="44.25">
      <c r="A5" s="2" t="s">
        <v>99</v>
      </c>
      <c r="B5" s="2">
        <v>2021</v>
      </c>
      <c r="C5" s="27" t="s">
        <v>452</v>
      </c>
      <c r="D5" s="34" t="str">
        <f>C5</f>
        <v>GEO2398571</v>
      </c>
    </row>
    <row r="6" spans="1:4" ht="44.25">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5"/>
  <cols>
    <col min="1" max="1" width="28.42578125" bestFit="1" customWidth="1"/>
    <col min="2" max="2" width="12" bestFit="1" customWidth="1"/>
    <col min="3" max="3" width="22" bestFit="1" customWidth="1"/>
    <col min="4" max="4" width="24.5703125" bestFit="1" customWidth="1"/>
  </cols>
  <sheetData>
    <row r="1" spans="1:5">
      <c r="A1" s="1" t="s">
        <v>78</v>
      </c>
      <c r="B1" s="1" t="s">
        <v>441</v>
      </c>
      <c r="C1" s="1" t="s">
        <v>454</v>
      </c>
      <c r="D1" s="1" t="s">
        <v>455</v>
      </c>
    </row>
    <row r="2" spans="1:5" ht="30">
      <c r="A2" s="35" t="s">
        <v>62</v>
      </c>
      <c r="B2" s="36">
        <v>44248</v>
      </c>
      <c r="C2" s="37" t="s">
        <v>456</v>
      </c>
      <c r="D2" s="31" t="str">
        <f t="shared" ref="D2:D7" si="0">"("&amp;C2&amp;")"</f>
        <v>(APP56480721)</v>
      </c>
      <c r="E2" s="38"/>
    </row>
    <row r="3" spans="1:5" ht="30">
      <c r="A3" s="35" t="s">
        <v>442</v>
      </c>
      <c r="B3" s="36">
        <v>44250</v>
      </c>
      <c r="C3" s="37" t="s">
        <v>457</v>
      </c>
      <c r="D3" s="31" t="str">
        <f t="shared" si="0"/>
        <v>(SAM56500322)</v>
      </c>
    </row>
    <row r="4" spans="1:5" ht="30">
      <c r="A4" s="35" t="s">
        <v>443</v>
      </c>
      <c r="B4" s="36">
        <v>44393</v>
      </c>
      <c r="C4" s="37" t="s">
        <v>458</v>
      </c>
      <c r="D4" s="31" t="str">
        <f t="shared" si="0"/>
        <v>(SAM57500540)</v>
      </c>
    </row>
    <row r="5" spans="1:5" ht="30">
      <c r="A5" s="35" t="s">
        <v>444</v>
      </c>
      <c r="B5" s="36">
        <v>44428</v>
      </c>
      <c r="C5" s="37" t="s">
        <v>459</v>
      </c>
      <c r="D5" s="31" t="str">
        <f t="shared" si="0"/>
        <v>(APP58932980)</v>
      </c>
    </row>
    <row r="6" spans="1:5" ht="30">
      <c r="A6" s="35" t="s">
        <v>445</v>
      </c>
      <c r="B6" s="36">
        <v>44433</v>
      </c>
      <c r="C6" s="37" t="s">
        <v>460</v>
      </c>
      <c r="D6" s="31" t="str">
        <f t="shared" si="0"/>
        <v>(SAM59129993)</v>
      </c>
    </row>
    <row r="7" spans="1:5" ht="30">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5"/>
  <cols>
    <col min="1" max="1" width="22.42578125" bestFit="1" customWidth="1"/>
    <col min="2" max="2" width="18.710937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5"/>
  <cols>
    <col min="1" max="1" width="22.42578125" bestFit="1" customWidth="1"/>
    <col min="2" max="2" width="5.8554687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5"/>
  <cols>
    <col min="1" max="1" width="11.7109375" bestFit="1" customWidth="1"/>
    <col min="3" max="3" width="17.14062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5"/>
  <cols>
    <col min="1" max="1" width="30.7109375" bestFit="1" customWidth="1"/>
    <col min="2" max="2" width="19.85546875" bestFit="1" customWidth="1"/>
    <col min="3" max="3" width="17.140625" bestFit="1" customWidth="1"/>
    <col min="4" max="4" width="14.42578125" bestFit="1" customWidth="1"/>
    <col min="5" max="5" width="13.710937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9525</xdr:rowOff>
                  </from>
                  <to>
                    <xdr:col>8</xdr:col>
                    <xdr:colOff>600075</xdr:colOff>
                    <xdr:row>19</xdr:row>
                    <xdr:rowOff>180975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5"/>
  <cols>
    <col min="2" max="2" width="41.28515625" bestFit="1" customWidth="1"/>
    <col min="3" max="3" width="29.8554687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5"/>
  <cols>
    <col min="1" max="2" width="19.14062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5"/>
  <cols>
    <col min="1" max="2" width="24.14062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5"/>
  <cols>
    <col min="1" max="1" width="51.42578125" bestFit="1" customWidth="1"/>
    <col min="2" max="2" width="51.4257812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5"/>
  <cols>
    <col min="1" max="1" width="12.42578125" bestFit="1" customWidth="1"/>
    <col min="2" max="2" width="21.4257812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5"/>
  <cols>
    <col min="1" max="1" width="17" bestFit="1" customWidth="1"/>
    <col min="2" max="2" width="22.5703125" bestFit="1" customWidth="1"/>
    <col min="3" max="3" width="22.42578125" bestFit="1" customWidth="1"/>
    <col min="4" max="4" width="23.8554687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5"/>
  <cols>
    <col min="1" max="1" width="18.5703125" bestFit="1" customWidth="1"/>
    <col min="2" max="2" width="20.5703125" bestFit="1" customWidth="1"/>
    <col min="3" max="3" width="18.42578125" bestFit="1" customWidth="1"/>
    <col min="4" max="4" width="19.8554687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5"/>
  <cols>
    <col min="1" max="1" width="11.42578125" bestFit="1" customWidth="1"/>
    <col min="2" max="2" width="47.42578125" bestFit="1" customWidth="1"/>
    <col min="3" max="3" width="27.5703125" customWidth="1"/>
    <col min="4" max="4" width="57.285156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75">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5"/>
  <cols>
    <col min="1" max="1" width="13.140625" bestFit="1" customWidth="1"/>
    <col min="2" max="2" width="47.42578125" bestFit="1" customWidth="1"/>
    <col min="3" max="3" width="43.140625" customWidth="1"/>
  </cols>
  <sheetData>
    <row r="1" spans="1:3">
      <c r="A1" s="44" t="s">
        <v>617</v>
      </c>
      <c r="B1" s="1" t="s">
        <v>608</v>
      </c>
      <c r="C1" s="1" t="s">
        <v>620</v>
      </c>
    </row>
    <row r="2" spans="1:3">
      <c r="A2" s="370">
        <v>20.5</v>
      </c>
      <c r="B2" s="43" t="s">
        <v>618</v>
      </c>
      <c r="C2" s="39" t="str">
        <f>TEXT(A2,"0.00")</f>
        <v>20.50</v>
      </c>
    </row>
    <row r="3" spans="1:3">
      <c r="A3" s="371"/>
      <c r="B3" s="43" t="s">
        <v>619</v>
      </c>
      <c r="C3" s="39" t="str">
        <f>TEXT(A2,"# ???/???")</f>
        <v xml:space="preserve">20   1/2  </v>
      </c>
    </row>
    <row r="4" spans="1:3">
      <c r="A4" s="371"/>
      <c r="B4" s="43" t="s">
        <v>610</v>
      </c>
      <c r="C4" s="39" t="str">
        <f>TEXT(A2,"#%")</f>
        <v>2050%</v>
      </c>
    </row>
    <row r="5" spans="1:3">
      <c r="A5" s="372"/>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5"/>
  <cols>
    <col min="3" max="3" width="48.85546875" bestFit="1" customWidth="1"/>
    <col min="7" max="7" width="18.140625" bestFit="1" customWidth="1"/>
    <col min="11" max="11" width="39.570312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5"/>
  <cols>
    <col min="1" max="1" width="36.28515625" bestFit="1" customWidth="1"/>
    <col min="3" max="3" width="11.85546875" bestFit="1" customWidth="1"/>
    <col min="4" max="4" width="40.140625" customWidth="1"/>
    <col min="6" max="6" width="8.710937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30">
      <c r="A3" s="19" t="s">
        <v>666</v>
      </c>
      <c r="B3" s="2">
        <v>250</v>
      </c>
      <c r="C3" s="20">
        <v>44586</v>
      </c>
      <c r="D3" s="52" t="str">
        <f>B3&amp;" units of "&amp;A3&amp;" were delivered on "&amp;TEXT(C3,"dd mmm, yyyy")&amp;"."</f>
        <v>250 units of Timbuk2 Spire were delivered on 25 Jan, 2022.</v>
      </c>
    </row>
    <row r="4" spans="1:4" ht="30">
      <c r="A4" s="19" t="s">
        <v>667</v>
      </c>
      <c r="B4" s="2">
        <v>100</v>
      </c>
      <c r="C4" s="20">
        <v>44595</v>
      </c>
      <c r="D4" s="52" t="str">
        <f>B4&amp;" units of "&amp;A4&amp;" were delivered on "&amp;TEXT(C4,"dd mmm, yyyy")&amp;"."</f>
        <v>100 units of Mancro Anti-Theft Backpack were delivered on 03 Feb, 2022.</v>
      </c>
    </row>
    <row r="5" spans="1:4" ht="30">
      <c r="A5" s="19" t="s">
        <v>668</v>
      </c>
      <c r="B5" s="2">
        <v>300</v>
      </c>
      <c r="C5" s="20">
        <v>44607</v>
      </c>
      <c r="D5" s="52" t="str">
        <f>B5&amp;" units of "&amp;A5&amp;" were delivered on "&amp;TEXT(C5,"dd mmm, yyyy")&amp;"."</f>
        <v>300 units of HP Envy Urban Backpack were delivered on 15 Feb, 2022.</v>
      </c>
    </row>
    <row r="6" spans="1:4" ht="29.1"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5"/>
  <cols>
    <col min="1" max="1" width="11.28515625" bestFit="1" customWidth="1"/>
    <col min="2" max="2" width="10.42578125" bestFit="1" customWidth="1"/>
    <col min="3" max="3" width="22.5703125" bestFit="1" customWidth="1"/>
  </cols>
  <sheetData>
    <row r="1" spans="1:6">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5"/>
  <cols>
    <col min="1" max="1" width="14" customWidth="1"/>
    <col min="2" max="2" width="33.8554687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5"/>
  <cols>
    <col min="1" max="1" width="14" bestFit="1" customWidth="1"/>
    <col min="2" max="2" width="16.85546875" bestFit="1" customWidth="1"/>
    <col min="3" max="3" width="15.140625" bestFit="1" customWidth="1"/>
    <col min="4" max="4" width="36.710937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5"/>
  <cols>
    <col min="2" max="2" width="35.14062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5"/>
  <cols>
    <col min="1" max="1" width="14.85546875" bestFit="1" customWidth="1"/>
    <col min="2" max="2" width="19.710937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5"/>
  <cols>
    <col min="1" max="1" width="14.85546875" bestFit="1" customWidth="1"/>
    <col min="2" max="2" width="14.85546875" customWidth="1"/>
    <col min="3" max="3" width="18.85546875" bestFit="1" customWidth="1"/>
    <col min="4" max="4" width="36.4257812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5"/>
  <cols>
    <col min="1" max="1" width="15.85546875" bestFit="1" customWidth="1"/>
    <col min="2" max="2" width="32" bestFit="1" customWidth="1"/>
    <col min="3" max="3" width="42.8554687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5"/>
  <cols>
    <col min="1" max="1" width="13.5703125" bestFit="1" customWidth="1"/>
    <col min="2" max="2" width="9.140625" bestFit="1" customWidth="1"/>
    <col min="3" max="3" width="13.8554687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5"/>
  <cols>
    <col min="3" max="3" width="10.140625" bestFit="1" customWidth="1"/>
    <col min="5" max="5" width="41.570312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0</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5"/>
  <cols>
    <col min="1" max="1" width="18.28515625" bestFit="1" customWidth="1"/>
    <col min="2" max="2" width="8.5703125" bestFit="1" customWidth="1"/>
    <col min="5" max="5" width="12.85546875" customWidth="1"/>
    <col min="6" max="6" width="13.8554687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5"/>
  <cols>
    <col min="1" max="1" width="11.28515625" bestFit="1" customWidth="1"/>
    <col min="2" max="2" width="9.14062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5"/>
  <cols>
    <col min="1" max="1" width="16.140625" bestFit="1" customWidth="1"/>
    <col min="2" max="2" width="15.42578125" bestFit="1" customWidth="1"/>
    <col min="4" max="4" width="18.42578125" bestFit="1" customWidth="1"/>
    <col min="5" max="5" width="14.14062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5"/>
  <cols>
    <col min="3" max="3" width="11.85546875" bestFit="1" customWidth="1"/>
    <col min="5" max="5" width="8.710937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5"/>
  <cols>
    <col min="1" max="1" width="16.42578125" bestFit="1" customWidth="1"/>
    <col min="2" max="2" width="19.85546875" bestFit="1" customWidth="1"/>
    <col min="6" max="6" width="19.85546875" bestFit="1" customWidth="1"/>
    <col min="7" max="7" width="5.85546875" bestFit="1" customWidth="1"/>
  </cols>
  <sheetData>
    <row r="1" spans="1:7">
      <c r="A1" s="1" t="s">
        <v>0</v>
      </c>
      <c r="B1" s="1" t="s">
        <v>756</v>
      </c>
      <c r="C1" s="1" t="s">
        <v>1</v>
      </c>
      <c r="F1" s="373" t="s">
        <v>757</v>
      </c>
      <c r="G1" s="373"/>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5"/>
  <cols>
    <col min="1" max="1" width="25.85546875" bestFit="1" customWidth="1"/>
    <col min="2" max="2" width="15.85546875" bestFit="1" customWidth="1"/>
    <col min="3" max="3" width="29.140625" bestFit="1" customWidth="1"/>
    <col min="5" max="5" width="23.710937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5"/>
  <cols>
    <col min="1" max="1" width="15.5703125" bestFit="1" customWidth="1"/>
    <col min="2" max="2" width="19.42578125" bestFit="1" customWidth="1"/>
  </cols>
  <sheetData>
    <row r="1" spans="1:2">
      <c r="A1" s="1" t="s">
        <v>787</v>
      </c>
      <c r="B1" s="1" t="s">
        <v>798</v>
      </c>
    </row>
    <row r="2" spans="1:2">
      <c r="A2" s="3" t="s">
        <v>788</v>
      </c>
      <c r="B2" s="7" t="str">
        <f ca="1">CHOOSE(RANDBETWEEN(1,4),"TEAM A","TEAM B","TEAM C","TEAM D")</f>
        <v>TEAM A</v>
      </c>
    </row>
    <row r="3" spans="1:2">
      <c r="A3" s="3" t="s">
        <v>789</v>
      </c>
      <c r="B3" s="7" t="str">
        <f t="shared" ref="B3:B10" ca="1" si="0">CHOOSE(RANDBETWEEN(1,4),"TEAM A","TEAM B","TEAM C","TEAM D")</f>
        <v>TEAM A</v>
      </c>
    </row>
    <row r="4" spans="1:2">
      <c r="A4" s="3" t="s">
        <v>790</v>
      </c>
      <c r="B4" s="7" t="str">
        <f t="shared" ca="1" si="0"/>
        <v>TEAM A</v>
      </c>
    </row>
    <row r="5" spans="1:2">
      <c r="A5" s="3" t="s">
        <v>791</v>
      </c>
      <c r="B5" s="7" t="str">
        <f t="shared" ca="1" si="0"/>
        <v>TEAM C</v>
      </c>
    </row>
    <row r="6" spans="1:2">
      <c r="A6" s="3" t="s">
        <v>792</v>
      </c>
      <c r="B6" s="7" t="str">
        <f t="shared" ca="1" si="0"/>
        <v>TEAM C</v>
      </c>
    </row>
    <row r="7" spans="1:2">
      <c r="A7" s="3" t="s">
        <v>793</v>
      </c>
      <c r="B7" s="7" t="str">
        <f t="shared" ca="1" si="0"/>
        <v>TEAM B</v>
      </c>
    </row>
    <row r="8" spans="1:2">
      <c r="A8" s="3" t="s">
        <v>794</v>
      </c>
      <c r="B8" s="7" t="str">
        <f t="shared" ca="1" si="0"/>
        <v>TEAM C</v>
      </c>
    </row>
    <row r="9" spans="1:2">
      <c r="A9" s="3" t="s">
        <v>795</v>
      </c>
      <c r="B9" s="7" t="str">
        <f t="shared" ca="1" si="0"/>
        <v>TEAM C</v>
      </c>
    </row>
    <row r="10" spans="1:2">
      <c r="A10" s="3" t="s">
        <v>796</v>
      </c>
      <c r="B10" s="7" t="str">
        <f t="shared" ca="1" si="0"/>
        <v>TEAM D</v>
      </c>
    </row>
    <row r="11" spans="1:2">
      <c r="A11" s="3" t="s">
        <v>797</v>
      </c>
      <c r="B11" s="7" t="str">
        <f ca="1">CHOOSE(RANDBETWEEN(1,4),"TEAM A","TEAM B","TEAM C","TEAM D")</f>
        <v>TEAM C</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5"/>
  <cols>
    <col min="1" max="1" width="8.5703125" bestFit="1" customWidth="1"/>
    <col min="2" max="2" width="18.5703125" bestFit="1" customWidth="1"/>
    <col min="3" max="3" width="15.28515625" bestFit="1" customWidth="1"/>
    <col min="5" max="5" width="14.42578125" bestFit="1" customWidth="1"/>
    <col min="6" max="6" width="15.285156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5"/>
  <cols>
    <col min="1" max="1" width="7.42578125" bestFit="1" customWidth="1"/>
    <col min="2" max="2" width="10.140625" bestFit="1" customWidth="1"/>
    <col min="3" max="3" width="11.8554687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5"/>
  <cols>
    <col min="3" max="3" width="14" bestFit="1" customWidth="1"/>
    <col min="4" max="4" width="13.14062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5"/>
  <cols>
    <col min="1" max="1" width="16.14062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5"/>
  <cols>
    <col min="2" max="4" width="22.4257812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5"/>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5"/>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5"/>
  <cols>
    <col min="1" max="1" width="11.28515625" bestFit="1" customWidth="1"/>
    <col min="20" max="20" width="9.14062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5"/>
  <cols>
    <col min="1" max="1" width="5.5703125" bestFit="1" customWidth="1"/>
    <col min="2" max="2" width="10.42578125" bestFit="1" customWidth="1"/>
    <col min="3" max="3" width="12" bestFit="1" customWidth="1"/>
    <col min="8" max="8" width="5.5703125" bestFit="1" customWidth="1"/>
    <col min="9" max="9" width="10.42578125" bestFit="1" customWidth="1"/>
    <col min="10" max="10" width="12" bestFit="1" customWidth="1"/>
  </cols>
  <sheetData>
    <row r="1" spans="1:10">
      <c r="A1" s="374" t="s">
        <v>854</v>
      </c>
      <c r="B1" s="374"/>
      <c r="C1" s="374"/>
      <c r="H1" s="374" t="s">
        <v>855</v>
      </c>
      <c r="I1" s="374"/>
      <c r="J1" s="374"/>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5"/>
  <cols>
    <col min="1" max="1" width="12.285156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5"/>
  <cols>
    <col min="1" max="1" width="10.140625" bestFit="1" customWidth="1"/>
    <col min="2" max="9" width="17.140625" bestFit="1" customWidth="1"/>
  </cols>
  <sheetData>
    <row r="1" spans="1:9">
      <c r="A1" s="375" t="s">
        <v>871</v>
      </c>
      <c r="B1" s="376">
        <v>2018</v>
      </c>
      <c r="C1" s="377"/>
      <c r="D1" s="377"/>
      <c r="E1" s="378"/>
      <c r="F1" s="376">
        <v>2019</v>
      </c>
      <c r="G1" s="377"/>
      <c r="H1" s="377"/>
      <c r="I1" s="378"/>
    </row>
    <row r="2" spans="1:9">
      <c r="A2" s="373"/>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5"/>
  <cols>
    <col min="1" max="1" width="17.42578125" bestFit="1" customWidth="1"/>
    <col min="2" max="2" width="15.710937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5"/>
  <cols>
    <col min="1" max="1" width="18.42578125" bestFit="1" customWidth="1"/>
    <col min="2" max="2" width="16.42578125" bestFit="1" customWidth="1"/>
    <col min="5" max="5" width="32.28515625" bestFit="1" customWidth="1"/>
    <col min="6" max="6" width="33.8554687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5"/>
  <cols>
    <col min="5" max="5" width="20.42578125" bestFit="1" customWidth="1"/>
    <col min="6" max="6" width="36.570312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5"/>
  <cols>
    <col min="1" max="1" width="13.140625" bestFit="1" customWidth="1"/>
    <col min="2" max="2" width="19.28515625" bestFit="1" customWidth="1"/>
    <col min="4" max="4" width="23.28515625" bestFit="1" customWidth="1"/>
    <col min="5" max="5" width="21.4257812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5"/>
  <cols>
    <col min="1" max="1" width="11.85546875" bestFit="1" customWidth="1"/>
    <col min="2" max="2" width="12.14062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5"/>
  <cols>
    <col min="1" max="1" width="11" bestFit="1" customWidth="1"/>
    <col min="2" max="2" width="14.28515625" bestFit="1" customWidth="1"/>
    <col min="5" max="5" width="25.42578125" bestFit="1" customWidth="1"/>
    <col min="6" max="6" width="13.7109375" bestFit="1" customWidth="1"/>
    <col min="7" max="7" width="19.140625" bestFit="1" customWidth="1"/>
    <col min="8" max="8" width="38.570312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5"/>
  <cols>
    <col min="1" max="1" width="12.140625" bestFit="1" customWidth="1"/>
    <col min="4" max="4" width="20.7109375" bestFit="1" customWidth="1"/>
    <col min="5" max="5" width="15.4257812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5"/>
  <cols>
    <col min="1" max="1" width="11.140625" bestFit="1" customWidth="1"/>
    <col min="2" max="2" width="16.285156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5"/>
  <cols>
    <col min="1" max="1" width="17.140625" bestFit="1" customWidth="1"/>
    <col min="2" max="2" width="22.710937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5"/>
  <cols>
    <col min="1" max="1" width="9.42578125" bestFit="1" customWidth="1"/>
    <col min="2" max="2" width="17.42578125" customWidth="1"/>
  </cols>
  <sheetData>
    <row r="1" spans="1:3" ht="30">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5"/>
  <cols>
    <col min="1" max="1" width="9" bestFit="1" customWidth="1"/>
    <col min="2" max="2" width="15.14062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5"/>
  <cols>
    <col min="1" max="1" width="10.42578125" bestFit="1" customWidth="1"/>
    <col min="2" max="2" width="8.42578125" bestFit="1" customWidth="1"/>
    <col min="3" max="3" width="10.7109375" bestFit="1" customWidth="1"/>
    <col min="4" max="4" width="15" bestFit="1" customWidth="1"/>
    <col min="5" max="5" width="13.710937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5"/>
  <cols>
    <col min="1" max="1" width="17.42578125" bestFit="1" customWidth="1"/>
    <col min="2" max="2" width="23.85546875" bestFit="1" customWidth="1"/>
    <col min="3" max="3" width="25.4257812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5"/>
  <cols>
    <col min="1" max="2" width="13.85546875" bestFit="1" customWidth="1"/>
    <col min="3" max="3" width="28" bestFit="1" customWidth="1"/>
    <col min="4" max="4" width="40.8554687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5"/>
  <cols>
    <col min="1" max="1" width="8.5703125" bestFit="1" customWidth="1"/>
    <col min="2" max="2" width="15.7109375" bestFit="1" customWidth="1"/>
    <col min="3" max="3" width="8.140625" bestFit="1" customWidth="1"/>
    <col min="4" max="4" width="14.140625" bestFit="1" customWidth="1"/>
    <col min="5" max="5" width="13.14062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5"/>
  <cols>
    <col min="1" max="1" width="26.140625" bestFit="1" customWidth="1"/>
    <col min="2" max="2" width="22.4257812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5"/>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5"/>
  <cols>
    <col min="1" max="1" width="53.14062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5"/>
  <cols>
    <col min="1" max="1" width="16.28515625" bestFit="1" customWidth="1"/>
    <col min="2" max="2" width="9.710937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5"/>
  <cols>
    <col min="1" max="1" width="60.42578125" bestFit="1" customWidth="1"/>
    <col min="2" max="2" width="38.14062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5"/>
  <cols>
    <col min="1" max="1" width="28.7109375" bestFit="1" customWidth="1"/>
    <col min="2" max="2" width="33.14062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5"/>
  <cols>
    <col min="1" max="1" width="10.5703125" bestFit="1" customWidth="1"/>
    <col min="2" max="2" width="7.42578125" bestFit="1" customWidth="1"/>
    <col min="3" max="3" width="22.140625" bestFit="1" customWidth="1"/>
    <col min="4" max="4" width="13.42578125" bestFit="1" customWidth="1"/>
    <col min="5" max="5" width="33.8554687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5"/>
  <cols>
    <col min="1" max="1" width="10" bestFit="1" customWidth="1"/>
    <col min="2" max="2" width="7.42578125" bestFit="1" customWidth="1"/>
    <col min="3" max="3" width="16.8554687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5"/>
  <cols>
    <col min="1" max="1" width="27.7109375" bestFit="1" customWidth="1"/>
    <col min="2" max="2" width="48.7109375" bestFit="1" customWidth="1"/>
    <col min="3" max="3" width="39.5703125" bestFit="1" customWidth="1"/>
  </cols>
  <sheetData>
    <row r="1" spans="1:3">
      <c r="A1" s="1" t="s">
        <v>1138</v>
      </c>
      <c r="B1" s="1" t="s">
        <v>1144</v>
      </c>
      <c r="C1" s="1" t="s">
        <v>1145</v>
      </c>
    </row>
    <row r="2" spans="1:3">
      <c r="A2" s="2" t="s">
        <v>1142</v>
      </c>
      <c r="B2" s="66">
        <f ca="1">EOMONTH(TODAY(),-1)+1</f>
        <v>45444</v>
      </c>
      <c r="C2" s="65" t="s">
        <v>1146</v>
      </c>
    </row>
    <row r="3" spans="1:3">
      <c r="A3" s="2" t="s">
        <v>1141</v>
      </c>
      <c r="B3" s="66">
        <f ca="1">EOMONTH(TODAY(),4)+1</f>
        <v>45597</v>
      </c>
      <c r="C3" s="65" t="s">
        <v>1147</v>
      </c>
    </row>
    <row r="4" spans="1:3">
      <c r="A4" s="2" t="s">
        <v>1140</v>
      </c>
      <c r="B4" s="66">
        <f ca="1">EOMONTH(TODAY(),-2)+1</f>
        <v>45413</v>
      </c>
      <c r="C4" s="65" t="s">
        <v>1148</v>
      </c>
    </row>
    <row r="5" spans="1:3">
      <c r="A5" s="2" t="s">
        <v>1139</v>
      </c>
      <c r="B5" s="66">
        <f ca="1">EOMONTH(TODAY(),-7)+1</f>
        <v>45261</v>
      </c>
      <c r="C5" s="65" t="s">
        <v>1149</v>
      </c>
    </row>
    <row r="6" spans="1:3">
      <c r="A6" s="2" t="s">
        <v>1143</v>
      </c>
      <c r="B6" s="66">
        <f ca="1">EOMONTH(TODAY(),23)+1</f>
        <v>46174</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5"/>
  <cols>
    <col min="1" max="1" width="17.42578125" bestFit="1" customWidth="1"/>
    <col min="2" max="2" width="44.14062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5"/>
  <cols>
    <col min="1" max="1" width="14.140625" bestFit="1" customWidth="1"/>
    <col min="2" max="2" width="11.140625" bestFit="1" customWidth="1"/>
    <col min="3" max="3" width="17.28515625" bestFit="1" customWidth="1"/>
    <col min="6" max="6" width="9.85546875" bestFit="1" customWidth="1"/>
    <col min="7" max="7" width="10" bestFit="1" customWidth="1"/>
    <col min="8" max="8" width="9.85546875" bestFit="1" customWidth="1"/>
  </cols>
  <sheetData>
    <row r="1" spans="1:8">
      <c r="A1" s="1" t="s">
        <v>1152</v>
      </c>
      <c r="B1" s="20">
        <f>DATE(2022,3,15)</f>
        <v>44635</v>
      </c>
    </row>
    <row r="2" spans="1:8">
      <c r="F2" s="374" t="s">
        <v>1162</v>
      </c>
      <c r="G2" s="374"/>
      <c r="H2" s="374"/>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5"/>
  <cols>
    <col min="1" max="1" width="22.5703125" bestFit="1" customWidth="1"/>
    <col min="2" max="2" width="7.42578125" bestFit="1" customWidth="1"/>
    <col min="3" max="3" width="31.4257812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5"/>
  <cols>
    <col min="1" max="1" width="22.5703125" bestFit="1" customWidth="1"/>
    <col min="2" max="2" width="13.5703125" bestFit="1" customWidth="1"/>
    <col min="3" max="3" width="24.5703125" bestFit="1" customWidth="1"/>
    <col min="4" max="4" width="53.285156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5"/>
  <cols>
    <col min="1" max="1" width="12.42578125" bestFit="1" customWidth="1"/>
    <col min="2" max="2" width="30.42578125" bestFit="1" customWidth="1"/>
    <col min="3" max="3" width="14.14062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5"/>
  <cols>
    <col min="1" max="1" width="49.5703125" bestFit="1" customWidth="1"/>
    <col min="2" max="2" width="13.28515625" bestFit="1" customWidth="1"/>
    <col min="3" max="4" width="11" customWidth="1"/>
    <col min="5" max="5" width="23.7109375" customWidth="1"/>
    <col min="6" max="6" width="13.570312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5"/>
  <cols>
    <col min="1" max="1" width="4.85546875" bestFit="1" customWidth="1"/>
    <col min="2" max="2" width="10.42578125" bestFit="1" customWidth="1"/>
    <col min="3" max="3" width="14.5703125" bestFit="1" customWidth="1"/>
    <col min="8" max="8" width="11.8554687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5"/>
  <cols>
    <col min="1" max="1" width="18.285156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5"/>
  <cols>
    <col min="1" max="1" width="13.7109375" bestFit="1" customWidth="1"/>
    <col min="2" max="2" width="31.85546875" bestFit="1" customWidth="1"/>
    <col min="3" max="3" width="30.4257812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5"/>
  <cols>
    <col min="1" max="1" width="23.85546875" bestFit="1" customWidth="1"/>
    <col min="2" max="2" width="27.14062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5"/>
  <cols>
    <col min="1" max="1" width="10.42578125" bestFit="1" customWidth="1"/>
    <col min="2" max="2" width="16.42578125" bestFit="1" customWidth="1"/>
    <col min="4" max="4" width="17.5703125" bestFit="1" customWidth="1"/>
    <col min="5" max="5" width="9.4257812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5"/>
  <cols>
    <col min="1" max="1" width="15.5703125" bestFit="1" customWidth="1"/>
    <col min="2" max="2" width="12.5703125" bestFit="1" customWidth="1"/>
    <col min="3" max="3" width="9.42578125" customWidth="1"/>
    <col min="4" max="4" width="13.5703125" bestFit="1" customWidth="1"/>
    <col min="7" max="7" width="13.5703125" bestFit="1" customWidth="1"/>
    <col min="9" max="9" width="24.285156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5"/>
  <cols>
    <col min="1" max="1" width="9.710937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5"/>
  <cols>
    <col min="1" max="1" width="34.7109375" bestFit="1" customWidth="1"/>
    <col min="2" max="2" width="19.42578125" bestFit="1" customWidth="1"/>
    <col min="3" max="3" width="28.140625" bestFit="1" customWidth="1"/>
  </cols>
  <sheetData>
    <row r="1" spans="1:3">
      <c r="A1" s="1" t="s">
        <v>1138</v>
      </c>
      <c r="B1" s="1" t="s">
        <v>1226</v>
      </c>
      <c r="C1" s="1" t="s">
        <v>1145</v>
      </c>
    </row>
    <row r="2" spans="1:3">
      <c r="A2" s="2" t="s">
        <v>1227</v>
      </c>
      <c r="B2" s="78">
        <f ca="1">NOW()</f>
        <v>45453.569377546293</v>
      </c>
      <c r="C2" s="2" t="s">
        <v>1231</v>
      </c>
    </row>
    <row r="3" spans="1:3">
      <c r="A3" s="77" t="s">
        <v>1228</v>
      </c>
      <c r="B3" s="78">
        <f ca="1">NOW()-7</f>
        <v>45446.569377546293</v>
      </c>
      <c r="C3" s="2" t="s">
        <v>1232</v>
      </c>
    </row>
    <row r="4" spans="1:3">
      <c r="A4" s="2" t="s">
        <v>1229</v>
      </c>
      <c r="B4" s="78">
        <f ca="1">NOW()+0.25</f>
        <v>45453.819377546293</v>
      </c>
      <c r="C4" s="2" t="s">
        <v>1233</v>
      </c>
    </row>
    <row r="5" spans="1:3">
      <c r="A5" s="2" t="s">
        <v>1230</v>
      </c>
      <c r="B5" s="78">
        <f ca="1">NOW()-0.75</f>
        <v>45452.819377546293</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5"/>
  <cols>
    <col min="1" max="1" width="20.140625" bestFit="1" customWidth="1"/>
    <col min="2" max="2" width="60.42578125" customWidth="1"/>
    <col min="4" max="4" width="8.7109375" customWidth="1"/>
  </cols>
  <sheetData>
    <row r="1" spans="1:2">
      <c r="A1" s="1" t="s">
        <v>1235</v>
      </c>
      <c r="B1" s="1" t="s">
        <v>1236</v>
      </c>
    </row>
    <row r="2" spans="1:2">
      <c r="A2" s="78">
        <f ca="1">NOW()</f>
        <v>45453.569377546293</v>
      </c>
      <c r="B2" s="2" t="s">
        <v>1237</v>
      </c>
    </row>
    <row r="3" spans="1:2">
      <c r="A3" s="78">
        <f ca="1">NOW()</f>
        <v>45453.569377546293</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5"/>
  <cols>
    <col min="1" max="1" width="20.140625" bestFit="1" customWidth="1"/>
    <col min="2" max="2" width="13.5703125" bestFit="1" customWidth="1"/>
    <col min="4" max="4" width="10.140625" bestFit="1" customWidth="1"/>
  </cols>
  <sheetData>
    <row r="1" spans="1:4">
      <c r="A1" s="1" t="s">
        <v>1235</v>
      </c>
      <c r="B1" s="78">
        <f ca="1">NOW()</f>
        <v>45453.569377546293</v>
      </c>
    </row>
    <row r="2" spans="1:4">
      <c r="A2" s="1" t="s">
        <v>1152</v>
      </c>
      <c r="B2" s="66">
        <f ca="1">TODAY()</f>
        <v>45453</v>
      </c>
    </row>
    <row r="3" spans="1:4">
      <c r="A3" s="1" t="s">
        <v>1240</v>
      </c>
      <c r="B3" s="80">
        <f ca="1">NOW()-TODAY()</f>
        <v>0.56937754629325354</v>
      </c>
      <c r="D3" s="81"/>
    </row>
    <row r="5" spans="1:4">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5"/>
  <cols>
    <col min="1" max="1" width="24.85546875" bestFit="1" customWidth="1"/>
    <col min="2" max="2" width="20.28515625" bestFit="1" customWidth="1"/>
    <col min="3" max="3" width="22.28515625" bestFit="1" customWidth="1"/>
  </cols>
  <sheetData>
    <row r="1" spans="1:3">
      <c r="A1" s="68" t="s">
        <v>1242</v>
      </c>
      <c r="B1" s="68" t="s">
        <v>1241</v>
      </c>
      <c r="C1" s="1" t="s">
        <v>1243</v>
      </c>
    </row>
    <row r="2" spans="1:3">
      <c r="A2" s="77">
        <v>44722.666666666664</v>
      </c>
      <c r="B2" s="78">
        <f ca="1">NOW()</f>
        <v>45453.569377546293</v>
      </c>
      <c r="C2" s="78" t="str">
        <f ca="1">IF((A2-NOW())&gt;0,"Due","Deadline Missed")</f>
        <v>Deadline Missed</v>
      </c>
    </row>
    <row r="3" spans="1:3">
      <c r="A3" s="77">
        <v>44752.666666666664</v>
      </c>
      <c r="B3" s="78">
        <f ca="1">NOW()</f>
        <v>45453.569377546293</v>
      </c>
      <c r="C3" s="78" t="str">
        <f ca="1">IF((A3-NOW())&gt;0,"Due","Deadline Missed")</f>
        <v>Deadline Missed</v>
      </c>
    </row>
    <row r="4" spans="1:3">
      <c r="A4" s="77">
        <v>44783.666666666664</v>
      </c>
      <c r="B4" s="78">
        <f ca="1">NOW()</f>
        <v>45453.569377546293</v>
      </c>
      <c r="C4" s="78" t="str">
        <f ca="1">IF((A4-NOW())&gt;0,"Due","Deadline Missed")</f>
        <v>Deadline Missed</v>
      </c>
    </row>
    <row r="5" spans="1:3">
      <c r="A5" s="77">
        <v>44814.666666666664</v>
      </c>
      <c r="B5" s="78">
        <f ca="1">NOW()</f>
        <v>45453.569377546293</v>
      </c>
      <c r="C5" s="78" t="str">
        <f ca="1">IF((A5-NOW())&gt;0,"Due","Deadline Missed")</f>
        <v>Deadline Missed</v>
      </c>
    </row>
    <row r="6" spans="1:3">
      <c r="A6" s="77">
        <v>44844.666666666664</v>
      </c>
      <c r="B6" s="78">
        <f ca="1">NOW()</f>
        <v>45453.569377546293</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5"/>
  <cols>
    <col min="1" max="1" width="26.42578125" bestFit="1" customWidth="1"/>
    <col min="2" max="2" width="11.7109375" bestFit="1" customWidth="1"/>
    <col min="3" max="3" width="18.42578125" bestFit="1" customWidth="1"/>
  </cols>
  <sheetData>
    <row r="1" spans="1:3">
      <c r="A1" s="1" t="s">
        <v>1245</v>
      </c>
      <c r="B1" s="1" t="s">
        <v>1152</v>
      </c>
      <c r="C1" s="1" t="s">
        <v>1244</v>
      </c>
    </row>
    <row r="2" spans="1:3">
      <c r="A2" s="20">
        <v>44788</v>
      </c>
      <c r="B2" s="20">
        <v>44774</v>
      </c>
      <c r="C2" s="7">
        <f t="shared" ref="C2:C7" ca="1" si="0">_xlfn.DAYS(A2,NOW())</f>
        <v>-665</v>
      </c>
    </row>
    <row r="3" spans="1:3">
      <c r="A3" s="20">
        <v>44803</v>
      </c>
      <c r="B3" s="20">
        <v>44774</v>
      </c>
      <c r="C3" s="7">
        <f t="shared" ca="1" si="0"/>
        <v>-650</v>
      </c>
    </row>
    <row r="4" spans="1:3">
      <c r="A4" s="20">
        <v>44819</v>
      </c>
      <c r="B4" s="20">
        <v>44774</v>
      </c>
      <c r="C4" s="7">
        <f t="shared" ca="1" si="0"/>
        <v>-634</v>
      </c>
    </row>
    <row r="5" spans="1:3">
      <c r="A5" s="20">
        <v>44834</v>
      </c>
      <c r="B5" s="20">
        <v>44774</v>
      </c>
      <c r="C5" s="7">
        <f t="shared" ca="1" si="0"/>
        <v>-619</v>
      </c>
    </row>
    <row r="6" spans="1:3">
      <c r="A6" s="20">
        <v>44849</v>
      </c>
      <c r="B6" s="20">
        <v>44774</v>
      </c>
      <c r="C6" s="7">
        <f t="shared" ca="1" si="0"/>
        <v>-604</v>
      </c>
    </row>
    <row r="7" spans="1:3">
      <c r="A7" s="20">
        <v>44864</v>
      </c>
      <c r="B7" s="20">
        <v>44774</v>
      </c>
      <c r="C7" s="7">
        <f t="shared" ca="1" si="0"/>
        <v>-589</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5"/>
  <cols>
    <col min="1" max="1" width="19.85546875" bestFit="1" customWidth="1"/>
    <col min="2" max="2" width="54.85546875" bestFit="1" customWidth="1"/>
  </cols>
  <sheetData>
    <row r="1" spans="1:2">
      <c r="A1" s="1" t="s">
        <v>1235</v>
      </c>
      <c r="B1" s="1" t="s">
        <v>1247</v>
      </c>
    </row>
    <row r="2" spans="1:2">
      <c r="A2" s="78">
        <f ca="1">NOW()</f>
        <v>45453.569377546293</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5"/>
  <cols>
    <col min="1" max="1" width="30.42578125" bestFit="1" customWidth="1"/>
    <col min="2" max="2" width="11.140625" bestFit="1" customWidth="1"/>
  </cols>
  <sheetData>
    <row r="1" spans="1:2">
      <c r="A1" s="374" t="s">
        <v>1256</v>
      </c>
      <c r="B1" s="374"/>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5"/>
  <cols>
    <col min="1" max="1" width="30.5703125" bestFit="1" customWidth="1"/>
    <col min="2" max="2" width="22" bestFit="1" customWidth="1"/>
    <col min="3" max="3" width="8.85546875" bestFit="1" customWidth="1"/>
    <col min="5" max="5" width="18.285156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5"/>
  <cols>
    <col min="1" max="1" width="30.42578125" bestFit="1" customWidth="1"/>
    <col min="2" max="2" width="17.5703125" customWidth="1"/>
    <col min="3" max="3" width="11.14062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79" t="s">
        <v>1269</v>
      </c>
      <c r="B6" s="380"/>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5"/>
  <cols>
    <col min="1" max="1" width="22.140625" bestFit="1" customWidth="1"/>
    <col min="2" max="2" width="15.5703125" bestFit="1" customWidth="1"/>
    <col min="3" max="3" width="10.140625" bestFit="1" customWidth="1"/>
    <col min="7" max="7" width="22.140625" bestFit="1" customWidth="1"/>
    <col min="8" max="8" width="20.85546875" bestFit="1" customWidth="1"/>
    <col min="9" max="9" width="8.285156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74" t="s">
        <v>1271</v>
      </c>
      <c r="B7" s="374"/>
      <c r="C7" s="84">
        <f>PMT(C2/52,C3*52,C4)</f>
        <v>-55.153527020513195</v>
      </c>
      <c r="G7" s="2" t="s">
        <v>1282</v>
      </c>
      <c r="H7" s="2" t="s">
        <v>1290</v>
      </c>
      <c r="I7" s="2" t="s">
        <v>1295</v>
      </c>
    </row>
    <row r="8" spans="1:9">
      <c r="A8" s="374" t="s">
        <v>1272</v>
      </c>
      <c r="B8" s="374"/>
      <c r="C8" s="84">
        <f>PMT(C2/12,C3*12,C4)</f>
        <v>-239.46244662442905</v>
      </c>
      <c r="G8" s="2" t="s">
        <v>1283</v>
      </c>
      <c r="H8" s="2" t="s">
        <v>1291</v>
      </c>
      <c r="I8" s="2" t="s">
        <v>1296</v>
      </c>
    </row>
    <row r="9" spans="1:9">
      <c r="A9" s="374" t="s">
        <v>1273</v>
      </c>
      <c r="B9" s="374"/>
      <c r="C9" s="84">
        <f>PMT(C2/4,C3*4,C4)</f>
        <v>-721.99576434370317</v>
      </c>
    </row>
    <row r="10" spans="1:9">
      <c r="A10" s="374" t="s">
        <v>1274</v>
      </c>
      <c r="B10" s="374"/>
      <c r="C10" s="84">
        <f>PMT(C2/2,C3*2,C4)</f>
        <v>-1454.7664654857379</v>
      </c>
    </row>
    <row r="11" spans="1:9">
      <c r="A11" s="374" t="s">
        <v>1269</v>
      </c>
      <c r="B11" s="374"/>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5"/>
  <cols>
    <col min="1" max="1" width="25.5703125" bestFit="1" customWidth="1"/>
    <col min="2" max="2" width="17.42578125" bestFit="1" customWidth="1"/>
    <col min="3" max="4" width="9.28515625" customWidth="1"/>
    <col min="5" max="5" width="17.42578125" bestFit="1" customWidth="1"/>
    <col min="6" max="6" width="10.85546875" customWidth="1"/>
  </cols>
  <sheetData>
    <row r="1" spans="1:7">
      <c r="A1" s="384" t="s">
        <v>1275</v>
      </c>
      <c r="B1" s="385"/>
      <c r="C1" s="385"/>
      <c r="D1" s="385"/>
      <c r="E1" s="385"/>
      <c r="F1" s="386"/>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76" t="s">
        <v>757</v>
      </c>
      <c r="F7" s="378"/>
    </row>
    <row r="8" spans="1:7">
      <c r="A8" s="90"/>
      <c r="B8" s="14"/>
      <c r="C8" s="6"/>
      <c r="D8" s="6"/>
      <c r="E8" s="90"/>
      <c r="F8" s="91"/>
      <c r="G8" s="6"/>
    </row>
    <row r="9" spans="1:7">
      <c r="A9" s="376" t="s">
        <v>1286</v>
      </c>
      <c r="B9" s="378"/>
      <c r="C9" s="6"/>
      <c r="D9" s="14"/>
      <c r="E9" s="381" t="s">
        <v>1277</v>
      </c>
      <c r="F9" s="382"/>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83" t="s">
        <v>1278</v>
      </c>
      <c r="F16" s="383"/>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5"/>
  <cols>
    <col min="1" max="1" width="30.42578125" bestFit="1" customWidth="1"/>
    <col min="2" max="2" width="11.140625" bestFit="1" customWidth="1"/>
  </cols>
  <sheetData>
    <row r="1" spans="1:2">
      <c r="A1" s="374" t="s">
        <v>1256</v>
      </c>
      <c r="B1" s="374"/>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5"/>
  <cols>
    <col min="1" max="1" width="47.42578125" bestFit="1" customWidth="1"/>
    <col min="2" max="2" width="13" bestFit="1" customWidth="1"/>
    <col min="3" max="3" width="29.570312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5"/>
  <cols>
    <col min="1" max="1" width="7.140625" bestFit="1" customWidth="1"/>
    <col min="2" max="2" width="8.140625" bestFit="1" customWidth="1"/>
    <col min="3" max="3" width="10.140625" bestFit="1" customWidth="1"/>
    <col min="5" max="5" width="93.140625" bestFit="1" customWidth="1"/>
    <col min="6" max="6" width="11.710937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5"/>
  <cols>
    <col min="1" max="1" width="14.5703125" bestFit="1" customWidth="1"/>
    <col min="2" max="2" width="11.85546875" bestFit="1" customWidth="1"/>
    <col min="3" max="3" width="15.42578125" bestFit="1" customWidth="1"/>
    <col min="8" max="8" width="14.5703125" bestFit="1" customWidth="1"/>
    <col min="9" max="9" width="11.85546875" bestFit="1" customWidth="1"/>
    <col min="10" max="10" width="15.4257812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5"/>
  <cols>
    <col min="1" max="1" width="16.85546875" bestFit="1" customWidth="1"/>
    <col min="2" max="2" width="11.85546875" bestFit="1" customWidth="1"/>
    <col min="3" max="3" width="9" bestFit="1" customWidth="1"/>
    <col min="4" max="4" width="9.5703125" bestFit="1" customWidth="1"/>
    <col min="5" max="5" width="10.85546875" bestFit="1" customWidth="1"/>
    <col min="6" max="6" width="8.5703125" bestFit="1" customWidth="1"/>
    <col min="7" max="7" width="11" bestFit="1" customWidth="1"/>
    <col min="8" max="8" width="8.85546875" bestFit="1" customWidth="1"/>
    <col min="9" max="9" width="9.7109375" bestFit="1" customWidth="1"/>
    <col min="10" max="10" width="10.7109375" bestFit="1" customWidth="1"/>
    <col min="11" max="11" width="8.570312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5"/>
  <cols>
    <col min="1" max="1" width="16.140625" bestFit="1" customWidth="1"/>
    <col min="2" max="2" width="18.140625" bestFit="1" customWidth="1"/>
    <col min="3" max="3" width="22.140625" bestFit="1" customWidth="1"/>
    <col min="5" max="5" width="14.42578125" bestFit="1" customWidth="1"/>
    <col min="6" max="6" width="28.140625" bestFit="1" customWidth="1"/>
  </cols>
  <sheetData>
    <row r="1" spans="1:6">
      <c r="A1" s="1" t="s">
        <v>155</v>
      </c>
      <c r="B1" s="1" t="s">
        <v>369</v>
      </c>
      <c r="C1" s="1" t="s">
        <v>1337</v>
      </c>
      <c r="E1" s="1" t="s">
        <v>240</v>
      </c>
      <c r="F1" s="1" t="s">
        <v>1367</v>
      </c>
    </row>
    <row r="2" spans="1:6" ht="15.75">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5"/>
  <cols>
    <col min="1" max="1" width="26.5703125" bestFit="1" customWidth="1"/>
    <col min="2" max="2" width="8.42578125" bestFit="1" customWidth="1"/>
    <col min="3" max="3" width="11.710937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5"/>
  <cols>
    <col min="1" max="1" width="11.5703125" bestFit="1" customWidth="1"/>
    <col min="2" max="2" width="15" bestFit="1" customWidth="1"/>
    <col min="4" max="4" width="18.5703125" bestFit="1" customWidth="1"/>
    <col min="5" max="5" width="19.140625" bestFit="1" customWidth="1"/>
    <col min="6" max="6" width="39.8554687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7109375" defaultRowHeight="15"/>
  <cols>
    <col min="2" max="2" width="13" bestFit="1" customWidth="1"/>
    <col min="3" max="3" width="14.42578125" bestFit="1" customWidth="1"/>
    <col min="6" max="6" width="12.7109375" bestFit="1" customWidth="1"/>
    <col min="7" max="7" width="69.140625" bestFit="1" customWidth="1"/>
    <col min="9" max="9" width="14.5703125" bestFit="1" customWidth="1"/>
    <col min="10" max="10" width="26.570312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7.25">
      <c r="B6" s="7">
        <v>4</v>
      </c>
      <c r="C6" s="2" t="s">
        <v>1389</v>
      </c>
      <c r="F6" s="7">
        <v>3</v>
      </c>
      <c r="G6" s="2" t="s">
        <v>1408</v>
      </c>
      <c r="I6" s="7" t="s">
        <v>1403</v>
      </c>
      <c r="J6" s="2" t="s">
        <v>1418</v>
      </c>
    </row>
    <row r="7" spans="2:10" ht="17.25">
      <c r="B7" s="7">
        <v>5</v>
      </c>
      <c r="C7" s="2" t="s">
        <v>1390</v>
      </c>
      <c r="F7" s="7">
        <v>4</v>
      </c>
      <c r="G7" s="2" t="s">
        <v>1409</v>
      </c>
      <c r="I7" s="7" t="s">
        <v>1402</v>
      </c>
      <c r="J7" s="2" t="s">
        <v>1419</v>
      </c>
    </row>
    <row r="8" spans="2:10" ht="17.25">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5"/>
  <cols>
    <col min="1" max="1" width="17.28515625" bestFit="1" customWidth="1"/>
    <col min="2" max="2" width="36.710937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5"/>
  <cols>
    <col min="1" max="1" width="22.7109375" bestFit="1" customWidth="1"/>
    <col min="2" max="2" width="15.710937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5"/>
  <cols>
    <col min="2" max="2" width="12.285156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5"/>
  <cols>
    <col min="1" max="1" width="11.28515625" bestFit="1" customWidth="1"/>
    <col min="2" max="2" width="11.28515625" customWidth="1"/>
    <col min="3" max="3" width="8.140625" bestFit="1" customWidth="1"/>
    <col min="7" max="7" width="17.285156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5"/>
  <cols>
    <col min="1" max="1" width="34.140625" bestFit="1" customWidth="1"/>
    <col min="2" max="2" width="12.570312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5"/>
  <cols>
    <col min="1" max="1" width="12.5703125" bestFit="1" customWidth="1"/>
    <col min="2" max="2" width="45.5703125" bestFit="1" customWidth="1"/>
    <col min="3" max="3" width="22.85546875" bestFit="1" customWidth="1"/>
    <col min="4" max="4" width="30.4257812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5"/>
  <cols>
    <col min="1" max="1" width="7.85546875" bestFit="1" customWidth="1"/>
    <col min="2" max="2" width="22.140625" bestFit="1" customWidth="1"/>
    <col min="3" max="3" width="10.42578125" bestFit="1" customWidth="1"/>
    <col min="4" max="4" width="39.14062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75">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5"/>
  <cols>
    <col min="1" max="1" width="15.28515625" bestFit="1" customWidth="1"/>
    <col min="2" max="2" width="8.140625" bestFit="1" customWidth="1"/>
    <col min="3" max="3" width="10.42578125" bestFit="1" customWidth="1"/>
    <col min="4" max="4" width="25.14062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5"/>
  <cols>
    <col min="1" max="1" width="11.28515625" bestFit="1" customWidth="1"/>
    <col min="3" max="3" width="9.85546875" bestFit="1" customWidth="1"/>
    <col min="4" max="4" width="10.42578125" bestFit="1" customWidth="1"/>
    <col min="5" max="5" width="19.8554687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5"/>
  <cols>
    <col min="1" max="1" width="14.42578125" bestFit="1" customWidth="1"/>
    <col min="2" max="2" width="8.42578125" bestFit="1" customWidth="1"/>
    <col min="3" max="3" width="8.42578125" customWidth="1"/>
    <col min="4" max="4" width="12.570312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5"/>
  <cols>
    <col min="1" max="1" width="7.5703125" bestFit="1" customWidth="1"/>
    <col min="2" max="2" width="10.4257812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5"/>
  <cols>
    <col min="1" max="1" width="14.140625" bestFit="1" customWidth="1"/>
    <col min="2" max="2" width="11.5703125" bestFit="1" customWidth="1"/>
    <col min="4" max="4" width="28.5703125" bestFit="1" customWidth="1"/>
    <col min="6" max="6" width="31.4257812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5"/>
  <cols>
    <col min="1" max="1" width="36.5703125" bestFit="1" customWidth="1"/>
    <col min="2" max="2" width="8.4257812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7.25">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5"/>
  <cols>
    <col min="1" max="1" width="17.5703125" bestFit="1" customWidth="1"/>
    <col min="2" max="2" width="25.85546875" bestFit="1" customWidth="1"/>
    <col min="5" max="5" width="5" bestFit="1" customWidth="1"/>
    <col min="6" max="6" width="28" customWidth="1"/>
  </cols>
  <sheetData>
    <row r="1" spans="1:6">
      <c r="A1" s="98" t="s">
        <v>1531</v>
      </c>
      <c r="B1" s="98" t="s">
        <v>1532</v>
      </c>
      <c r="E1" s="387" t="s">
        <v>1542</v>
      </c>
      <c r="F1" s="387"/>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5"/>
  <cols>
    <col min="1" max="1" width="26.85546875" bestFit="1" customWidth="1"/>
    <col min="3" max="3" width="33.570312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5"/>
  <cols>
    <col min="1" max="1" width="38.42578125" style="14" bestFit="1" customWidth="1"/>
    <col min="2" max="2" width="9.4257812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5"/>
  <cols>
    <col min="1" max="1" width="18.42578125" bestFit="1" customWidth="1"/>
    <col min="2" max="2" width="25.7109375" bestFit="1" customWidth="1"/>
    <col min="3" max="3" width="22.4257812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5"/>
  <cols>
    <col min="1" max="1" width="23.7109375" customWidth="1"/>
    <col min="2" max="2" width="49.140625" bestFit="1" customWidth="1"/>
    <col min="3" max="3" width="20.5703125" customWidth="1"/>
    <col min="4" max="4" width="46.710937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45"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5"/>
  <cols>
    <col min="1" max="1" width="31.5703125" bestFit="1" customWidth="1"/>
    <col min="2" max="2" width="10.42578125" bestFit="1" customWidth="1"/>
    <col min="3" max="3" width="9.140625" bestFit="1" customWidth="1"/>
    <col min="4" max="4" width="12" bestFit="1" customWidth="1"/>
    <col min="5" max="5" width="26.14062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5"/>
  <cols>
    <col min="1" max="1" width="27.5703125" bestFit="1" customWidth="1"/>
    <col min="2" max="2" width="29.8554687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5"/>
  <cols>
    <col min="1" max="1" width="44.140625" customWidth="1"/>
    <col min="2" max="2" width="11.140625" bestFit="1" customWidth="1"/>
  </cols>
  <sheetData>
    <row r="1" spans="1:2">
      <c r="A1" s="98" t="s">
        <v>1606</v>
      </c>
      <c r="B1" s="98" t="s">
        <v>1607</v>
      </c>
    </row>
    <row r="2" spans="1:2" ht="30">
      <c r="A2" s="107" t="s">
        <v>1608</v>
      </c>
      <c r="B2" s="7">
        <f>(LEN(TRIM(A2))-LEN(SUBSTITUTE(A2," ","")))+1</f>
        <v>17</v>
      </c>
    </row>
    <row r="3" spans="1:2" ht="30">
      <c r="A3" s="107" t="s">
        <v>1609</v>
      </c>
      <c r="B3" s="7">
        <f>(LEN(TRIM(A3))-LEN(SUBSTITUTE(A3," ","")))+1</f>
        <v>12</v>
      </c>
    </row>
    <row r="4" spans="1:2" ht="30">
      <c r="A4" s="107" t="s">
        <v>1610</v>
      </c>
      <c r="B4" s="7">
        <f>(LEN(TRIM(A4))-LEN(SUBSTITUTE(A4," ","")))+1</f>
        <v>14</v>
      </c>
    </row>
    <row r="5" spans="1:2" ht="45">
      <c r="A5" s="107" t="s">
        <v>1611</v>
      </c>
      <c r="B5" s="7">
        <f>(LEN(TRIM(A5))-LEN(SUBSTITUTE(A5," ","")))+1</f>
        <v>18</v>
      </c>
    </row>
    <row r="6" spans="1:2" ht="30">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5"/>
  <cols>
    <col min="1" max="1" width="18.5703125" bestFit="1" customWidth="1"/>
    <col min="2" max="2" width="14.7109375" bestFit="1" customWidth="1"/>
    <col min="4" max="4" width="14.140625" bestFit="1" customWidth="1"/>
    <col min="5" max="5" width="14.710937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5"/>
  <cols>
    <col min="1" max="1" width="37.7109375" bestFit="1" customWidth="1"/>
    <col min="2" max="2" width="69.28515625" bestFit="1" customWidth="1"/>
    <col min="3" max="3" width="36.8554687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5"/>
  <cols>
    <col min="1" max="1" width="9.42578125" bestFit="1" customWidth="1"/>
    <col min="2" max="2" width="22.140625" bestFit="1" customWidth="1"/>
    <col min="3" max="3" width="8.4257812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5"/>
  <cols>
    <col min="1" max="1" width="29.7109375" bestFit="1" customWidth="1"/>
    <col min="2" max="3" width="10.4257812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5"/>
  <cols>
    <col min="1" max="1" width="13" bestFit="1" customWidth="1"/>
    <col min="2" max="2" width="10.5703125" bestFit="1" customWidth="1"/>
    <col min="4" max="4" width="9.4257812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5"/>
  <cols>
    <col min="1" max="1" width="10.42578125" bestFit="1" customWidth="1"/>
    <col min="2" max="2" width="18.85546875" bestFit="1" customWidth="1"/>
    <col min="5" max="5" width="11.140625" bestFit="1" customWidth="1"/>
    <col min="6" max="6" width="11.42578125" bestFit="1" customWidth="1"/>
  </cols>
  <sheetData>
    <row r="1" spans="1:6">
      <c r="A1" s="98" t="s">
        <v>670</v>
      </c>
      <c r="B1" s="98" t="s">
        <v>1661</v>
      </c>
      <c r="E1" s="388" t="s">
        <v>1662</v>
      </c>
      <c r="F1" s="389"/>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5"/>
  <cols>
    <col min="1" max="1" width="17.42578125" bestFit="1" customWidth="1"/>
    <col min="2" max="2" width="23" bestFit="1" customWidth="1"/>
    <col min="3" max="3" width="16.5703125" bestFit="1" customWidth="1"/>
    <col min="5" max="5" width="23.140625" bestFit="1" customWidth="1"/>
    <col min="6" max="6" width="22.42578125" bestFit="1" customWidth="1"/>
    <col min="7" max="7" width="8.42578125" bestFit="1" customWidth="1"/>
  </cols>
  <sheetData>
    <row r="1" spans="1:7">
      <c r="A1" s="390" t="s">
        <v>1670</v>
      </c>
      <c r="B1" s="391"/>
      <c r="C1" s="391"/>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5"/>
  <cols>
    <col min="1" max="1" width="9.42578125" bestFit="1" customWidth="1"/>
    <col min="2" max="2" width="14.42578125" bestFit="1" customWidth="1"/>
    <col min="3" max="3" width="9.42578125" bestFit="1" customWidth="1"/>
    <col min="4" max="4" width="16.4257812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5"/>
  <cols>
    <col min="1" max="1" width="9.85546875" bestFit="1" customWidth="1"/>
    <col min="2" max="2" width="29.140625" bestFit="1" customWidth="1"/>
    <col min="3" max="3" width="23.14062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5"/>
  <cols>
    <col min="1" max="1" width="14.5703125" bestFit="1" customWidth="1"/>
    <col min="2" max="2" width="17.42578125" customWidth="1"/>
    <col min="3" max="3" width="15.7109375" bestFit="1" customWidth="1"/>
  </cols>
  <sheetData>
    <row r="1" spans="1:4" ht="60">
      <c r="A1" s="1" t="s">
        <v>1682</v>
      </c>
      <c r="B1" s="8" t="s">
        <v>1675</v>
      </c>
      <c r="C1" s="8" t="s">
        <v>1697</v>
      </c>
    </row>
    <row r="2" spans="1:4">
      <c r="A2" s="2">
        <v>1</v>
      </c>
      <c r="B2" s="370">
        <v>5</v>
      </c>
      <c r="C2" s="7">
        <f>MROUND(A2,5)</f>
        <v>0</v>
      </c>
    </row>
    <row r="3" spans="1:4">
      <c r="A3" s="2">
        <v>2</v>
      </c>
      <c r="B3" s="371"/>
      <c r="C3" s="7">
        <f t="shared" ref="C3:C11" si="0">MROUND(A3,5)</f>
        <v>0</v>
      </c>
    </row>
    <row r="4" spans="1:4">
      <c r="A4" s="2">
        <v>3</v>
      </c>
      <c r="B4" s="371"/>
      <c r="C4" s="7">
        <f t="shared" si="0"/>
        <v>5</v>
      </c>
    </row>
    <row r="5" spans="1:4">
      <c r="A5" s="2">
        <v>4</v>
      </c>
      <c r="B5" s="371"/>
      <c r="C5" s="7">
        <f t="shared" si="0"/>
        <v>5</v>
      </c>
    </row>
    <row r="6" spans="1:4">
      <c r="A6" s="2">
        <v>5</v>
      </c>
      <c r="B6" s="371"/>
      <c r="C6" s="7">
        <f t="shared" si="0"/>
        <v>5</v>
      </c>
    </row>
    <row r="7" spans="1:4">
      <c r="A7" s="2">
        <v>6</v>
      </c>
      <c r="B7" s="371"/>
      <c r="C7" s="7">
        <f t="shared" si="0"/>
        <v>5</v>
      </c>
    </row>
    <row r="8" spans="1:4">
      <c r="A8" s="2">
        <v>7</v>
      </c>
      <c r="B8" s="371"/>
      <c r="C8" s="7">
        <f t="shared" si="0"/>
        <v>5</v>
      </c>
    </row>
    <row r="9" spans="1:4">
      <c r="A9" s="2">
        <v>8</v>
      </c>
      <c r="B9" s="371"/>
      <c r="C9" s="7">
        <f t="shared" si="0"/>
        <v>10</v>
      </c>
    </row>
    <row r="10" spans="1:4">
      <c r="A10" s="2">
        <v>9</v>
      </c>
      <c r="B10" s="371"/>
      <c r="C10" s="7">
        <f t="shared" si="0"/>
        <v>10</v>
      </c>
    </row>
    <row r="11" spans="1:4" ht="15.75">
      <c r="A11" s="2">
        <v>10</v>
      </c>
      <c r="B11" s="372"/>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5"/>
  <cols>
    <col min="1" max="1" width="11.28515625" bestFit="1" customWidth="1"/>
    <col min="2" max="2" width="16.28515625" bestFit="1" customWidth="1"/>
    <col min="3" max="3" width="12.5703125" bestFit="1" customWidth="1"/>
    <col min="4" max="4" width="20.710937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5"/>
  <cols>
    <col min="1" max="1" width="20.140625" bestFit="1" customWidth="1"/>
    <col min="2" max="2" width="8.42578125" bestFit="1" customWidth="1"/>
    <col min="3" max="3" width="7.85546875" bestFit="1" customWidth="1"/>
    <col min="4" max="4" width="19.570312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5"/>
  <cols>
    <col min="1" max="1" width="11.28515625" bestFit="1" customWidth="1"/>
    <col min="2" max="2" width="17.140625" bestFit="1" customWidth="1"/>
    <col min="3" max="3" width="16.8554687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5"/>
  <cols>
    <col min="1" max="1" width="16" bestFit="1" customWidth="1"/>
    <col min="2" max="2" width="16" customWidth="1"/>
    <col min="3" max="3" width="24.8554687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5"/>
  <cols>
    <col min="1" max="1" width="7.85546875" bestFit="1" customWidth="1"/>
    <col min="3" max="3" width="51.28515625" bestFit="1" customWidth="1"/>
    <col min="4" max="4" width="13.42578125" customWidth="1"/>
    <col min="5" max="5" width="30.5703125" bestFit="1" customWidth="1"/>
  </cols>
  <sheetData>
    <row r="1" spans="1:5" ht="60">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5"/>
  <cols>
    <col min="1" max="1" width="10.28515625" bestFit="1" customWidth="1"/>
    <col min="2" max="2" width="8.85546875" bestFit="1" customWidth="1"/>
    <col min="3" max="3" width="11.85546875" bestFit="1" customWidth="1"/>
  </cols>
  <sheetData>
    <row r="1" spans="1:3" ht="17.25">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5"/>
  <cols>
    <col min="2" max="2" width="20.85546875" bestFit="1" customWidth="1"/>
    <col min="3" max="3" width="14.85546875" bestFit="1" customWidth="1"/>
    <col min="4" max="4" width="11.85546875" bestFit="1" customWidth="1"/>
  </cols>
  <sheetData>
    <row r="1" spans="2:4">
      <c r="B1" s="384" t="s">
        <v>1716</v>
      </c>
      <c r="C1" s="385"/>
      <c r="D1" s="386"/>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5"/>
  <cols>
    <col min="1" max="1" width="17.140625" bestFit="1" customWidth="1"/>
    <col min="2" max="3" width="8.7109375" customWidth="1"/>
  </cols>
  <sheetData>
    <row r="1" spans="1:3" ht="17.25">
      <c r="A1" s="1" t="s">
        <v>1729</v>
      </c>
      <c r="B1" s="1" t="s">
        <v>1731</v>
      </c>
      <c r="C1" s="1" t="s">
        <v>1730</v>
      </c>
    </row>
    <row r="2" spans="1:3" ht="17.25">
      <c r="A2" s="2" t="s">
        <v>1735</v>
      </c>
      <c r="B2" s="115">
        <f>((-4+POWER(POWER(4,2)-(4*1*(-5)),1/2)))/(2*1)</f>
        <v>1</v>
      </c>
      <c r="C2" s="7">
        <f>((-4-POWER(POWER(4,2)-(4*1*(-5)),1/2)))/(2*1)</f>
        <v>-5</v>
      </c>
    </row>
    <row r="3" spans="1:3" ht="17.25">
      <c r="A3" s="2" t="s">
        <v>1732</v>
      </c>
      <c r="B3" s="18">
        <f>((-(-5)+POWER(POWER((-5),2)-(4*2*3),1/2)))/(2*2)</f>
        <v>1.5</v>
      </c>
      <c r="C3" s="18">
        <f>((-(-5)-POWER(POWER((-5),2)-(4*2*3),1/2)))/(2*2)</f>
        <v>1</v>
      </c>
    </row>
    <row r="4" spans="1:3" ht="17.25">
      <c r="A4" s="2" t="s">
        <v>1733</v>
      </c>
      <c r="B4" s="18">
        <f>((-1+POWER(POWER(1,2)-(4*2*(-300)),1/2)))/(2*2)</f>
        <v>12</v>
      </c>
      <c r="C4" s="18">
        <f>((-1-POWER(POWER(1,2)-(4*2*(-300)),1/2)))/(2*2)</f>
        <v>-12.5</v>
      </c>
    </row>
    <row r="5" spans="1:3" ht="17.25">
      <c r="A5" s="2" t="s">
        <v>1734</v>
      </c>
      <c r="B5" s="18">
        <f>((-(-45)+POWER(POWER((-45),2)-(4*1*324),1/2)))/(2*1)</f>
        <v>36</v>
      </c>
      <c r="C5" s="18">
        <f>((-(-45)-POWER(POWER((-45),2)-(4*1*324),1/2)))/(2*1)</f>
        <v>9</v>
      </c>
    </row>
    <row r="6" spans="1:3" ht="17.25">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5"/>
  <cols>
    <col min="1" max="1" width="12" bestFit="1" customWidth="1"/>
    <col min="2" max="2" width="6.8554687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5"/>
  <cols>
    <col min="1" max="2" width="10.4257812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5"/>
  <cols>
    <col min="1" max="1" width="12" bestFit="1" customWidth="1"/>
    <col min="2" max="2" width="6.140625" bestFit="1" customWidth="1"/>
    <col min="3" max="3" width="11.8554687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5"/>
  <cols>
    <col min="1" max="1" width="14.140625" bestFit="1" customWidth="1"/>
    <col min="2" max="2" width="68.7109375" bestFit="1" customWidth="1"/>
    <col min="3" max="3" width="14.28515625" customWidth="1"/>
    <col min="4" max="4" width="33.14062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70" t="s">
        <v>1749</v>
      </c>
      <c r="C6" s="392" t="str">
        <f>A6&amp;CHAR(10)&amp;A7</f>
        <v>Georgia
ZIP Code: 30006</v>
      </c>
      <c r="D6" s="394" t="s">
        <v>1755</v>
      </c>
    </row>
    <row r="7" spans="1:6">
      <c r="A7" s="2" t="s">
        <v>1744</v>
      </c>
      <c r="B7" s="372"/>
      <c r="C7" s="393"/>
      <c r="D7" s="395"/>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5"/>
  <cols>
    <col min="1" max="1" width="8.85546875" bestFit="1" customWidth="1"/>
    <col min="2" max="2" width="9.42578125" bestFit="1" customWidth="1"/>
    <col min="3" max="3" width="40.140625" bestFit="1" customWidth="1"/>
    <col min="4" max="4" width="40.140625" customWidth="1"/>
    <col min="5" max="5" width="19.4257812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5"/>
  <cols>
    <col min="1" max="1" width="11.140625" bestFit="1" customWidth="1"/>
    <col min="2" max="2" width="41.42578125" customWidth="1"/>
    <col min="3" max="3" width="42.28515625" bestFit="1" customWidth="1"/>
    <col min="4" max="4" width="39.4257812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60">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5"/>
  <cols>
    <col min="1" max="1" width="15.85546875" bestFit="1" customWidth="1"/>
    <col min="2" max="2" width="20.28515625" bestFit="1" customWidth="1"/>
    <col min="3" max="3" width="9.85546875" bestFit="1" customWidth="1"/>
    <col min="4" max="4" width="9.140625" bestFit="1" customWidth="1"/>
    <col min="5" max="5" width="8" bestFit="1" customWidth="1"/>
    <col min="6" max="6" width="44.5703125" bestFit="1" customWidth="1"/>
  </cols>
  <sheetData>
    <row r="1" spans="1:6">
      <c r="A1" s="1" t="s">
        <v>1779</v>
      </c>
      <c r="B1" s="1" t="s">
        <v>1775</v>
      </c>
      <c r="C1" s="1" t="s">
        <v>1776</v>
      </c>
      <c r="D1" s="1" t="s">
        <v>352</v>
      </c>
      <c r="E1" s="1" t="s">
        <v>1089</v>
      </c>
      <c r="F1" s="25" t="s">
        <v>1788</v>
      </c>
    </row>
    <row r="2" spans="1:6" ht="60">
      <c r="A2" s="3" t="s">
        <v>1770</v>
      </c>
      <c r="B2" s="3" t="s">
        <v>1777</v>
      </c>
      <c r="C2" s="3" t="s">
        <v>1778</v>
      </c>
      <c r="D2" s="3" t="s">
        <v>347</v>
      </c>
      <c r="E2" s="3">
        <v>91763</v>
      </c>
      <c r="F2" s="116" t="str">
        <f>B2&amp;CHAR(10)&amp;C2&amp;CHAR(10)&amp;D2&amp;CHAR(10)&amp;E2</f>
        <v>4781 Canoga St #APT 4
Montclair
California
91763</v>
      </c>
    </row>
    <row r="3" spans="1:6" ht="60">
      <c r="A3" s="3" t="s">
        <v>1771</v>
      </c>
      <c r="B3" s="3" t="s">
        <v>1780</v>
      </c>
      <c r="C3" s="3" t="s">
        <v>1781</v>
      </c>
      <c r="D3" s="3" t="s">
        <v>347</v>
      </c>
      <c r="E3" s="3">
        <v>93021</v>
      </c>
      <c r="F3" s="116" t="str">
        <f>B3&amp;CHAR(10)&amp;C3&amp;CHAR(10)&amp;D3&amp;CHAR(10)&amp;E3</f>
        <v>4564 N Isle Royale St
Moorpark
California
93021</v>
      </c>
    </row>
    <row r="4" spans="1:6" ht="60">
      <c r="A4" s="3" t="s">
        <v>1772</v>
      </c>
      <c r="B4" s="3" t="s">
        <v>1782</v>
      </c>
      <c r="C4" s="3" t="s">
        <v>1783</v>
      </c>
      <c r="D4" s="3" t="s">
        <v>347</v>
      </c>
      <c r="E4" s="3">
        <v>93003</v>
      </c>
      <c r="F4" s="116" t="str">
        <f>B4&amp;CHAR(10)&amp;C4&amp;CHAR(10)&amp;D4&amp;CHAR(10)&amp;E4</f>
        <v>477 S Borchard Dr
Ventura
California
93003</v>
      </c>
    </row>
    <row r="5" spans="1:6" ht="60">
      <c r="A5" s="3" t="s">
        <v>1773</v>
      </c>
      <c r="B5" s="3" t="s">
        <v>1784</v>
      </c>
      <c r="C5" s="3" t="s">
        <v>1785</v>
      </c>
      <c r="D5" s="3" t="s">
        <v>347</v>
      </c>
      <c r="E5" s="3">
        <v>95765</v>
      </c>
      <c r="F5" s="116" t="str">
        <f>B5&amp;CHAR(10)&amp;C5&amp;CHAR(10)&amp;D5&amp;CHAR(10)&amp;E5</f>
        <v>4563 Scenic Dr
Rocklin
California
95765</v>
      </c>
    </row>
    <row r="6" spans="1:6" ht="60">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5"/>
  <cols>
    <col min="1" max="2" width="22.8554687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5"/>
  <cols>
    <col min="1" max="1" width="9.85546875" bestFit="1" customWidth="1"/>
    <col min="2" max="2" width="13.85546875" bestFit="1" customWidth="1"/>
    <col min="3" max="3" width="17.570312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5"/>
  <cols>
    <col min="1" max="1" width="32.140625" bestFit="1" customWidth="1"/>
    <col min="2" max="2" width="24.8554687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5"/>
  <cols>
    <col min="1" max="1" width="56" bestFit="1" customWidth="1"/>
    <col min="2" max="2" width="21.140625" bestFit="1" customWidth="1"/>
    <col min="3" max="3" width="33.8554687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5"/>
  <cols>
    <col min="1" max="1" width="14.140625" bestFit="1" customWidth="1"/>
    <col min="2" max="2" width="8.42578125" bestFit="1" customWidth="1"/>
    <col min="3" max="3" width="8.140625" bestFit="1" customWidth="1"/>
    <col min="5" max="5" width="67" bestFit="1" customWidth="1"/>
    <col min="6" max="6" width="9.140625" customWidth="1"/>
  </cols>
  <sheetData>
    <row r="1" spans="1:8">
      <c r="A1" s="1" t="s">
        <v>533</v>
      </c>
      <c r="B1" s="1" t="s">
        <v>136</v>
      </c>
      <c r="C1" s="1" t="s">
        <v>357</v>
      </c>
      <c r="E1" s="1" t="s">
        <v>1138</v>
      </c>
      <c r="F1" s="379" t="s">
        <v>1816</v>
      </c>
      <c r="G1" s="375"/>
      <c r="H1" s="375"/>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5"/>
  <cols>
    <col min="1" max="1" width="31.140625" bestFit="1" customWidth="1"/>
    <col min="2" max="13" width="9.4257812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5"/>
  <cols>
    <col min="2" max="11" width="12.85546875" customWidth="1"/>
  </cols>
  <sheetData>
    <row r="1" spans="1:11" s="121" customFormat="1" ht="45">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79" t="s">
        <v>1842</v>
      </c>
      <c r="C10" s="375"/>
      <c r="D10" s="375"/>
      <c r="E10" s="375"/>
      <c r="F10" s="375"/>
      <c r="G10" s="375"/>
      <c r="H10" s="375"/>
      <c r="I10" s="375"/>
      <c r="J10" s="375"/>
      <c r="K10" s="375"/>
    </row>
    <row r="11" spans="1:11">
      <c r="B11" s="7">
        <f t="array" ref="B11:K11">COLUMN(B1:K8)</f>
        <v>2</v>
      </c>
      <c r="C11" s="7">
        <v>3</v>
      </c>
      <c r="D11" s="7">
        <v>4</v>
      </c>
      <c r="E11" s="7">
        <v>5</v>
      </c>
      <c r="F11" s="7">
        <v>6</v>
      </c>
      <c r="G11" s="7">
        <v>7</v>
      </c>
      <c r="H11" s="7">
        <v>8</v>
      </c>
      <c r="I11" s="7">
        <v>9</v>
      </c>
      <c r="J11" s="7">
        <v>10</v>
      </c>
      <c r="K11" s="7">
        <v>11</v>
      </c>
    </row>
    <row r="14" spans="1:11" ht="60">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5"/>
  <cols>
    <col min="1" max="1" width="14.85546875" bestFit="1" customWidth="1"/>
    <col min="2" max="2" width="11.28515625" bestFit="1" customWidth="1"/>
    <col min="3" max="3" width="13.85546875" bestFit="1" customWidth="1"/>
    <col min="4" max="4" width="13.7109375" bestFit="1" customWidth="1"/>
    <col min="5" max="5" width="7.85546875" bestFit="1" customWidth="1"/>
    <col min="6" max="6" width="14.7109375" bestFit="1" customWidth="1"/>
    <col min="9" max="9" width="12.85546875" bestFit="1" customWidth="1"/>
    <col min="10" max="10" width="22.85546875" bestFit="1" customWidth="1"/>
    <col min="11" max="11" width="13.7109375" bestFit="1" customWidth="1"/>
  </cols>
  <sheetData>
    <row r="1" spans="1:11">
      <c r="A1" s="1" t="s">
        <v>155</v>
      </c>
      <c r="B1" s="1" t="s">
        <v>156</v>
      </c>
      <c r="C1" s="1" t="s">
        <v>369</v>
      </c>
      <c r="D1" s="1" t="s">
        <v>158</v>
      </c>
      <c r="E1" s="1" t="s">
        <v>1844</v>
      </c>
      <c r="F1" s="1" t="s">
        <v>237</v>
      </c>
      <c r="I1" s="373" t="s">
        <v>1869</v>
      </c>
      <c r="J1" s="373"/>
      <c r="K1" s="373"/>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5"/>
  <cols>
    <col min="1" max="1" width="37.5703125" bestFit="1" customWidth="1"/>
    <col min="4" max="4" width="7.5703125" bestFit="1" customWidth="1"/>
    <col min="5" max="5" width="11.8554687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5"/>
  <cols>
    <col min="1" max="1" width="34.5703125" bestFit="1" customWidth="1"/>
    <col min="2" max="2" width="72.7109375" bestFit="1" customWidth="1"/>
    <col min="3" max="3" width="44.28515625" bestFit="1" customWidth="1"/>
    <col min="4" max="4" width="27.570312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5">
      <c r="A5" s="123" t="str">
        <f>"This cell "&amp;CHAR(10)&amp;"contained "&amp;CHAR(10)&amp;"line breaks."</f>
        <v>This cell 
contained 
line breaks.</v>
      </c>
      <c r="B5" s="124" t="s">
        <v>1915</v>
      </c>
      <c r="C5" s="47" t="str">
        <f>CLEAN(A5)</f>
        <v>This cell contained line breaks.</v>
      </c>
      <c r="D5" s="124" t="s">
        <v>1881</v>
      </c>
    </row>
    <row r="9" spans="1:4">
      <c r="C9" s="122"/>
    </row>
    <row r="13" spans="1:4">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5"/>
  <cols>
    <col min="1" max="1" width="14" bestFit="1" customWidth="1"/>
    <col min="2" max="2" width="24.85546875" bestFit="1" customWidth="1"/>
    <col min="3" max="3" width="15.85546875" bestFit="1" customWidth="1"/>
    <col min="6" max="6" width="12.5703125" customWidth="1"/>
    <col min="7" max="7" width="15.285156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5"/>
  <cols>
    <col min="1" max="1" width="14.85546875" customWidth="1"/>
    <col min="2" max="2" width="22.5703125" bestFit="1" customWidth="1"/>
    <col min="3" max="3" width="34.4257812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5"/>
  <cols>
    <col min="1" max="1" width="26.85546875" bestFit="1" customWidth="1"/>
    <col min="2" max="2" width="30.4257812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5"/>
  <cols>
    <col min="1" max="1" width="34.85546875" customWidth="1"/>
    <col min="2" max="2" width="14.570312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30">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5"/>
  <cols>
    <col min="1" max="2" width="42.140625" bestFit="1" customWidth="1"/>
    <col min="3" max="3" width="64.28515625" bestFit="1" customWidth="1"/>
  </cols>
  <sheetData>
    <row r="1" spans="1:3" ht="30">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60">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5"/>
  <cols>
    <col min="1" max="1" width="10.5703125" customWidth="1"/>
    <col min="2" max="2" width="7.85546875" customWidth="1"/>
    <col min="3" max="3" width="40.85546875" customWidth="1"/>
    <col min="4" max="4" width="13.42578125" customWidth="1"/>
    <col min="5" max="5" width="29.570312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5"/>
  <cols>
    <col min="1" max="1" width="10.42578125" bestFit="1" customWidth="1"/>
    <col min="2" max="2" width="7.42578125" bestFit="1" customWidth="1"/>
    <col min="3" max="3" width="12.8554687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5"/>
  <cols>
    <col min="1" max="1" width="7.140625" bestFit="1" customWidth="1"/>
    <col min="2" max="2" width="18.85546875" bestFit="1" customWidth="1"/>
    <col min="3" max="3" width="17.5703125" bestFit="1" customWidth="1"/>
    <col min="4" max="4" width="11.42578125" customWidth="1"/>
    <col min="5" max="5" width="10.42578125" bestFit="1" customWidth="1"/>
    <col min="6" max="6" width="9.4257812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5"/>
  <cols>
    <col min="1" max="1" width="9.28515625" bestFit="1" customWidth="1"/>
    <col min="2" max="2" width="10.5703125" bestFit="1" customWidth="1"/>
    <col min="4" max="4" width="7.14062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5"/>
  <cols>
    <col min="1" max="1" width="14.85546875" bestFit="1" customWidth="1"/>
    <col min="2" max="2" width="7.7109375" bestFit="1" customWidth="1"/>
    <col min="3" max="3" width="11.85546875" bestFit="1" customWidth="1"/>
    <col min="4" max="4" width="18.42578125" bestFit="1" customWidth="1"/>
    <col min="6" max="6" width="9.42578125" bestFit="1" customWidth="1"/>
    <col min="7" max="7" width="10.42578125" bestFit="1" customWidth="1"/>
    <col min="9" max="9" width="10.4257812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5"/>
  <cols>
    <col min="1" max="1" width="20.85546875" bestFit="1" customWidth="1"/>
    <col min="2" max="2" width="19.85546875" bestFit="1" customWidth="1"/>
    <col min="3" max="3" width="23.570312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5"/>
  <cols>
    <col min="1" max="1" width="22.42578125" bestFit="1" customWidth="1"/>
    <col min="2" max="2" width="18.570312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5"/>
  <cols>
    <col min="2" max="6" width="17" bestFit="1" customWidth="1"/>
    <col min="7" max="7" width="15.8554687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5"/>
  <cols>
    <col min="2" max="2" width="42.140625" bestFit="1" customWidth="1"/>
    <col min="4" max="4" width="23.42578125" customWidth="1"/>
  </cols>
  <sheetData>
    <row r="1" spans="1:5" ht="36.950000000000003"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5"/>
  <cols>
    <col min="1" max="1" width="41.140625" bestFit="1" customWidth="1"/>
    <col min="2" max="2" width="11.8554687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5"/>
  <cols>
    <col min="1" max="1" width="19.5703125" bestFit="1" customWidth="1"/>
    <col min="2" max="2" width="20.8554687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74" t="s">
        <v>2033</v>
      </c>
      <c r="B13" s="7">
        <f t="array" ref="B13:B14">_xlfn.MODE.MULT(B2:B9)</f>
        <v>45</v>
      </c>
    </row>
    <row r="14" spans="1:2">
      <c r="A14" s="374"/>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5"/>
  <cols>
    <col min="1" max="1" width="11.7109375" bestFit="1" customWidth="1"/>
    <col min="2" max="2" width="13.5703125" bestFit="1" customWidth="1"/>
    <col min="5" max="5" width="19.710937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5"/>
  <cols>
    <col min="1" max="1" width="15.140625" customWidth="1"/>
    <col min="2" max="2" width="11.140625" customWidth="1"/>
    <col min="3" max="3" width="14.42578125" customWidth="1"/>
    <col min="4" max="4" width="102.5703125" bestFit="1" customWidth="1"/>
    <col min="6" max="6" width="11.28515625" customWidth="1"/>
    <col min="7" max="7" width="14" customWidth="1"/>
  </cols>
  <sheetData>
    <row r="1" spans="1:7">
      <c r="A1" s="1" t="s">
        <v>533</v>
      </c>
      <c r="B1" s="1" t="s">
        <v>2040</v>
      </c>
      <c r="C1" s="1" t="s">
        <v>2039</v>
      </c>
      <c r="D1" s="25" t="s">
        <v>1475</v>
      </c>
      <c r="F1" s="376" t="s">
        <v>757</v>
      </c>
      <c r="G1" s="378"/>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5"/>
  <cols>
    <col min="1" max="1" width="13.7109375" bestFit="1" customWidth="1"/>
    <col min="2" max="2" width="31.42578125" bestFit="1" customWidth="1"/>
    <col min="3" max="3" width="19.8554687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5"/>
  <cols>
    <col min="1" max="1" width="14.42578125" bestFit="1" customWidth="1"/>
    <col min="2" max="2" width="13.140625" bestFit="1" customWidth="1"/>
    <col min="3" max="3" width="5.8554687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5"/>
  <cols>
    <col min="1" max="1" width="30.7109375" bestFit="1" customWidth="1"/>
    <col min="2" max="2" width="10.42578125" bestFit="1" customWidth="1"/>
    <col min="3" max="3" width="21.42578125" bestFit="1" customWidth="1"/>
    <col min="5" max="5" width="10.4257812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5"/>
  <cols>
    <col min="1" max="1" width="31.140625" bestFit="1" customWidth="1"/>
    <col min="2" max="2" width="10.8554687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5"/>
  <cols>
    <col min="1" max="1" width="9.85546875" bestFit="1" customWidth="1"/>
    <col min="3" max="4" width="13.85546875" bestFit="1" customWidth="1"/>
    <col min="5" max="5" width="107.5703125" customWidth="1"/>
  </cols>
  <sheetData>
    <row r="1" spans="1:5">
      <c r="A1" s="1" t="s">
        <v>32</v>
      </c>
      <c r="C1" s="1" t="s">
        <v>2116</v>
      </c>
      <c r="D1" s="374" t="s">
        <v>32</v>
      </c>
      <c r="E1" s="374"/>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5"/>
  <cols>
    <col min="1" max="1" width="5.7109375" bestFit="1" customWidth="1"/>
    <col min="2" max="4" width="23" bestFit="1" customWidth="1"/>
    <col min="5" max="5" width="51.28515625" style="121" customWidth="1"/>
    <col min="6" max="6" width="30.85546875" bestFit="1" customWidth="1"/>
    <col min="7" max="7" width="34.4257812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ht="30">
      <c r="A4" s="2" t="s">
        <v>1987</v>
      </c>
      <c r="B4" s="2">
        <v>100</v>
      </c>
      <c r="C4" s="2">
        <v>200</v>
      </c>
      <c r="D4" s="2">
        <v>300</v>
      </c>
      <c r="E4" s="107" t="s">
        <v>2123</v>
      </c>
      <c r="F4" s="7" t="b">
        <f>_xlfn.XOR(C4&gt;B4,D4&gt;C4)</f>
        <v>0</v>
      </c>
      <c r="G4" s="65" t="s">
        <v>2128</v>
      </c>
    </row>
    <row r="5" spans="1:7" ht="30">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5"/>
  <cols>
    <col min="1" max="2" width="7" bestFit="1" customWidth="1"/>
    <col min="3" max="3" width="12.14062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5"/>
  <cols>
    <col min="1" max="5" width="13.140625" bestFit="1" customWidth="1"/>
    <col min="6" max="6" width="12.14062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5"/>
  <cols>
    <col min="1" max="1" width="9.5703125" bestFit="1" customWidth="1"/>
    <col min="4" max="4" width="27.710937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5"/>
  <cols>
    <col min="1" max="1" width="18" bestFit="1" customWidth="1"/>
    <col min="2" max="2" width="12.14062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5"/>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5"/>
  <cols>
    <col min="1" max="1" width="10.42578125" bestFit="1" customWidth="1"/>
    <col min="2" max="2" width="15.7109375" bestFit="1" customWidth="1"/>
    <col min="3" max="3" width="30.4257812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5"/>
  <cols>
    <col min="3" max="3" width="12.28515625" bestFit="1" customWidth="1"/>
    <col min="4" max="4" width="11.85546875" bestFit="1" customWidth="1"/>
    <col min="5" max="5" width="27.85546875" bestFit="1" customWidth="1"/>
    <col min="6" max="6" width="17.8554687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5"/>
  <cols>
    <col min="1" max="1" width="21.5703125" bestFit="1" customWidth="1"/>
    <col min="2" max="2" width="15.7109375" bestFit="1" customWidth="1"/>
    <col min="3" max="3" width="22.570312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5"/>
  <cols>
    <col min="1" max="1" width="17.42578125" bestFit="1" customWidth="1"/>
    <col min="4" max="4" width="16.28515625" bestFit="1" customWidth="1"/>
    <col min="5" max="5" width="17.42578125" bestFit="1" customWidth="1"/>
  </cols>
  <sheetData>
    <row r="1" spans="1:5">
      <c r="A1" s="1" t="s">
        <v>2198</v>
      </c>
      <c r="D1" s="379" t="s">
        <v>2209</v>
      </c>
      <c r="E1" s="375"/>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5"/>
  <cols>
    <col min="1" max="1" width="10.5703125" bestFit="1" customWidth="1"/>
    <col min="4" max="4" width="30.4257812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5"/>
  <cols>
    <col min="1" max="1" width="15.85546875" bestFit="1" customWidth="1"/>
    <col min="2" max="2" width="14.28515625" bestFit="1" customWidth="1"/>
    <col min="4" max="4" width="15.5703125" bestFit="1" customWidth="1"/>
    <col min="5" max="5" width="34.140625" bestFit="1" customWidth="1"/>
  </cols>
  <sheetData>
    <row r="1" spans="1:5">
      <c r="A1" s="379" t="s">
        <v>2247</v>
      </c>
      <c r="B1" s="375"/>
      <c r="D1" s="379" t="s">
        <v>2248</v>
      </c>
      <c r="E1" s="375"/>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5"/>
  <cols>
    <col min="1" max="1" width="11.7109375" bestFit="1" customWidth="1"/>
    <col min="2" max="2" width="24.570312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5"/>
  <cols>
    <col min="1" max="1" width="9.85546875" customWidth="1"/>
    <col min="2" max="2" width="11" customWidth="1"/>
    <col min="3" max="3" width="11.42578125" customWidth="1"/>
    <col min="4" max="4" width="20.5703125" customWidth="1"/>
    <col min="5" max="5" width="42.4257812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400">
        <v>44866</v>
      </c>
      <c r="B5" s="400">
        <v>44895</v>
      </c>
      <c r="C5" s="20">
        <v>44876</v>
      </c>
      <c r="D5" s="396">
        <f>NETWORKDAYS(A5,B5,C5:C7)</f>
        <v>19</v>
      </c>
      <c r="E5" s="394" t="s">
        <v>2256</v>
      </c>
    </row>
    <row r="6" spans="1:5">
      <c r="A6" s="401"/>
      <c r="B6" s="401"/>
      <c r="C6" s="20">
        <v>44889</v>
      </c>
      <c r="D6" s="397"/>
      <c r="E6" s="399"/>
    </row>
    <row r="7" spans="1:5">
      <c r="A7" s="402"/>
      <c r="B7" s="402"/>
      <c r="C7" s="20">
        <v>44890</v>
      </c>
      <c r="D7" s="398"/>
      <c r="E7" s="395"/>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5"/>
  <cols>
    <col min="1" max="2" width="9.42578125" bestFit="1" customWidth="1"/>
    <col min="3" max="3" width="55.140625" bestFit="1" customWidth="1"/>
    <col min="4" max="4" width="19.140625" bestFit="1" customWidth="1"/>
    <col min="6" max="6" width="22.42578125" bestFit="1" customWidth="1"/>
    <col min="7" max="8" width="9.42578125" bestFit="1" customWidth="1"/>
  </cols>
  <sheetData>
    <row r="1" spans="1:8">
      <c r="A1" s="1" t="s">
        <v>1122</v>
      </c>
      <c r="B1" s="1" t="s">
        <v>2251</v>
      </c>
      <c r="C1" s="1" t="s">
        <v>1138</v>
      </c>
      <c r="D1" s="1" t="s">
        <v>2257</v>
      </c>
      <c r="E1" s="14"/>
      <c r="F1" s="374" t="s">
        <v>1669</v>
      </c>
      <c r="G1" s="374"/>
      <c r="H1" s="374"/>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t="e">
        <f>NETWORKDAYS("5/1/2022","6/15/2022","5/30/2022")</f>
        <v>#VALUE!</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5"/>
  <cols>
    <col min="1" max="1" width="16.5703125" bestFit="1" customWidth="1"/>
    <col min="2" max="2" width="16.28515625" bestFit="1" customWidth="1"/>
    <col min="3" max="3" width="20.42578125" bestFit="1" customWidth="1"/>
    <col min="4" max="4" width="12.7109375" bestFit="1" customWidth="1"/>
    <col min="5" max="5" width="30" bestFit="1" customWidth="1"/>
    <col min="7" max="7" width="10.42578125" bestFit="1" customWidth="1"/>
    <col min="8" max="8" width="10.5703125" bestFit="1" customWidth="1"/>
  </cols>
  <sheetData>
    <row r="1" spans="1:8">
      <c r="A1" s="1" t="s">
        <v>2289</v>
      </c>
      <c r="B1" s="1" t="s">
        <v>2290</v>
      </c>
      <c r="C1" s="1" t="s">
        <v>2271</v>
      </c>
      <c r="D1" s="1" t="s">
        <v>2274</v>
      </c>
      <c r="E1" s="1" t="s">
        <v>2276</v>
      </c>
      <c r="G1" s="374" t="s">
        <v>1669</v>
      </c>
      <c r="H1" s="374"/>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5"/>
  <cols>
    <col min="1" max="1" width="9.42578125" bestFit="1" customWidth="1"/>
    <col min="2" max="2" width="22.42578125" bestFit="1" customWidth="1"/>
    <col min="10" max="10" width="10.4257812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5"/>
  <cols>
    <col min="1" max="1" width="22.42578125" bestFit="1" customWidth="1"/>
    <col min="2" max="3" width="10.42578125" bestFit="1" customWidth="1"/>
    <col min="6" max="6" width="20.42578125" bestFit="1" customWidth="1"/>
    <col min="7" max="7" width="34.42578125" bestFit="1" customWidth="1"/>
    <col min="8" max="8" width="15" bestFit="1" customWidth="1"/>
  </cols>
  <sheetData>
    <row r="1" spans="1:15">
      <c r="A1" s="374" t="s">
        <v>2277</v>
      </c>
      <c r="B1" s="374"/>
      <c r="C1" s="374"/>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5"/>
  <cols>
    <col min="1" max="1" width="10" bestFit="1" customWidth="1"/>
    <col min="2" max="3" width="10.42578125" bestFit="1" customWidth="1"/>
    <col min="4" max="4" width="15.8554687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403">
        <v>44866</v>
      </c>
      <c r="B4" s="403">
        <v>44910</v>
      </c>
      <c r="C4" s="20">
        <v>44876</v>
      </c>
      <c r="D4" s="404">
        <v>31</v>
      </c>
    </row>
    <row r="5" spans="1:4">
      <c r="A5" s="403"/>
      <c r="B5" s="403"/>
      <c r="C5" s="20">
        <v>44889</v>
      </c>
      <c r="D5" s="404"/>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5"/>
  <cols>
    <col min="1" max="1" width="16.85546875" bestFit="1" customWidth="1"/>
    <col min="2" max="2" width="11.28515625" bestFit="1" customWidth="1"/>
    <col min="6" max="6" width="20.5703125" bestFit="1" customWidth="1"/>
    <col min="7" max="7" width="11" bestFit="1" customWidth="1"/>
    <col min="8" max="8" width="41.85546875" bestFit="1" customWidth="1"/>
  </cols>
  <sheetData>
    <row r="1" spans="1:8">
      <c r="A1" s="1" t="s">
        <v>2296</v>
      </c>
      <c r="B1" s="1" t="s">
        <v>1188</v>
      </c>
      <c r="E1" s="405" t="s">
        <v>2320</v>
      </c>
      <c r="F1" s="373"/>
      <c r="G1" s="373"/>
      <c r="H1" s="373"/>
    </row>
    <row r="2" spans="1:8" ht="17.25">
      <c r="A2" s="3" t="s">
        <v>2297</v>
      </c>
      <c r="B2" s="2">
        <v>170</v>
      </c>
      <c r="E2" s="1" t="s">
        <v>2307</v>
      </c>
      <c r="F2" s="1" t="s">
        <v>2308</v>
      </c>
      <c r="G2" s="1" t="s">
        <v>2319</v>
      </c>
      <c r="H2" s="1" t="s">
        <v>2309</v>
      </c>
    </row>
    <row r="3" spans="1:8" ht="17.25">
      <c r="A3" s="3" t="s">
        <v>2298</v>
      </c>
      <c r="B3" s="2">
        <v>185</v>
      </c>
      <c r="E3" s="2">
        <v>0.2</v>
      </c>
      <c r="F3" s="2" t="s">
        <v>2314</v>
      </c>
      <c r="G3" s="7">
        <f>PERCENTILE($B$2:$B$11,E3)</f>
        <v>165.8</v>
      </c>
      <c r="H3" s="65" t="s">
        <v>2310</v>
      </c>
    </row>
    <row r="4" spans="1:8" ht="17.25">
      <c r="A4" s="3" t="s">
        <v>2299</v>
      </c>
      <c r="B4" s="2">
        <v>177</v>
      </c>
      <c r="E4" s="2">
        <v>0.3</v>
      </c>
      <c r="F4" s="2" t="s">
        <v>2315</v>
      </c>
      <c r="G4" s="7">
        <f>PERCENTILE($B$2:$B$11,E4)</f>
        <v>168.1</v>
      </c>
      <c r="H4" s="65" t="s">
        <v>2311</v>
      </c>
    </row>
    <row r="5" spans="1:8" ht="17.25">
      <c r="A5" s="3" t="s">
        <v>2300</v>
      </c>
      <c r="B5" s="2">
        <v>173</v>
      </c>
      <c r="E5" s="2">
        <v>0.5</v>
      </c>
      <c r="F5" s="2" t="s">
        <v>2316</v>
      </c>
      <c r="G5" s="7">
        <f>PERCENTILE($B$2:$B$11,E5)</f>
        <v>171.5</v>
      </c>
      <c r="H5" s="65" t="s">
        <v>2312</v>
      </c>
    </row>
    <row r="6" spans="1:8" ht="17.25">
      <c r="A6" s="3" t="s">
        <v>2301</v>
      </c>
      <c r="B6" s="2">
        <v>166</v>
      </c>
      <c r="E6" s="2">
        <v>0.7</v>
      </c>
      <c r="F6" s="2" t="s">
        <v>2317</v>
      </c>
      <c r="G6" s="7">
        <f>PERCENTILE($B$2:$B$11,E6)</f>
        <v>177.9</v>
      </c>
      <c r="H6" s="65" t="s">
        <v>2313</v>
      </c>
    </row>
    <row r="7" spans="1:8" ht="17.25">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5"/>
  <cols>
    <col min="1" max="1" width="18" bestFit="1" customWidth="1"/>
    <col min="2" max="2" width="27.85546875" bestFit="1" customWidth="1"/>
    <col min="7" max="7" width="17.8554687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7.25">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5"/>
  <cols>
    <col min="1" max="1" width="11.5703125" customWidth="1"/>
    <col min="2" max="2" width="11" bestFit="1" customWidth="1"/>
    <col min="5" max="5" width="12.85546875" bestFit="1" customWidth="1"/>
  </cols>
  <sheetData>
    <row r="1" spans="1:6" ht="17.25">
      <c r="A1" s="1" t="s">
        <v>902</v>
      </c>
      <c r="B1" s="1" t="s">
        <v>2334</v>
      </c>
      <c r="E1" s="1" t="s">
        <v>2342</v>
      </c>
      <c r="F1" s="7">
        <f>PERCENTILE(B2:B7,0.4)</f>
        <v>53</v>
      </c>
    </row>
    <row r="2" spans="1:6" ht="17.25">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5"/>
  <cols>
    <col min="1" max="1" width="16.140625" bestFit="1" customWidth="1"/>
    <col min="2" max="2" width="27.42578125" bestFit="1" customWidth="1"/>
    <col min="3" max="3" width="5.140625" bestFit="1" customWidth="1"/>
    <col min="7" max="7" width="12.5703125" bestFit="1" customWidth="1"/>
  </cols>
  <sheetData>
    <row r="1" spans="1:7" ht="17.25">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5"/>
  <cols>
    <col min="1" max="1" width="17.5703125" bestFit="1" customWidth="1"/>
    <col min="2" max="2" width="17.14062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7.25">
      <c r="A14" s="374" t="s">
        <v>2364</v>
      </c>
      <c r="B14" s="374"/>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5"/>
  <cols>
    <col min="1" max="1" width="12.85546875" bestFit="1" customWidth="1"/>
    <col min="2" max="2" width="13.570312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7.25">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5"/>
  <cols>
    <col min="1" max="1" width="17.42578125" bestFit="1" customWidth="1"/>
    <col min="2" max="3" width="17.42578125" customWidth="1"/>
    <col min="4" max="4" width="13.28515625" bestFit="1" customWidth="1"/>
    <col min="6" max="6" width="14.85546875" customWidth="1"/>
    <col min="7" max="7" width="45.140625" customWidth="1"/>
  </cols>
  <sheetData>
    <row r="1" spans="1:7">
      <c r="A1" s="1" t="s">
        <v>0</v>
      </c>
      <c r="B1" s="1" t="s">
        <v>2378</v>
      </c>
      <c r="C1" s="1" t="s">
        <v>2379</v>
      </c>
      <c r="D1" s="1" t="s">
        <v>2366</v>
      </c>
      <c r="F1" s="374" t="s">
        <v>2380</v>
      </c>
      <c r="G1" s="374"/>
    </row>
    <row r="2" spans="1:7" ht="17.25">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5"/>
  <cols>
    <col min="1" max="1" width="9.85546875" bestFit="1" customWidth="1"/>
    <col min="2" max="2" width="39.140625" bestFit="1" customWidth="1"/>
    <col min="3" max="3" width="37.28515625" bestFit="1" customWidth="1"/>
    <col min="4" max="4" width="19.140625" customWidth="1"/>
    <col min="5" max="5" width="37.14062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5"/>
  <cols>
    <col min="1" max="1" width="12.28515625" bestFit="1" customWidth="1"/>
    <col min="2" max="2" width="8.42578125" bestFit="1" customWidth="1"/>
    <col min="3" max="3" width="32.85546875" bestFit="1" customWidth="1"/>
  </cols>
  <sheetData>
    <row r="1" spans="1:3">
      <c r="A1" s="1" t="s">
        <v>533</v>
      </c>
      <c r="B1" s="1" t="s">
        <v>136</v>
      </c>
      <c r="C1" s="1" t="s">
        <v>2397</v>
      </c>
    </row>
    <row r="2" spans="1:3" ht="15.75">
      <c r="A2" s="2" t="s">
        <v>544</v>
      </c>
      <c r="B2" s="2">
        <v>3.5283000000000002</v>
      </c>
      <c r="C2" s="96">
        <f>ROUNDDOWN(B2,2)</f>
        <v>3.52</v>
      </c>
    </row>
    <row r="3" spans="1:3" ht="15.75">
      <c r="A3" s="2" t="s">
        <v>545</v>
      </c>
      <c r="B3" s="2">
        <v>5.9744999999999999</v>
      </c>
      <c r="C3" s="96">
        <f t="shared" ref="C3:C9" si="0">ROUNDDOWN(B3,2)</f>
        <v>5.97</v>
      </c>
    </row>
    <row r="4" spans="1:3" ht="15.75">
      <c r="A4" s="2" t="s">
        <v>547</v>
      </c>
      <c r="B4" s="2">
        <v>11.9634</v>
      </c>
      <c r="C4" s="96">
        <f t="shared" si="0"/>
        <v>11.96</v>
      </c>
    </row>
    <row r="5" spans="1:3" ht="15.75">
      <c r="A5" s="2" t="s">
        <v>548</v>
      </c>
      <c r="B5" s="2">
        <v>2.4878999999999998</v>
      </c>
      <c r="C5" s="96">
        <f t="shared" si="0"/>
        <v>2.48</v>
      </c>
    </row>
    <row r="6" spans="1:3" ht="15.75">
      <c r="A6" s="2" t="s">
        <v>865</v>
      </c>
      <c r="B6" s="2">
        <v>4.3829000000000002</v>
      </c>
      <c r="C6" s="96">
        <f t="shared" si="0"/>
        <v>4.38</v>
      </c>
    </row>
    <row r="7" spans="1:3" ht="15.75">
      <c r="A7" s="2" t="s">
        <v>549</v>
      </c>
      <c r="B7" s="2">
        <v>30.953399999999998</v>
      </c>
      <c r="C7" s="96">
        <f t="shared" si="0"/>
        <v>30.95</v>
      </c>
    </row>
    <row r="8" spans="1:3" ht="15.75">
      <c r="A8" s="2" t="s">
        <v>546</v>
      </c>
      <c r="B8" s="2">
        <v>5.2698</v>
      </c>
      <c r="C8" s="96">
        <f t="shared" si="0"/>
        <v>5.26</v>
      </c>
    </row>
    <row r="9" spans="1:3" ht="15.75">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5"/>
  <cols>
    <col min="1" max="1" width="14.140625" bestFit="1" customWidth="1"/>
    <col min="2" max="2" width="33.5703125" bestFit="1" customWidth="1"/>
    <col min="3" max="3" width="37.28515625" bestFit="1" customWidth="1"/>
    <col min="4" max="4" width="47.8554687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5"/>
  <cols>
    <col min="1" max="1" width="10.85546875" bestFit="1" customWidth="1"/>
    <col min="2" max="2" width="9.85546875" bestFit="1" customWidth="1"/>
    <col min="3" max="3" width="21.7109375" bestFit="1" customWidth="1"/>
    <col min="4" max="4" width="21.7109375" customWidth="1"/>
    <col min="5" max="5" width="58.14062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5"/>
  <cols>
    <col min="1" max="1" width="11.28515625" bestFit="1" customWidth="1"/>
    <col min="2" max="2" width="13.5703125" customWidth="1"/>
    <col min="5" max="5" width="11.285156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5"/>
  <cols>
    <col min="1" max="1" width="10.42578125" customWidth="1"/>
    <col min="2" max="2" width="9.5703125" bestFit="1" customWidth="1"/>
    <col min="3" max="3" width="20.8554687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5"/>
  <cols>
    <col min="1" max="1" width="27.140625" bestFit="1" customWidth="1"/>
    <col min="2" max="2" width="17.85546875" bestFit="1" customWidth="1"/>
    <col min="3" max="3" width="27.14062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5"/>
  <cols>
    <col min="1" max="1" width="15.140625" customWidth="1"/>
    <col min="2" max="2" width="26.4257812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5"/>
  <cols>
    <col min="1" max="1" width="28.140625" bestFit="1" customWidth="1"/>
    <col min="2" max="2" width="13.14062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5"/>
  <cols>
    <col min="1" max="1" width="30.85546875" bestFit="1" customWidth="1"/>
    <col min="3" max="3" width="16.28515625" bestFit="1" customWidth="1"/>
    <col min="4" max="4" width="66.14062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5"/>
  <cols>
    <col min="1" max="1" width="33.140625" bestFit="1" customWidth="1"/>
    <col min="3" max="3" width="13.5703125" bestFit="1" customWidth="1"/>
    <col min="4" max="4" width="24.8554687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5"/>
  <cols>
    <col min="1" max="1" width="27.140625" bestFit="1" customWidth="1"/>
    <col min="5" max="5" width="21.42578125" bestFit="1" customWidth="1"/>
    <col min="6" max="6" width="16.4257812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5"/>
  <cols>
    <col min="1" max="1" width="20.85546875" bestFit="1" customWidth="1"/>
    <col min="2" max="2" width="12.7109375" bestFit="1" customWidth="1"/>
    <col min="5" max="5" width="10.140625" bestFit="1" customWidth="1"/>
    <col min="11" max="11" width="11.140625" bestFit="1" customWidth="1"/>
    <col min="12" max="12" width="10.14062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5"/>
  <cols>
    <col min="1" max="1" width="36" bestFit="1" customWidth="1"/>
    <col min="2" max="2" width="12" customWidth="1"/>
    <col min="4" max="4" width="20.85546875" bestFit="1" customWidth="1"/>
    <col min="5" max="5" width="12.8554687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5"/>
  <cols>
    <col min="1" max="1" width="34.5703125" bestFit="1" customWidth="1"/>
    <col min="2" max="2" width="12.710937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5"/>
  <cols>
    <col min="1" max="1" width="15.42578125" bestFit="1" customWidth="1"/>
    <col min="2" max="2" width="22.5703125" bestFit="1" customWidth="1"/>
    <col min="3" max="3" width="22.42578125" bestFit="1" customWidth="1"/>
    <col min="5" max="5" width="20.85546875" bestFit="1" customWidth="1"/>
    <col min="6" max="6" width="8.710937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5"/>
  <cols>
    <col min="1" max="1" width="34.5703125" bestFit="1" customWidth="1"/>
    <col min="2" max="2" width="12.710937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5"/>
  <cols>
    <col min="1" max="1" width="24.285156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5"/>
  <cols>
    <col min="1" max="1" width="8.140625" customWidth="1"/>
    <col min="2" max="2" width="5.42578125" customWidth="1"/>
    <col min="3" max="3" width="33.42578125" bestFit="1" customWidth="1"/>
    <col min="4" max="4" width="38.5703125" bestFit="1" customWidth="1"/>
    <col min="5" max="5" width="17.42578125" customWidth="1"/>
    <col min="6" max="6" width="34.8554687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5"/>
  <cols>
    <col min="3" max="3" width="23.5703125" bestFit="1" customWidth="1"/>
    <col min="4" max="4" width="27.42578125" bestFit="1" customWidth="1"/>
    <col min="6" max="6" width="25.42578125" bestFit="1" customWidth="1"/>
    <col min="7" max="7" width="27.42578125" bestFit="1" customWidth="1"/>
    <col min="9" max="9" width="26.5703125" bestFit="1" customWidth="1"/>
    <col min="10" max="10" width="36.42578125" bestFit="1" customWidth="1"/>
    <col min="12" max="12" width="5.85546875" bestFit="1" customWidth="1"/>
    <col min="13" max="13" width="9" bestFit="1" customWidth="1"/>
    <col min="14" max="14" width="11.5703125" bestFit="1" customWidth="1"/>
    <col min="16" max="16" width="11.42578125" bestFit="1" customWidth="1"/>
    <col min="17" max="17" width="35.85546875" bestFit="1" customWidth="1"/>
    <col min="18" max="18" width="11.5703125" bestFit="1" customWidth="1"/>
    <col min="19" max="19" width="11.85546875" bestFit="1" customWidth="1"/>
  </cols>
  <sheetData>
    <row r="1" spans="3:19">
      <c r="C1" s="374" t="s">
        <v>2503</v>
      </c>
      <c r="D1" s="374"/>
      <c r="F1" s="374" t="s">
        <v>2527</v>
      </c>
      <c r="G1" s="374"/>
      <c r="I1" s="374" t="s">
        <v>2621</v>
      </c>
      <c r="J1" s="374"/>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74" t="s">
        <v>305</v>
      </c>
      <c r="D18" s="374"/>
      <c r="F18" s="374" t="s">
        <v>2560</v>
      </c>
      <c r="G18" s="374"/>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74" t="s">
        <v>2571</v>
      </c>
      <c r="D26" s="374"/>
      <c r="F26" s="374" t="s">
        <v>2580</v>
      </c>
      <c r="G26" s="374"/>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74" t="s">
        <v>1699</v>
      </c>
      <c r="D33" s="374"/>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74" t="s">
        <v>2605</v>
      </c>
      <c r="D39" s="374"/>
      <c r="F39" s="374" t="s">
        <v>2610</v>
      </c>
      <c r="G39" s="374"/>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74" t="s">
        <v>2673</v>
      </c>
      <c r="D44" s="374"/>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74" t="s">
        <v>2702</v>
      </c>
      <c r="G47" s="374"/>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74" t="s">
        <v>2707</v>
      </c>
      <c r="G52" s="374"/>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5"/>
  <cols>
    <col min="1" max="1" width="7.5703125" bestFit="1" customWidth="1"/>
    <col min="2" max="2" width="9.7109375" bestFit="1" customWidth="1"/>
    <col min="3" max="3" width="7.42578125" bestFit="1" customWidth="1"/>
    <col min="4" max="4" width="17" bestFit="1" customWidth="1"/>
    <col min="5" max="5" width="62.710937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5"/>
  <cols>
    <col min="1" max="1" width="11" bestFit="1" customWidth="1"/>
    <col min="2" max="2" width="21.28515625" bestFit="1" customWidth="1"/>
    <col min="3" max="3" width="22.85546875" bestFit="1" customWidth="1"/>
    <col min="5" max="5" width="10.85546875" bestFit="1" customWidth="1"/>
    <col min="8" max="8" width="12.14062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5"/>
  <cols>
    <col min="1" max="1" width="5.140625" bestFit="1" customWidth="1"/>
    <col min="2" max="2" width="14.85546875" bestFit="1" customWidth="1"/>
    <col min="3" max="3" width="11.42578125" bestFit="1" customWidth="1"/>
    <col min="4" max="4" width="20.4257812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5"/>
  <cols>
    <col min="1" max="1" width="11.42578125" bestFit="1" customWidth="1"/>
    <col min="2" max="2" width="26.7109375" bestFit="1" customWidth="1"/>
    <col min="5" max="5" width="11.42578125" bestFit="1" customWidth="1"/>
    <col min="6" max="6" width="30.14062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5"/>
  <cols>
    <col min="1" max="1" width="14.5703125" bestFit="1" customWidth="1"/>
    <col min="2" max="2" width="9.710937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5"/>
  <cols>
    <col min="1" max="1" width="13.42578125" bestFit="1" customWidth="1"/>
    <col min="2" max="2" width="28.5703125" bestFit="1" customWidth="1"/>
    <col min="3" max="3" width="14.5703125" customWidth="1"/>
    <col min="4" max="4" width="28.14062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5"/>
  <cols>
    <col min="1" max="1" width="11.42578125" bestFit="1" customWidth="1"/>
    <col min="2" max="2" width="14.5703125" customWidth="1"/>
    <col min="3" max="3" width="33.570312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5"/>
  <cols>
    <col min="1" max="1" width="16.140625" bestFit="1" customWidth="1"/>
    <col min="2" max="2" width="22.28515625" bestFit="1" customWidth="1"/>
    <col min="3" max="3" width="25.14062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5"/>
  <cols>
    <col min="1" max="1" width="9.85546875" bestFit="1" customWidth="1"/>
    <col min="2" max="2" width="17.5703125" bestFit="1" customWidth="1"/>
    <col min="5" max="5" width="13.5703125" bestFit="1" customWidth="1"/>
    <col min="6" max="6" width="17.570312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5"/>
  <cols>
    <col min="1" max="1" width="11.28515625" bestFit="1" customWidth="1"/>
    <col min="2" max="2" width="8.42578125" bestFit="1" customWidth="1"/>
    <col min="3" max="3" width="21.4257812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5"/>
  <cols>
    <col min="1" max="1" width="8.85546875" bestFit="1" customWidth="1"/>
    <col min="2" max="2" width="14.42578125" bestFit="1" customWidth="1"/>
    <col min="3" max="3" width="37.140625" bestFit="1" customWidth="1"/>
  </cols>
  <sheetData>
    <row r="1" spans="1:3">
      <c r="A1" s="1" t="s">
        <v>2877</v>
      </c>
      <c r="B1" s="1" t="s">
        <v>2878</v>
      </c>
      <c r="C1" s="1" t="s">
        <v>2879</v>
      </c>
    </row>
    <row r="2" spans="1:3">
      <c r="A2" s="2" t="s">
        <v>131</v>
      </c>
      <c r="B2" s="2">
        <v>54</v>
      </c>
      <c r="C2" s="149" t="str">
        <f>REPT("tttt ",QUOTIENT(B2,5))&amp;REPT("I",MOD(B2,5))</f>
        <v>tttt tttt tttt tttt tttt tttt tttt tttt tttt tttt IIII</v>
      </c>
    </row>
    <row r="3" spans="1:3">
      <c r="A3" s="2" t="s">
        <v>132</v>
      </c>
      <c r="B3" s="2">
        <v>23</v>
      </c>
      <c r="C3" s="149" t="str">
        <f>REPT("tttt ",QUOTIENT(B3,5))&amp;REPT("I",MOD(B3,5))</f>
        <v>tttt tttt tttt tttt III</v>
      </c>
    </row>
    <row r="4" spans="1:3">
      <c r="A4" s="2" t="s">
        <v>133</v>
      </c>
      <c r="B4" s="2">
        <v>18</v>
      </c>
      <c r="C4" s="149" t="str">
        <f>REPT("tttt ",QUOTIENT(B4,5))&amp;REPT("I",MOD(B4,5))</f>
        <v>tttt tttt tttt III</v>
      </c>
    </row>
    <row r="5" spans="1:3">
      <c r="A5" s="2" t="s">
        <v>134</v>
      </c>
      <c r="B5" s="2">
        <v>20</v>
      </c>
      <c r="C5" s="149" t="str">
        <f>REPT("tttt ",QUOTIENT(B5,5))&amp;REPT("I",MOD(B5,5))</f>
        <v xml:space="preserve">tttt tttt tttt tttt </v>
      </c>
    </row>
    <row r="6" spans="1:3">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5"/>
  <cols>
    <col min="1" max="1" width="24.5703125" bestFit="1" customWidth="1"/>
    <col min="2" max="2" width="10.42578125" customWidth="1"/>
  </cols>
  <sheetData>
    <row r="1" spans="1:9">
      <c r="A1" s="379" t="s">
        <v>2888</v>
      </c>
      <c r="B1" s="375"/>
    </row>
    <row r="3" spans="1:9">
      <c r="A3" s="374" t="s">
        <v>1421</v>
      </c>
      <c r="B3" s="374"/>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5"/>
  <cols>
    <col min="3" max="3" width="24.5703125" bestFit="1" customWidth="1"/>
    <col min="4" max="4" width="5.5703125" bestFit="1" customWidth="1"/>
    <col min="5" max="5" width="1.5703125" customWidth="1"/>
    <col min="6" max="6" width="18.85546875" bestFit="1" customWidth="1"/>
    <col min="7" max="7" width="5.5703125" bestFit="1" customWidth="1"/>
  </cols>
  <sheetData>
    <row r="2" spans="3:7">
      <c r="C2" s="374" t="s">
        <v>2885</v>
      </c>
      <c r="D2" s="374"/>
      <c r="F2" s="374" t="s">
        <v>2890</v>
      </c>
      <c r="G2" s="374"/>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5"/>
  <cols>
    <col min="1" max="1" width="35" bestFit="1" customWidth="1"/>
    <col min="2" max="2" width="20.5703125" customWidth="1"/>
    <col min="3" max="3" width="10.42578125" bestFit="1" customWidth="1"/>
  </cols>
  <sheetData>
    <row r="1" spans="1:15">
      <c r="A1" s="374" t="s">
        <v>2888</v>
      </c>
      <c r="B1" s="374"/>
      <c r="C1" s="374"/>
    </row>
    <row r="3" spans="1:15">
      <c r="A3" s="374" t="s">
        <v>1421</v>
      </c>
      <c r="B3" s="374"/>
      <c r="C3" s="374"/>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5"/>
  <cols>
    <col min="1" max="1" width="37.7109375" bestFit="1" customWidth="1"/>
    <col min="2" max="2" width="15.85546875" bestFit="1" customWidth="1"/>
    <col min="3" max="3" width="12.8554687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5"/>
  <cols>
    <col min="1" max="1" width="37.7109375" bestFit="1" customWidth="1"/>
    <col min="2" max="2" width="15.85546875" bestFit="1" customWidth="1"/>
    <col min="3" max="3" width="10.4257812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5"/>
  <cols>
    <col min="1" max="1" width="39.140625" bestFit="1" customWidth="1"/>
    <col min="2" max="2" width="15.85546875" bestFit="1" customWidth="1"/>
    <col min="3" max="3" width="10.4257812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5"/>
  <cols>
    <col min="1" max="1" width="35" bestFit="1" customWidth="1"/>
    <col min="2" max="2" width="10.42578125" bestFit="1" customWidth="1"/>
  </cols>
  <sheetData>
    <row r="1" spans="1:2">
      <c r="A1" s="374" t="s">
        <v>1421</v>
      </c>
      <c r="B1" s="374"/>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5"/>
  <cols>
    <col min="2" max="2" width="13.14062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5"/>
  <cols>
    <col min="1" max="2" width="13.285156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05" t="s">
        <v>2918</v>
      </c>
      <c r="B9" s="373"/>
    </row>
    <row r="10" spans="1:2">
      <c r="A10" s="1" t="s">
        <v>32</v>
      </c>
      <c r="B10" s="1" t="s">
        <v>2917</v>
      </c>
    </row>
    <row r="11" spans="1:2">
      <c r="A11" s="2">
        <v>7</v>
      </c>
      <c r="B11" s="7">
        <f>GROWTH(B2:B7,A2:A7,A11)</f>
        <v>3215.8036673485144</v>
      </c>
    </row>
    <row r="13" spans="1:2" ht="75">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5"/>
  <cols>
    <col min="2" max="2" width="21.4257812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5"/>
  <cols>
    <col min="1" max="1" width="14.285156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5"/>
  <cols>
    <col min="1" max="1" width="37.85546875" customWidth="1"/>
    <col min="2" max="2" width="21.140625" customWidth="1"/>
    <col min="4" max="4" width="33.42578125" customWidth="1"/>
    <col min="5" max="5" width="41.85546875" customWidth="1"/>
  </cols>
  <sheetData>
    <row r="1" spans="1:5">
      <c r="A1" s="376" t="s">
        <v>1421</v>
      </c>
      <c r="B1" s="378"/>
    </row>
    <row r="2" spans="1:5">
      <c r="A2" s="2" t="s">
        <v>2924</v>
      </c>
      <c r="B2" s="7" t="s">
        <v>2923</v>
      </c>
    </row>
    <row r="3" spans="1:5">
      <c r="A3" s="2" t="s">
        <v>1184</v>
      </c>
      <c r="B3" s="7">
        <v>10</v>
      </c>
    </row>
    <row r="4" spans="1:5">
      <c r="A4" s="2" t="s">
        <v>654</v>
      </c>
      <c r="B4" s="7">
        <v>2</v>
      </c>
    </row>
    <row r="5" spans="1:5">
      <c r="A5" s="14"/>
      <c r="B5" s="6"/>
    </row>
    <row r="6" spans="1:5">
      <c r="A6" s="376" t="s">
        <v>2925</v>
      </c>
      <c r="B6" s="378"/>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74" t="s">
        <v>2926</v>
      </c>
      <c r="B14" s="374"/>
      <c r="D14" s="374" t="s">
        <v>2927</v>
      </c>
      <c r="E14" s="374"/>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5"/>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5"/>
  <cols>
    <col min="2" max="2" width="17.5703125" bestFit="1" customWidth="1"/>
    <col min="5" max="5" width="46.42578125" bestFit="1" customWidth="1"/>
    <col min="6" max="6" width="17" bestFit="1" customWidth="1"/>
  </cols>
  <sheetData>
    <row r="1" spans="1:6">
      <c r="A1" s="1" t="s">
        <v>354</v>
      </c>
      <c r="B1" s="1" t="s">
        <v>2933</v>
      </c>
      <c r="E1" s="405" t="s">
        <v>721</v>
      </c>
      <c r="F1" s="373"/>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5"/>
  <cols>
    <col min="1" max="1" width="49.28515625" bestFit="1" customWidth="1"/>
    <col min="2" max="2" width="12.42578125" customWidth="1"/>
    <col min="3" max="3" width="27.4257812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05" t="s">
        <v>721</v>
      </c>
      <c r="B13" s="373"/>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5"/>
  <cols>
    <col min="1" max="1" width="18.42578125" bestFit="1" customWidth="1"/>
    <col min="2" max="2" width="15.5703125" bestFit="1" customWidth="1"/>
    <col min="4" max="4" width="44.7109375" bestFit="1" customWidth="1"/>
    <col min="5" max="5" width="7.28515625" bestFit="1" customWidth="1"/>
  </cols>
  <sheetData>
    <row r="1" spans="1:5">
      <c r="A1" s="1" t="s">
        <v>2946</v>
      </c>
      <c r="B1" s="1" t="s">
        <v>2945</v>
      </c>
      <c r="D1" s="405" t="s">
        <v>721</v>
      </c>
      <c r="E1" s="373"/>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5"/>
  <cols>
    <col min="1" max="1" width="49" bestFit="1" customWidth="1"/>
    <col min="2" max="2" width="10.42578125" bestFit="1" customWidth="1"/>
    <col min="3" max="3" width="19.8554687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05" t="s">
        <v>721</v>
      </c>
      <c r="B13" s="373"/>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5"/>
  <cols>
    <col min="1" max="1" width="17" bestFit="1" customWidth="1"/>
    <col min="2" max="2" width="5.140625" bestFit="1" customWidth="1"/>
    <col min="3" max="3" width="14.140625" bestFit="1" customWidth="1"/>
    <col min="6" max="6" width="43.42578125" bestFit="1" customWidth="1"/>
    <col min="7" max="7" width="8.5703125" customWidth="1"/>
  </cols>
  <sheetData>
    <row r="1" spans="1:7">
      <c r="A1" s="1" t="s">
        <v>2987</v>
      </c>
      <c r="B1" s="1" t="s">
        <v>352</v>
      </c>
      <c r="C1" s="1" t="s">
        <v>2962</v>
      </c>
      <c r="F1" s="405" t="s">
        <v>721</v>
      </c>
      <c r="G1" s="373"/>
    </row>
    <row r="2" spans="1:7">
      <c r="A2" s="3" t="s">
        <v>2963</v>
      </c>
      <c r="B2" s="2" t="s">
        <v>2978</v>
      </c>
      <c r="C2" s="2">
        <v>69</v>
      </c>
      <c r="F2" s="1" t="s">
        <v>2283</v>
      </c>
      <c r="G2" s="1" t="s">
        <v>1727</v>
      </c>
    </row>
    <row r="3" spans="1:7">
      <c r="A3" s="3" t="s">
        <v>2964</v>
      </c>
      <c r="B3" s="2" t="s">
        <v>2981</v>
      </c>
      <c r="C3" s="2">
        <v>77</v>
      </c>
      <c r="F3" s="406" t="s">
        <v>352</v>
      </c>
      <c r="G3" s="2" t="s">
        <v>2981</v>
      </c>
    </row>
    <row r="4" spans="1:7">
      <c r="A4" s="3" t="s">
        <v>2965</v>
      </c>
      <c r="B4" s="2" t="s">
        <v>2344</v>
      </c>
      <c r="C4" s="2">
        <v>60</v>
      </c>
      <c r="F4" s="406"/>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5"/>
  <cols>
    <col min="1" max="1" width="7.140625" bestFit="1" customWidth="1"/>
    <col min="2" max="2" width="12.5703125" bestFit="1" customWidth="1"/>
    <col min="3" max="3" width="15.140625" bestFit="1" customWidth="1"/>
    <col min="6" max="6" width="49" bestFit="1" customWidth="1"/>
    <col min="7" max="7" width="9.42578125" bestFit="1" customWidth="1"/>
  </cols>
  <sheetData>
    <row r="1" spans="1:7">
      <c r="A1" s="1" t="s">
        <v>130</v>
      </c>
      <c r="B1" s="1" t="s">
        <v>2988</v>
      </c>
      <c r="C1" s="1" t="s">
        <v>2989</v>
      </c>
      <c r="F1" s="405" t="s">
        <v>721</v>
      </c>
      <c r="G1" s="373"/>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1798</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5"/>
  <cols>
    <col min="1" max="1" width="18.5703125" bestFit="1" customWidth="1"/>
    <col min="2" max="2" width="3.85546875" bestFit="1" customWidth="1"/>
    <col min="3" max="3" width="15.140625" bestFit="1" customWidth="1"/>
    <col min="6" max="6" width="44.28515625" bestFit="1" customWidth="1"/>
    <col min="7" max="7" width="9.42578125" bestFit="1" customWidth="1"/>
  </cols>
  <sheetData>
    <row r="1" spans="1:7">
      <c r="A1" s="1" t="s">
        <v>832</v>
      </c>
      <c r="B1" s="1" t="s">
        <v>899</v>
      </c>
      <c r="C1" s="1" t="s">
        <v>2993</v>
      </c>
      <c r="F1" s="405" t="s">
        <v>721</v>
      </c>
      <c r="G1" s="373"/>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5"/>
  <cols>
    <col min="1" max="1" width="29.5703125" bestFit="1" customWidth="1"/>
    <col min="2" max="2" width="9.85546875" customWidth="1"/>
  </cols>
  <sheetData>
    <row r="1" spans="1:4">
      <c r="A1" s="374" t="s">
        <v>3007</v>
      </c>
      <c r="B1" s="374"/>
    </row>
    <row r="3" spans="1:4">
      <c r="A3" s="374" t="s">
        <v>1421</v>
      </c>
      <c r="B3" s="374"/>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5"/>
  <cols>
    <col min="2" max="2" width="19.42578125" bestFit="1" customWidth="1"/>
    <col min="3" max="3" width="21.14062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5"/>
  <cols>
    <col min="1" max="1" width="34.140625" bestFit="1" customWidth="1"/>
    <col min="2" max="2" width="15.42578125" bestFit="1" customWidth="1"/>
    <col min="3" max="3" width="10.85546875" bestFit="1" customWidth="1"/>
  </cols>
  <sheetData>
    <row r="1" spans="1:3">
      <c r="A1" s="374" t="s">
        <v>3015</v>
      </c>
      <c r="B1" s="374"/>
      <c r="C1" s="374"/>
    </row>
    <row r="3" spans="1:3">
      <c r="A3" s="374" t="s">
        <v>1421</v>
      </c>
      <c r="B3" s="374"/>
      <c r="C3" s="374"/>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5"/>
  <cols>
    <col min="1" max="1" width="34.140625" bestFit="1" customWidth="1"/>
    <col min="2" max="2" width="15.42578125" bestFit="1" customWidth="1"/>
    <col min="3" max="3" width="10.85546875" bestFit="1" customWidth="1"/>
  </cols>
  <sheetData>
    <row r="1" spans="1:3">
      <c r="A1" s="374" t="s">
        <v>3007</v>
      </c>
      <c r="B1" s="374"/>
      <c r="C1" s="374"/>
    </row>
    <row r="3" spans="1:3">
      <c r="A3" s="374" t="s">
        <v>1421</v>
      </c>
      <c r="B3" s="374"/>
      <c r="C3" s="374"/>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5"/>
  <cols>
    <col min="3" max="3" width="32.85546875" bestFit="1" customWidth="1"/>
    <col min="4" max="4" width="16.28515625" customWidth="1"/>
    <col min="5" max="5" width="10.5703125" customWidth="1"/>
    <col min="7" max="7" width="29.85546875" bestFit="1" customWidth="1"/>
    <col min="8" max="8" width="21.140625" bestFit="1" customWidth="1"/>
  </cols>
  <sheetData>
    <row r="1" spans="3:9" ht="15.75" thickBot="1"/>
    <row r="2" spans="3:9" ht="15.75" thickBot="1">
      <c r="C2" s="412" t="s">
        <v>3023</v>
      </c>
      <c r="D2" s="413"/>
      <c r="E2" s="413"/>
      <c r="F2" s="413"/>
      <c r="G2" s="413"/>
      <c r="H2" s="413"/>
      <c r="I2" s="414"/>
    </row>
    <row r="3" spans="3:9" ht="15.75" thickBot="1">
      <c r="C3" s="155"/>
      <c r="G3" s="409" t="s">
        <v>757</v>
      </c>
      <c r="H3" s="410"/>
      <c r="I3" s="411"/>
    </row>
    <row r="4" spans="3:9" ht="15.7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5.75" thickBot="1">
      <c r="C6" s="157" t="s">
        <v>3024</v>
      </c>
      <c r="D6" s="2" t="s">
        <v>3019</v>
      </c>
      <c r="E6" s="158">
        <v>-2000</v>
      </c>
      <c r="G6" s="166" t="s">
        <v>3028</v>
      </c>
      <c r="H6" s="168">
        <v>1</v>
      </c>
      <c r="I6" s="156"/>
    </row>
    <row r="7" spans="3:9" ht="15.75" thickBot="1">
      <c r="C7" s="157" t="s">
        <v>3025</v>
      </c>
      <c r="D7" s="2" t="s">
        <v>1264</v>
      </c>
      <c r="E7" s="158">
        <v>-15000</v>
      </c>
      <c r="G7" s="155"/>
      <c r="I7" s="156"/>
    </row>
    <row r="8" spans="3:9" ht="15.7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5.75" thickBot="1">
      <c r="C11" s="155"/>
      <c r="E11" s="156"/>
      <c r="G11" s="166" t="s">
        <v>3014</v>
      </c>
      <c r="H11" s="171" t="s">
        <v>1290</v>
      </c>
      <c r="I11" s="168">
        <v>2</v>
      </c>
    </row>
    <row r="12" spans="3:9" ht="15.75" thickBot="1">
      <c r="C12" s="160" t="str">
        <f>"Number Of Periods ("&amp;IF(E10=12,"months",(IF(E10=4,"quarters","semi-annuals")))&amp;")"</f>
        <v>Number Of Periods (semi-annuals)</v>
      </c>
      <c r="D12" s="407">
        <f>NPER(E5/E10,E6,E7,E8,E9)</f>
        <v>14.560279771016853</v>
      </c>
      <c r="E12" s="408"/>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5"/>
  <cols>
    <col min="1" max="1" width="24" bestFit="1" customWidth="1"/>
    <col min="2" max="2" width="11.85546875" bestFit="1" customWidth="1"/>
  </cols>
  <sheetData>
    <row r="1" spans="1:2">
      <c r="A1" s="374" t="s">
        <v>3007</v>
      </c>
      <c r="B1" s="374"/>
    </row>
    <row r="3" spans="1:2">
      <c r="A3" s="374" t="s">
        <v>1421</v>
      </c>
      <c r="B3" s="374"/>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5"/>
  <cols>
    <col min="1" max="1" width="26.85546875" bestFit="1" customWidth="1"/>
    <col min="2" max="2" width="11.85546875" bestFit="1" customWidth="1"/>
  </cols>
  <sheetData>
    <row r="1" spans="1:2">
      <c r="A1" s="374" t="s">
        <v>3007</v>
      </c>
      <c r="B1" s="374"/>
    </row>
    <row r="3" spans="1:2">
      <c r="A3" s="374" t="s">
        <v>1421</v>
      </c>
      <c r="B3" s="374"/>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5"/>
  <cols>
    <col min="1" max="1" width="8.7109375" customWidth="1"/>
  </cols>
  <sheetData>
    <row r="1" spans="1:5">
      <c r="A1" s="374" t="s">
        <v>3031</v>
      </c>
      <c r="B1" s="374"/>
      <c r="C1" s="374"/>
      <c r="D1" s="374"/>
      <c r="E1" s="374"/>
    </row>
    <row r="3" spans="1:5">
      <c r="A3" s="374" t="s">
        <v>3032</v>
      </c>
      <c r="B3" s="374"/>
      <c r="D3" s="374" t="s">
        <v>3033</v>
      </c>
      <c r="E3" s="374"/>
    </row>
    <row r="5" spans="1:5">
      <c r="A5" s="2">
        <v>2</v>
      </c>
      <c r="B5" s="2">
        <v>4</v>
      </c>
      <c r="D5" s="2">
        <v>3</v>
      </c>
      <c r="E5" s="2">
        <v>6</v>
      </c>
    </row>
    <row r="6" spans="1:5">
      <c r="A6" s="2">
        <v>6</v>
      </c>
      <c r="B6" s="2">
        <v>8</v>
      </c>
      <c r="D6" s="2">
        <v>9</v>
      </c>
      <c r="E6" s="2">
        <v>12</v>
      </c>
    </row>
    <row r="9" spans="1:5">
      <c r="A9" s="374" t="s">
        <v>3034</v>
      </c>
      <c r="B9" s="374"/>
      <c r="C9" s="374"/>
      <c r="D9" s="374"/>
      <c r="E9" s="374"/>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5"/>
  <sheetData>
    <row r="1" spans="2:10" ht="15.75" thickBot="1"/>
    <row r="2" spans="2:10">
      <c r="B2" s="418" t="s">
        <v>3035</v>
      </c>
      <c r="C2" s="419"/>
      <c r="D2" s="419"/>
      <c r="E2" s="419"/>
      <c r="F2" s="419"/>
      <c r="G2" s="419"/>
      <c r="H2" s="420"/>
    </row>
    <row r="3" spans="2:10" ht="15.75" thickBot="1">
      <c r="B3" s="155"/>
      <c r="H3" s="156"/>
    </row>
    <row r="4" spans="2:10" ht="15.75" thickBot="1">
      <c r="B4" s="421" t="s">
        <v>1421</v>
      </c>
      <c r="C4" s="422"/>
      <c r="D4" s="422"/>
      <c r="E4" s="416"/>
      <c r="F4" s="422"/>
      <c r="G4" s="422"/>
      <c r="H4" s="423"/>
    </row>
    <row r="5" spans="2:10">
      <c r="B5" s="415" t="s">
        <v>3032</v>
      </c>
      <c r="C5" s="416"/>
      <c r="D5" s="417"/>
      <c r="F5" s="415" t="s">
        <v>3033</v>
      </c>
      <c r="G5" s="416"/>
      <c r="H5" s="417"/>
    </row>
    <row r="6" spans="2:10">
      <c r="B6" s="157">
        <v>1</v>
      </c>
      <c r="C6" s="2">
        <v>2</v>
      </c>
      <c r="D6" s="159">
        <v>3</v>
      </c>
      <c r="F6" s="157">
        <v>10</v>
      </c>
      <c r="G6" s="2">
        <v>100</v>
      </c>
      <c r="H6" s="159">
        <v>1000</v>
      </c>
    </row>
    <row r="7" spans="2:10">
      <c r="B7" s="157">
        <v>4</v>
      </c>
      <c r="C7" s="2">
        <v>5</v>
      </c>
      <c r="D7" s="159">
        <v>6</v>
      </c>
      <c r="F7" s="157">
        <v>100</v>
      </c>
      <c r="G7" s="2">
        <v>1000</v>
      </c>
      <c r="H7" s="159">
        <v>10</v>
      </c>
    </row>
    <row r="8" spans="2:10" ht="15.75" thickBot="1">
      <c r="B8" s="174">
        <v>7</v>
      </c>
      <c r="C8" s="171">
        <v>8</v>
      </c>
      <c r="D8" s="168">
        <v>9</v>
      </c>
      <c r="E8" s="169"/>
      <c r="F8" s="174">
        <v>1000</v>
      </c>
      <c r="G8" s="171">
        <v>10</v>
      </c>
      <c r="H8" s="168">
        <v>100</v>
      </c>
    </row>
    <row r="9" spans="2:10" ht="15.75" thickBot="1">
      <c r="B9" s="155"/>
      <c r="H9" s="156"/>
    </row>
    <row r="10" spans="2:10" ht="27.95" customHeight="1">
      <c r="B10" s="424" t="s">
        <v>3036</v>
      </c>
      <c r="C10" s="425"/>
      <c r="D10" s="426"/>
      <c r="H10" s="156"/>
    </row>
    <row r="11" spans="2:10">
      <c r="B11" s="175">
        <f t="array" ref="B11:D13">MMULT(B6:D8,F6:H8)</f>
        <v>3210</v>
      </c>
      <c r="C11" s="7">
        <v>2130</v>
      </c>
      <c r="D11" s="178">
        <v>1320</v>
      </c>
      <c r="H11" s="156"/>
      <c r="J11" s="121"/>
    </row>
    <row r="12" spans="2:10">
      <c r="B12" s="175">
        <v>6540</v>
      </c>
      <c r="C12" s="7">
        <v>5460</v>
      </c>
      <c r="D12" s="178">
        <v>4650</v>
      </c>
      <c r="H12" s="156"/>
    </row>
    <row r="13" spans="2:10" ht="15.7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5"/>
  <cols>
    <col min="4" max="4" width="8.7109375" customWidth="1"/>
  </cols>
  <sheetData>
    <row r="1" spans="3:7" ht="15.75" thickBot="1"/>
    <row r="2" spans="3:7" ht="15.75" thickBot="1">
      <c r="C2" s="421" t="s">
        <v>1421</v>
      </c>
      <c r="D2" s="422"/>
      <c r="E2" s="416"/>
      <c r="F2" s="422"/>
      <c r="G2" s="423"/>
    </row>
    <row r="3" spans="3:7">
      <c r="C3" s="415" t="s">
        <v>3037</v>
      </c>
      <c r="D3" s="417"/>
      <c r="F3" s="415" t="s">
        <v>3038</v>
      </c>
      <c r="G3" s="417"/>
    </row>
    <row r="4" spans="3:7">
      <c r="C4" s="157">
        <v>4</v>
      </c>
      <c r="D4" s="159">
        <v>8</v>
      </c>
      <c r="F4" s="157">
        <v>11</v>
      </c>
      <c r="G4" s="159">
        <v>22</v>
      </c>
    </row>
    <row r="5" spans="3:7" ht="15.75" thickBot="1">
      <c r="C5" s="174">
        <v>5</v>
      </c>
      <c r="D5" s="168">
        <v>10</v>
      </c>
      <c r="E5" s="169"/>
      <c r="F5" s="174">
        <v>12</v>
      </c>
      <c r="G5" s="168">
        <v>24</v>
      </c>
    </row>
    <row r="6" spans="3:7" ht="15.75" thickBot="1"/>
    <row r="7" spans="3:7">
      <c r="C7" s="415" t="s">
        <v>3041</v>
      </c>
      <c r="D7" s="416"/>
      <c r="E7" s="416"/>
      <c r="F7" s="416"/>
      <c r="G7" s="417"/>
    </row>
    <row r="8" spans="3:7" ht="45.6" customHeight="1">
      <c r="C8" s="427" t="s">
        <v>3040</v>
      </c>
      <c r="D8" s="428"/>
      <c r="F8" s="427" t="s">
        <v>3035</v>
      </c>
      <c r="G8" s="428"/>
    </row>
    <row r="9" spans="3:7" ht="15.75" thickBot="1">
      <c r="C9" s="155"/>
      <c r="D9" s="156"/>
      <c r="F9" s="155"/>
      <c r="G9" s="156"/>
    </row>
    <row r="10" spans="3:7">
      <c r="C10" s="415" t="s">
        <v>3039</v>
      </c>
      <c r="D10" s="417"/>
      <c r="F10" s="415" t="s">
        <v>3039</v>
      </c>
      <c r="G10" s="417"/>
    </row>
    <row r="11" spans="3:7">
      <c r="C11" s="175">
        <f>C4*F4+D4*F5</f>
        <v>140</v>
      </c>
      <c r="D11" s="178">
        <f>C4*G4+D4*G5</f>
        <v>280</v>
      </c>
      <c r="F11" s="175">
        <f t="array" ref="F11:G12">MMULT(C4:D5,F4:G5)</f>
        <v>140</v>
      </c>
      <c r="G11" s="178">
        <v>280</v>
      </c>
    </row>
    <row r="12" spans="3:7" ht="15.7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5"/>
  <cols>
    <col min="1" max="1" width="11.140625" bestFit="1" customWidth="1"/>
    <col min="2" max="2" width="20.140625" bestFit="1" customWidth="1"/>
    <col min="3" max="3" width="18.42578125" bestFit="1" customWidth="1"/>
    <col min="4" max="4" width="18.28515625" bestFit="1" customWidth="1"/>
    <col min="6" max="6" width="11.140625" bestFit="1" customWidth="1"/>
    <col min="7" max="7" width="15.28515625" bestFit="1" customWidth="1"/>
    <col min="8" max="8" width="8.42578125" bestFit="1" customWidth="1"/>
  </cols>
  <sheetData>
    <row r="1" spans="1:8">
      <c r="A1" s="418" t="s">
        <v>1421</v>
      </c>
      <c r="B1" s="419"/>
      <c r="C1" s="419"/>
      <c r="D1" s="419"/>
      <c r="E1" s="419"/>
      <c r="F1" s="419"/>
      <c r="G1" s="419"/>
      <c r="H1" s="420"/>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5.75" thickBot="1">
      <c r="A5" s="182"/>
      <c r="B5" s="169"/>
      <c r="C5" s="169"/>
      <c r="D5" s="169"/>
      <c r="E5" s="169"/>
      <c r="F5" s="171" t="s">
        <v>3051</v>
      </c>
      <c r="G5" s="171">
        <v>15</v>
      </c>
      <c r="H5" s="168">
        <v>5</v>
      </c>
    </row>
    <row r="6" spans="1:8" ht="15.75" thickBot="1"/>
    <row r="7" spans="1:8">
      <c r="A7" s="415" t="s">
        <v>3052</v>
      </c>
      <c r="B7" s="416"/>
      <c r="C7" s="417"/>
    </row>
    <row r="8" spans="1:8">
      <c r="A8" s="180" t="s">
        <v>32</v>
      </c>
      <c r="B8" s="1" t="s">
        <v>3044</v>
      </c>
      <c r="C8" s="181" t="s">
        <v>3042</v>
      </c>
    </row>
    <row r="9" spans="1:8">
      <c r="A9" s="157" t="s">
        <v>307</v>
      </c>
      <c r="B9" s="7">
        <f t="array" ref="B9:C10">MMULT(B3:D4,G3:H5)</f>
        <v>1580</v>
      </c>
      <c r="C9" s="178">
        <v>745</v>
      </c>
    </row>
    <row r="10" spans="1:8" ht="15.7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5"/>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74" t="s">
        <v>3056</v>
      </c>
      <c r="B13" s="374"/>
      <c r="C13" s="374"/>
      <c r="D13" s="374"/>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5"/>
  <sheetData>
    <row r="1" spans="2:6" ht="15.75" thickBot="1"/>
    <row r="2" spans="2:6" ht="15.75" thickBot="1">
      <c r="B2" s="412" t="s">
        <v>3059</v>
      </c>
      <c r="C2" s="413"/>
      <c r="D2" s="413"/>
      <c r="E2" s="413"/>
      <c r="F2" s="414"/>
    </row>
    <row r="3" spans="2:6" ht="15.75" thickBot="1">
      <c r="B3" s="155"/>
      <c r="F3" s="156"/>
    </row>
    <row r="4" spans="2:6">
      <c r="B4" s="415" t="s">
        <v>1421</v>
      </c>
      <c r="C4" s="416"/>
      <c r="D4" s="416"/>
      <c r="E4" s="416"/>
      <c r="F4" s="417"/>
    </row>
    <row r="5" spans="2:6">
      <c r="B5" s="183" t="s">
        <v>3032</v>
      </c>
      <c r="D5" s="429" t="s">
        <v>3033</v>
      </c>
      <c r="E5" s="429"/>
      <c r="F5" s="430"/>
    </row>
    <row r="6" spans="2:6">
      <c r="B6" s="157">
        <v>1</v>
      </c>
      <c r="D6" s="2">
        <v>1</v>
      </c>
      <c r="E6" s="2">
        <v>2</v>
      </c>
      <c r="F6" s="159">
        <v>3</v>
      </c>
    </row>
    <row r="7" spans="2:6">
      <c r="B7" s="157">
        <v>2</v>
      </c>
      <c r="F7" s="156"/>
    </row>
    <row r="8" spans="2:6" ht="15.75" thickBot="1">
      <c r="B8" s="174">
        <v>3</v>
      </c>
      <c r="C8" s="169"/>
      <c r="D8" s="169"/>
      <c r="E8" s="169"/>
      <c r="F8" s="170"/>
    </row>
    <row r="9" spans="2:6" ht="15.75" thickBot="1">
      <c r="B9" s="184"/>
      <c r="F9" s="156"/>
    </row>
    <row r="10" spans="2:6">
      <c r="B10" s="415" t="s">
        <v>1738</v>
      </c>
      <c r="C10" s="416"/>
      <c r="D10" s="416"/>
      <c r="E10" s="416"/>
      <c r="F10" s="417"/>
    </row>
    <row r="11" spans="2:6" ht="29.1" customHeight="1">
      <c r="B11" s="431" t="s">
        <v>3058</v>
      </c>
      <c r="C11" s="432"/>
      <c r="D11" s="433"/>
      <c r="F11" s="156"/>
    </row>
    <row r="12" spans="2:6">
      <c r="B12" s="175">
        <f t="array" ref="B12:D14">MMULT(B6:B8,D6:F6)</f>
        <v>1</v>
      </c>
      <c r="C12" s="7">
        <v>2</v>
      </c>
      <c r="D12" s="178">
        <v>3</v>
      </c>
      <c r="F12" s="156"/>
    </row>
    <row r="13" spans="2:6">
      <c r="B13" s="175">
        <v>2</v>
      </c>
      <c r="C13" s="7">
        <v>4</v>
      </c>
      <c r="D13" s="178">
        <v>6</v>
      </c>
      <c r="F13" s="156"/>
    </row>
    <row r="14" spans="2:6" ht="15.7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5"/>
  <cols>
    <col min="1" max="1" width="42" bestFit="1" customWidth="1"/>
    <col min="2" max="2" width="10.42578125" bestFit="1" customWidth="1"/>
  </cols>
  <sheetData>
    <row r="1" spans="1:2">
      <c r="A1" s="379" t="s">
        <v>3060</v>
      </c>
      <c r="B1" s="375"/>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5"/>
  <cols>
    <col min="4" max="4" width="24.5703125" bestFit="1" customWidth="1"/>
    <col min="5" max="5" width="5.5703125" bestFit="1" customWidth="1"/>
    <col min="6" max="6" width="0.7109375" customWidth="1"/>
    <col min="7" max="7" width="18.85546875" bestFit="1" customWidth="1"/>
    <col min="8" max="8" width="5.5703125" bestFit="1" customWidth="1"/>
  </cols>
  <sheetData>
    <row r="2" spans="4:8">
      <c r="D2" s="374" t="s">
        <v>2885</v>
      </c>
      <c r="E2" s="374"/>
      <c r="G2" s="374" t="s">
        <v>2890</v>
      </c>
      <c r="H2" s="374"/>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5"/>
  <cols>
    <col min="2" max="2" width="45.140625" bestFit="1" customWidth="1"/>
    <col min="3" max="3" width="15.5703125" bestFit="1" customWidth="1"/>
    <col min="4" max="4" width="10.42578125" bestFit="1" customWidth="1"/>
  </cols>
  <sheetData>
    <row r="1" spans="2:4">
      <c r="B1" s="374" t="s">
        <v>3067</v>
      </c>
      <c r="C1" s="374"/>
      <c r="D1" s="374"/>
    </row>
    <row r="3" spans="2:4">
      <c r="B3" s="374" t="s">
        <v>1421</v>
      </c>
      <c r="C3" s="374"/>
      <c r="D3" s="374"/>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5"/>
  <cols>
    <col min="1" max="1" width="45.140625" bestFit="1" customWidth="1"/>
    <col min="2" max="2" width="15.5703125" bestFit="1" customWidth="1"/>
    <col min="3" max="3" width="9.42578125" bestFit="1" customWidth="1"/>
  </cols>
  <sheetData>
    <row r="1" spans="1:3">
      <c r="A1" s="374" t="s">
        <v>3071</v>
      </c>
      <c r="B1" s="374"/>
      <c r="C1" s="374"/>
    </row>
    <row r="3" spans="1:3">
      <c r="A3" s="374" t="s">
        <v>1421</v>
      </c>
      <c r="B3" s="374"/>
      <c r="C3" s="374"/>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5"/>
  <cols>
    <col min="1" max="1" width="45.140625" bestFit="1" customWidth="1"/>
    <col min="2" max="2" width="15.5703125" bestFit="1" customWidth="1"/>
    <col min="3" max="3" width="10.42578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5"/>
  <cols>
    <col min="1" max="1" width="45.140625" bestFit="1" customWidth="1"/>
    <col min="2" max="2" width="15.5703125" bestFit="1" customWidth="1"/>
    <col min="3" max="3" width="10.42578125"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5"/>
  <cols>
    <col min="1" max="1" width="45.140625" bestFit="1" customWidth="1"/>
    <col min="2" max="2" width="15.5703125" bestFit="1" customWidth="1"/>
    <col min="3" max="3" width="10.42578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5"/>
  <cols>
    <col min="1" max="1" width="6.42578125" bestFit="1" customWidth="1"/>
    <col min="2" max="2" width="13.140625" bestFit="1" customWidth="1"/>
    <col min="3" max="3" width="9.7109375" bestFit="1" customWidth="1"/>
    <col min="4" max="4" width="9.42578125" bestFit="1" customWidth="1"/>
    <col min="5" max="5" width="11.85546875" bestFit="1" customWidth="1"/>
    <col min="8" max="8" width="16.85546875" bestFit="1" customWidth="1"/>
  </cols>
  <sheetData>
    <row r="1" spans="1:8">
      <c r="A1" s="374" t="s">
        <v>3080</v>
      </c>
      <c r="B1" s="374"/>
      <c r="C1" s="374"/>
      <c r="D1" s="374"/>
      <c r="E1" s="374"/>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5"/>
  <cols>
    <col min="1" max="1" width="6.42578125" bestFit="1" customWidth="1"/>
    <col min="2" max="2" width="13.140625" bestFit="1" customWidth="1"/>
    <col min="3" max="3" width="9.7109375" bestFit="1" customWidth="1"/>
    <col min="4" max="4" width="9.42578125" bestFit="1" customWidth="1"/>
    <col min="5" max="5" width="11.85546875" bestFit="1" customWidth="1"/>
  </cols>
  <sheetData>
    <row r="1" spans="1:5">
      <c r="A1" s="374" t="s">
        <v>3080</v>
      </c>
      <c r="B1" s="374"/>
      <c r="C1" s="374"/>
      <c r="D1" s="374"/>
      <c r="E1" s="374"/>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5"/>
  <cols>
    <col min="1" max="1" width="6.42578125" bestFit="1" customWidth="1"/>
    <col min="2" max="2" width="16.140625" bestFit="1" customWidth="1"/>
    <col min="3" max="3" width="15.7109375" bestFit="1" customWidth="1"/>
    <col min="4" max="4" width="19.140625" customWidth="1"/>
  </cols>
  <sheetData>
    <row r="1" spans="1:4">
      <c r="A1" s="374" t="s">
        <v>3085</v>
      </c>
      <c r="B1" s="374"/>
      <c r="C1" s="374"/>
      <c r="D1" s="374"/>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5"/>
  <cols>
    <col min="1" max="1" width="6.42578125" bestFit="1" customWidth="1"/>
    <col min="2" max="2" width="7.28515625" bestFit="1" customWidth="1"/>
    <col min="3" max="3" width="13.140625" bestFit="1" customWidth="1"/>
    <col min="4" max="4" width="9.7109375" bestFit="1" customWidth="1"/>
    <col min="5" max="5" width="9.42578125" bestFit="1" customWidth="1"/>
    <col min="6" max="6" width="11.85546875" bestFit="1" customWidth="1"/>
  </cols>
  <sheetData>
    <row r="1" spans="1:6">
      <c r="C1" s="376" t="s">
        <v>3080</v>
      </c>
      <c r="D1" s="377"/>
      <c r="E1" s="377"/>
      <c r="F1" s="378"/>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5"/>
  <cols>
    <col min="1" max="1" width="5.5703125" bestFit="1" customWidth="1"/>
    <col min="2" max="2" width="7.28515625" bestFit="1" customWidth="1"/>
    <col min="3" max="3" width="9.7109375" bestFit="1" customWidth="1"/>
    <col min="4" max="4" width="9.42578125" bestFit="1" customWidth="1"/>
    <col min="5" max="5" width="11.85546875" bestFit="1" customWidth="1"/>
  </cols>
  <sheetData>
    <row r="1" spans="1:5">
      <c r="C1" s="376" t="s">
        <v>3080</v>
      </c>
      <c r="D1" s="377"/>
      <c r="E1" s="378"/>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5"/>
  <cols>
    <col min="6" max="6" width="38.8554687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5"/>
  <cols>
    <col min="1" max="1" width="11.28515625" bestFit="1" customWidth="1"/>
    <col min="2" max="2" width="14.42578125" bestFit="1" customWidth="1"/>
    <col min="3" max="3" width="14" bestFit="1" customWidth="1"/>
    <col min="6" max="6" width="11.28515625" bestFit="1" customWidth="1"/>
    <col min="7" max="7" width="14.285156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5"/>
  <cols>
    <col min="2" max="2" width="22.42578125" bestFit="1" customWidth="1"/>
    <col min="3" max="3" width="23.85546875" bestFit="1" customWidth="1"/>
    <col min="6" max="6" width="20.28515625" bestFit="1" customWidth="1"/>
    <col min="7" max="7" width="24.140625" bestFit="1" customWidth="1"/>
  </cols>
  <sheetData>
    <row r="1" spans="2:7">
      <c r="B1" s="1" t="s">
        <v>130</v>
      </c>
      <c r="C1" s="1" t="s">
        <v>3110</v>
      </c>
      <c r="F1" s="376" t="s">
        <v>3111</v>
      </c>
      <c r="G1" s="378"/>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5"/>
  <cols>
    <col min="1" max="1" width="15" bestFit="1" customWidth="1"/>
    <col min="2" max="2" width="13.140625" bestFit="1" customWidth="1"/>
    <col min="5" max="5" width="6.7109375" bestFit="1" customWidth="1"/>
    <col min="6" max="6" width="15" bestFit="1" customWidth="1"/>
    <col min="7" max="11" width="8.7109375" customWidth="1"/>
  </cols>
  <sheetData>
    <row r="1" spans="1:11">
      <c r="A1" s="1" t="s">
        <v>3117</v>
      </c>
      <c r="B1" s="1" t="s">
        <v>3118</v>
      </c>
      <c r="E1" s="374" t="s">
        <v>757</v>
      </c>
      <c r="F1" s="1" t="s">
        <v>3116</v>
      </c>
      <c r="G1" s="2">
        <v>35</v>
      </c>
      <c r="H1" s="2">
        <v>45</v>
      </c>
      <c r="I1" s="2">
        <v>55</v>
      </c>
      <c r="J1" s="2">
        <v>65</v>
      </c>
      <c r="K1" s="2">
        <v>75</v>
      </c>
    </row>
    <row r="2" spans="1:11">
      <c r="A2" s="2">
        <v>64</v>
      </c>
      <c r="B2" s="7" t="str">
        <f>LOOKUP(A2,F1:K2)</f>
        <v>C</v>
      </c>
      <c r="E2" s="374"/>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5"/>
  <cols>
    <col min="1" max="1" width="17.7109375" bestFit="1" customWidth="1"/>
    <col min="2" max="2" width="14.28515625" bestFit="1" customWidth="1"/>
    <col min="3" max="3" width="14.42578125" bestFit="1" customWidth="1"/>
    <col min="6" max="6" width="17.710937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5"/>
  <cols>
    <col min="1" max="1" width="8.140625" bestFit="1" customWidth="1"/>
    <col min="2" max="2" width="17.140625" bestFit="1" customWidth="1"/>
    <col min="6" max="6" width="8.140625" bestFit="1" customWidth="1"/>
    <col min="7" max="7" width="17.14062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5"/>
  <cols>
    <col min="1" max="2" width="16" customWidth="1"/>
    <col min="3" max="3" width="14.14062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5"/>
  <cols>
    <col min="3" max="3" width="12.28515625" bestFit="1" customWidth="1"/>
    <col min="7" max="7" width="12.285156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5"/>
  <cols>
    <col min="3" max="3" width="12.2851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5"/>
  <cols>
    <col min="3" max="3" width="12.2851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5"/>
  <cols>
    <col min="1" max="1" width="6.5703125" bestFit="1" customWidth="1"/>
    <col min="2" max="2" width="7.28515625" bestFit="1" customWidth="1"/>
    <col min="3" max="3" width="25.8554687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5"/>
  <cols>
    <col min="1" max="1" width="6.5703125" bestFit="1" customWidth="1"/>
    <col min="2" max="2" width="7.42578125" bestFit="1" customWidth="1"/>
    <col min="3" max="3" width="17.14062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5"/>
  <cols>
    <col min="1" max="1" width="6.5703125" bestFit="1" customWidth="1"/>
    <col min="2" max="2" width="10.4257812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5"/>
  <cols>
    <col min="1" max="1" width="7.5703125" customWidth="1"/>
    <col min="2" max="2" width="24.5703125" customWidth="1"/>
    <col min="3" max="3" width="13.8554687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5"/>
  <cols>
    <col min="1" max="1" width="9.140625" bestFit="1" customWidth="1"/>
    <col min="2" max="2" width="17.285156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5"/>
  <cols>
    <col min="1" max="1" width="12.42578125" bestFit="1" customWidth="1"/>
    <col min="2" max="2" width="19.85546875" bestFit="1" customWidth="1"/>
    <col min="3" max="3" width="6.4257812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5"/>
  <cols>
    <col min="1" max="1" width="5.5703125" bestFit="1" customWidth="1"/>
    <col min="2" max="2" width="14.28515625" bestFit="1" customWidth="1"/>
    <col min="3" max="3" width="14.85546875" bestFit="1" customWidth="1"/>
    <col min="4" max="4" width="11.140625" bestFit="1" customWidth="1"/>
    <col min="5" max="5" width="11.8554687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5"/>
  <cols>
    <col min="1" max="1" width="12.5703125" bestFit="1" customWidth="1"/>
    <col min="2" max="2" width="9.14062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5"/>
  <cols>
    <col min="1" max="1" width="12.7109375" bestFit="1" customWidth="1"/>
    <col min="2" max="2" width="11.85546875" customWidth="1"/>
    <col min="3" max="3" width="7.85546875" bestFit="1" customWidth="1"/>
    <col min="9" max="9" width="4.140625" customWidth="1"/>
  </cols>
  <sheetData>
    <row r="1" spans="1:10" ht="29.1" customHeight="1">
      <c r="A1" s="415" t="s">
        <v>3213</v>
      </c>
      <c r="B1" s="416"/>
      <c r="C1" s="417"/>
      <c r="E1" s="415" t="s">
        <v>3219</v>
      </c>
      <c r="F1" s="416"/>
      <c r="G1" s="416"/>
      <c r="H1" s="417"/>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5.75" thickBot="1">
      <c r="A5" s="157" t="s">
        <v>3215</v>
      </c>
      <c r="B5" s="2" t="s">
        <v>3216</v>
      </c>
      <c r="C5" s="159">
        <v>1</v>
      </c>
      <c r="E5" s="176">
        <v>4</v>
      </c>
      <c r="F5" s="177">
        <v>11</v>
      </c>
      <c r="G5" s="177">
        <v>15</v>
      </c>
      <c r="H5" s="179">
        <v>19</v>
      </c>
    </row>
    <row r="6" spans="1:10">
      <c r="A6" s="157" t="s">
        <v>3217</v>
      </c>
      <c r="B6" s="2" t="s">
        <v>2182</v>
      </c>
      <c r="C6" s="159">
        <v>3</v>
      </c>
    </row>
    <row r="7" spans="1:10" ht="15.7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5"/>
  <cols>
    <col min="1" max="1" width="26.85546875" bestFit="1" customWidth="1"/>
    <col min="2" max="2" width="10.28515625" customWidth="1"/>
    <col min="4" max="4" width="3" customWidth="1"/>
    <col min="6" max="8" width="9.85546875" bestFit="1" customWidth="1"/>
  </cols>
  <sheetData>
    <row r="1" spans="1:8" ht="15.75" thickBot="1">
      <c r="A1" s="409" t="s">
        <v>3224</v>
      </c>
      <c r="B1" s="411"/>
      <c r="D1" s="412" t="s">
        <v>3234</v>
      </c>
      <c r="E1" s="413"/>
      <c r="F1" s="413"/>
      <c r="G1" s="413"/>
      <c r="H1" s="414"/>
    </row>
    <row r="2" spans="1:8" ht="15.75" thickBot="1">
      <c r="A2" s="155"/>
      <c r="B2" s="156"/>
      <c r="D2" s="193"/>
      <c r="E2" s="194"/>
      <c r="F2" s="437" t="s">
        <v>1296</v>
      </c>
      <c r="G2" s="373"/>
      <c r="H2" s="438"/>
    </row>
    <row r="3" spans="1:8">
      <c r="A3" s="187" t="s">
        <v>2887</v>
      </c>
      <c r="B3" s="188" t="s">
        <v>1727</v>
      </c>
      <c r="D3" s="195"/>
      <c r="E3" s="196">
        <f>B4*(1+B5/B6)^(B6*B7)</f>
        <v>6410.1861585429251</v>
      </c>
      <c r="F3" s="2">
        <v>5</v>
      </c>
      <c r="G3" s="2">
        <v>6</v>
      </c>
      <c r="H3" s="159">
        <v>7</v>
      </c>
    </row>
    <row r="4" spans="1:8" ht="14.45" customHeight="1">
      <c r="A4" s="157" t="s">
        <v>3025</v>
      </c>
      <c r="B4" s="190">
        <v>5000</v>
      </c>
      <c r="D4" s="434" t="s">
        <v>3227</v>
      </c>
      <c r="E4" s="83">
        <v>6000</v>
      </c>
      <c r="F4" s="67">
        <f t="dataTable" ref="F4:H8" dt2D="1" dtr="1" r1="B7" r2="B4"/>
        <v>7692.2233902515109</v>
      </c>
      <c r="G4" s="67">
        <v>8084.1063024861051</v>
      </c>
      <c r="H4" s="197">
        <v>8495.9538217153549</v>
      </c>
    </row>
    <row r="5" spans="1:8">
      <c r="A5" s="157" t="s">
        <v>1252</v>
      </c>
      <c r="B5" s="191">
        <v>0.05</v>
      </c>
      <c r="D5" s="435"/>
      <c r="E5" s="83">
        <v>7000</v>
      </c>
      <c r="F5" s="67">
        <v>8974.2606219600948</v>
      </c>
      <c r="G5" s="67">
        <v>9431.4573529004556</v>
      </c>
      <c r="H5" s="197">
        <v>9911.9461253345817</v>
      </c>
    </row>
    <row r="6" spans="1:8">
      <c r="A6" s="157" t="s">
        <v>3225</v>
      </c>
      <c r="B6" s="159">
        <v>4</v>
      </c>
      <c r="D6" s="435"/>
      <c r="E6" s="83">
        <v>8000</v>
      </c>
      <c r="F6" s="67">
        <v>10256.297853668681</v>
      </c>
      <c r="G6" s="67">
        <v>10778.808403314808</v>
      </c>
      <c r="H6" s="197">
        <v>11327.938428953807</v>
      </c>
    </row>
    <row r="7" spans="1:8" ht="15.75" thickBot="1">
      <c r="A7" s="174" t="s">
        <v>1296</v>
      </c>
      <c r="B7" s="168">
        <v>5</v>
      </c>
      <c r="D7" s="435"/>
      <c r="E7" s="83">
        <v>9000</v>
      </c>
      <c r="F7" s="67">
        <v>11538.335085377266</v>
      </c>
      <c r="G7" s="67">
        <v>12126.159453729158</v>
      </c>
      <c r="H7" s="197">
        <v>12743.930732573033</v>
      </c>
    </row>
    <row r="8" spans="1:8" ht="15.75" thickBot="1">
      <c r="A8" s="155"/>
      <c r="B8" s="156"/>
      <c r="D8" s="436"/>
      <c r="E8" s="198">
        <v>10000</v>
      </c>
      <c r="F8" s="199">
        <v>12820.37231708585</v>
      </c>
      <c r="G8" s="199">
        <v>13473.510504143509</v>
      </c>
      <c r="H8" s="192">
        <v>14159.923036192258</v>
      </c>
    </row>
    <row r="9" spans="1:8" ht="15.7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5"/>
  <cols>
    <col min="1" max="1" width="26.42578125" bestFit="1" customWidth="1"/>
    <col min="2" max="2" width="10.85546875" bestFit="1" customWidth="1"/>
    <col min="3" max="3" width="12.5703125" bestFit="1" customWidth="1"/>
  </cols>
  <sheetData>
    <row r="1" spans="1:3">
      <c r="A1" s="415" t="s">
        <v>3011</v>
      </c>
      <c r="B1" s="416"/>
      <c r="C1" s="417"/>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5.7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5"/>
  <cols>
    <col min="1" max="1" width="26.42578125" bestFit="1" customWidth="1"/>
    <col min="2" max="2" width="13.42578125" bestFit="1" customWidth="1"/>
    <col min="3" max="3" width="8.85546875" bestFit="1" customWidth="1"/>
    <col min="5" max="8" width="9.5703125" bestFit="1" customWidth="1"/>
  </cols>
  <sheetData>
    <row r="1" spans="1:8" ht="15.75" thickBot="1">
      <c r="A1" s="442" t="s">
        <v>3011</v>
      </c>
      <c r="B1" s="443"/>
      <c r="D1" s="412" t="s">
        <v>3230</v>
      </c>
      <c r="E1" s="413"/>
      <c r="F1" s="413"/>
      <c r="G1" s="413"/>
      <c r="H1" s="414"/>
    </row>
    <row r="2" spans="1:8">
      <c r="A2" s="180" t="s">
        <v>3231</v>
      </c>
      <c r="B2" s="189" t="s">
        <v>3232</v>
      </c>
      <c r="D2" s="193"/>
      <c r="E2" s="194"/>
      <c r="F2" s="437" t="s">
        <v>1259</v>
      </c>
      <c r="G2" s="373"/>
      <c r="H2" s="438"/>
    </row>
    <row r="3" spans="1:8">
      <c r="A3" s="157" t="s">
        <v>1259</v>
      </c>
      <c r="B3" s="190"/>
      <c r="D3" s="195"/>
      <c r="E3" s="202">
        <f>PMT(10%/12,'Two-var_Calculation Sheet'!C6,'Two-var_Calculation Sheet'!C4)</f>
        <v>-1062.3522355634138</v>
      </c>
      <c r="F3" s="83">
        <v>20000</v>
      </c>
      <c r="G3" s="83">
        <v>30000</v>
      </c>
      <c r="H3" s="190">
        <v>40000</v>
      </c>
    </row>
    <row r="4" spans="1:8" ht="15.75" thickBot="1">
      <c r="A4" s="174" t="s">
        <v>3229</v>
      </c>
      <c r="B4" s="168"/>
      <c r="D4" s="439" t="s">
        <v>3229</v>
      </c>
      <c r="E4" s="2">
        <v>70</v>
      </c>
      <c r="F4" s="67">
        <f t="dataTable" ref="F4:H8" dt2D="1" dtr="1" r1="B3" r2="B4"/>
        <v>-378.25971154428231</v>
      </c>
      <c r="G4" s="67">
        <v>-567.38956731642338</v>
      </c>
      <c r="H4" s="197">
        <v>-756.51942308856462</v>
      </c>
    </row>
    <row r="5" spans="1:8">
      <c r="D5" s="440"/>
      <c r="E5" s="2">
        <v>80</v>
      </c>
      <c r="F5" s="67">
        <v>-343.52741635471938</v>
      </c>
      <c r="G5" s="67">
        <v>-515.29112453207904</v>
      </c>
      <c r="H5" s="197">
        <v>-687.05483270943876</v>
      </c>
    </row>
    <row r="6" spans="1:8">
      <c r="D6" s="440"/>
      <c r="E6" s="2">
        <v>90</v>
      </c>
      <c r="F6" s="67">
        <v>-316.75852041732435</v>
      </c>
      <c r="G6" s="67">
        <v>-475.13778062598647</v>
      </c>
      <c r="H6" s="197">
        <v>-633.5170408346487</v>
      </c>
    </row>
    <row r="7" spans="1:8">
      <c r="D7" s="440"/>
      <c r="E7" s="2">
        <v>100</v>
      </c>
      <c r="F7" s="67">
        <v>-295.56146094958666</v>
      </c>
      <c r="G7" s="67">
        <v>-443.34219142437996</v>
      </c>
      <c r="H7" s="197">
        <v>-591.12292189917332</v>
      </c>
    </row>
    <row r="8" spans="1:8" ht="15.75" thickBot="1">
      <c r="D8" s="441"/>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5"/>
  <cols>
    <col min="1" max="1" width="41.5703125" bestFit="1" customWidth="1"/>
    <col min="2" max="2" width="11.42578125" bestFit="1" customWidth="1"/>
    <col min="5" max="5" width="10.85546875" bestFit="1" customWidth="1"/>
    <col min="6" max="7" width="12.42578125" bestFit="1" customWidth="1"/>
    <col min="8" max="8" width="13.5703125" bestFit="1" customWidth="1"/>
  </cols>
  <sheetData>
    <row r="1" spans="1:8" ht="15.75" thickBot="1">
      <c r="A1" s="374" t="s">
        <v>3235</v>
      </c>
      <c r="B1" s="374"/>
      <c r="D1" s="412" t="s">
        <v>3241</v>
      </c>
      <c r="E1" s="413"/>
      <c r="F1" s="413"/>
      <c r="G1" s="413"/>
      <c r="H1" s="414"/>
    </row>
    <row r="2" spans="1:8">
      <c r="A2" s="155"/>
      <c r="B2" s="156"/>
      <c r="D2" s="193"/>
      <c r="E2" s="194"/>
      <c r="F2" s="437" t="s">
        <v>3239</v>
      </c>
      <c r="G2" s="373"/>
      <c r="H2" s="438"/>
    </row>
    <row r="3" spans="1:8">
      <c r="A3" s="1" t="s">
        <v>2887</v>
      </c>
      <c r="B3" s="1" t="s">
        <v>1727</v>
      </c>
      <c r="D3" s="195"/>
      <c r="E3" s="196">
        <f>FV(B7/12,B5*B6,-B4)</f>
        <v>776411.3972283433</v>
      </c>
      <c r="F3" s="2">
        <v>15</v>
      </c>
      <c r="G3" s="2">
        <v>20</v>
      </c>
      <c r="H3" s="159">
        <v>25</v>
      </c>
    </row>
    <row r="4" spans="1:8">
      <c r="A4" s="2" t="s">
        <v>3236</v>
      </c>
      <c r="B4" s="83">
        <v>5000</v>
      </c>
      <c r="D4" s="439" t="s">
        <v>1291</v>
      </c>
      <c r="E4" s="82">
        <v>0.06</v>
      </c>
      <c r="F4" s="67">
        <f t="dataTable" ref="F4:H8" dt2D="1" dtr="1" r1="B5" r2="B7"/>
        <v>1454093.5622471459</v>
      </c>
      <c r="G4" s="67">
        <v>2310204.4758073268</v>
      </c>
      <c r="H4" s="197">
        <v>3464969.8121621022</v>
      </c>
    </row>
    <row r="5" spans="1:8">
      <c r="A5" s="14" t="s">
        <v>3240</v>
      </c>
      <c r="B5" s="2">
        <v>10</v>
      </c>
      <c r="D5" s="440"/>
      <c r="E5" s="82">
        <v>7.0000000000000007E-2</v>
      </c>
      <c r="F5" s="67">
        <v>1584811.4836065881</v>
      </c>
      <c r="G5" s="67">
        <v>2604633.2991275843</v>
      </c>
      <c r="H5" s="197">
        <v>4050358.4651155462</v>
      </c>
    </row>
    <row r="6" spans="1:8">
      <c r="A6" s="2" t="s">
        <v>3237</v>
      </c>
      <c r="B6" s="2">
        <v>12</v>
      </c>
      <c r="D6" s="440"/>
      <c r="E6" s="82">
        <v>0.08</v>
      </c>
      <c r="F6" s="67">
        <v>1730191.1080575096</v>
      </c>
      <c r="G6" s="67">
        <v>2945102.0781072858</v>
      </c>
      <c r="H6" s="197">
        <v>4755131.972804484</v>
      </c>
    </row>
    <row r="7" spans="1:8">
      <c r="A7" s="2" t="s">
        <v>3238</v>
      </c>
      <c r="B7" s="82">
        <v>0.05</v>
      </c>
      <c r="D7" s="440"/>
      <c r="E7" s="82">
        <v>0.09</v>
      </c>
      <c r="F7" s="67">
        <v>1892028.8449859724</v>
      </c>
      <c r="G7" s="67">
        <v>3339434.3496484295</v>
      </c>
      <c r="H7" s="197">
        <v>5605609.6865892326</v>
      </c>
    </row>
    <row r="8" spans="1:8" ht="15.75" thickBot="1">
      <c r="A8" s="2" t="s">
        <v>1260</v>
      </c>
      <c r="B8" s="84">
        <f>FV(B7/12,B5*B6,-B4)</f>
        <v>776411.3972283433</v>
      </c>
      <c r="D8" s="441"/>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5"/>
  <cols>
    <col min="1" max="1" width="21.7109375" bestFit="1" customWidth="1"/>
    <col min="2" max="2" width="9" bestFit="1" customWidth="1"/>
    <col min="4" max="4" width="4.140625" customWidth="1"/>
    <col min="5" max="5" width="10.85546875" bestFit="1" customWidth="1"/>
    <col min="6" max="8" width="12.42578125" bestFit="1" customWidth="1"/>
  </cols>
  <sheetData>
    <row r="1" spans="1:8" ht="15.75" thickBot="1">
      <c r="A1" s="379" t="s">
        <v>3242</v>
      </c>
      <c r="B1" s="375"/>
      <c r="D1" s="412" t="s">
        <v>3247</v>
      </c>
      <c r="E1" s="413"/>
      <c r="F1" s="413"/>
      <c r="G1" s="413"/>
      <c r="H1" s="414"/>
    </row>
    <row r="2" spans="1:8">
      <c r="A2" s="2" t="s">
        <v>3243</v>
      </c>
      <c r="B2" s="83">
        <v>950000</v>
      </c>
      <c r="D2" s="193"/>
      <c r="E2" s="194"/>
      <c r="F2" s="437" t="s">
        <v>3245</v>
      </c>
      <c r="G2" s="373"/>
      <c r="H2" s="438"/>
    </row>
    <row r="3" spans="1:8">
      <c r="A3" s="2" t="s">
        <v>3244</v>
      </c>
      <c r="B3" s="82">
        <v>0.03</v>
      </c>
      <c r="D3" s="195"/>
      <c r="E3" s="196">
        <f>B2+(B2*B3)-(B2*B4)</f>
        <v>883500</v>
      </c>
      <c r="F3" s="82">
        <v>0.15</v>
      </c>
      <c r="G3" s="82">
        <v>0.2</v>
      </c>
      <c r="H3" s="191">
        <v>0.25</v>
      </c>
    </row>
    <row r="4" spans="1:8">
      <c r="A4" s="2" t="s">
        <v>3245</v>
      </c>
      <c r="B4" s="82">
        <v>0.1</v>
      </c>
      <c r="D4" s="439" t="s">
        <v>3244</v>
      </c>
      <c r="E4" s="15">
        <v>3.5000000000000003E-2</v>
      </c>
      <c r="F4" s="67">
        <f t="dataTable" ref="F4:H8" dt2D="1" dtr="1" r1="B4" r2="B3"/>
        <v>840750</v>
      </c>
      <c r="G4" s="67">
        <v>793250</v>
      </c>
      <c r="H4" s="197">
        <v>745750</v>
      </c>
    </row>
    <row r="5" spans="1:8">
      <c r="A5" s="2" t="s">
        <v>3246</v>
      </c>
      <c r="B5" s="87">
        <f>B2+(B2*B3)-(B2*B4)</f>
        <v>883500</v>
      </c>
      <c r="D5" s="440"/>
      <c r="E5" s="82">
        <v>0.04</v>
      </c>
      <c r="F5" s="67">
        <v>845500</v>
      </c>
      <c r="G5" s="67">
        <v>798000</v>
      </c>
      <c r="H5" s="197">
        <v>750500</v>
      </c>
    </row>
    <row r="6" spans="1:8">
      <c r="D6" s="440"/>
      <c r="E6" s="15">
        <v>4.4999999999999998E-2</v>
      </c>
      <c r="F6" s="67">
        <v>850250</v>
      </c>
      <c r="G6" s="67">
        <v>802750</v>
      </c>
      <c r="H6" s="197">
        <v>755250</v>
      </c>
    </row>
    <row r="7" spans="1:8">
      <c r="D7" s="440"/>
      <c r="E7" s="82">
        <v>0.05</v>
      </c>
      <c r="F7" s="67">
        <v>855000</v>
      </c>
      <c r="G7" s="67">
        <v>807500</v>
      </c>
      <c r="H7" s="197">
        <v>760000</v>
      </c>
    </row>
    <row r="8" spans="1:8" ht="15.75" thickBot="1">
      <c r="D8" s="441"/>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5"/>
  <cols>
    <col min="1" max="1" width="20.5703125" bestFit="1" customWidth="1"/>
    <col min="2" max="2" width="13.140625" bestFit="1" customWidth="1"/>
    <col min="4" max="4" width="13.85546875" bestFit="1" customWidth="1"/>
    <col min="5" max="5" width="20.5703125" bestFit="1" customWidth="1"/>
    <col min="6" max="6" width="31.140625" bestFit="1" customWidth="1"/>
  </cols>
  <sheetData>
    <row r="1" spans="1:6" ht="15.75" thickBot="1">
      <c r="A1" s="412" t="s">
        <v>3248</v>
      </c>
      <c r="B1" s="414"/>
      <c r="D1" s="442" t="s">
        <v>3258</v>
      </c>
      <c r="E1" s="443"/>
    </row>
    <row r="2" spans="1:6" ht="17.25">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44" t="s">
        <v>3260</v>
      </c>
    </row>
    <row r="5" spans="1:6" ht="15.75" thickBot="1">
      <c r="A5" s="174" t="s">
        <v>3252</v>
      </c>
      <c r="B5" s="168">
        <v>30</v>
      </c>
      <c r="D5" s="157">
        <v>30</v>
      </c>
      <c r="E5" s="178">
        <v>18000</v>
      </c>
      <c r="F5" s="445"/>
    </row>
    <row r="6" spans="1:6" ht="15.75" thickBot="1">
      <c r="A6" s="155"/>
      <c r="B6" s="156"/>
      <c r="D6" s="157">
        <v>40</v>
      </c>
      <c r="E6" s="178">
        <v>24000</v>
      </c>
      <c r="F6" s="445"/>
    </row>
    <row r="7" spans="1:6" ht="18" thickBot="1">
      <c r="A7" s="200" t="s">
        <v>3256</v>
      </c>
      <c r="B7" s="206">
        <f>B3*B4*B5</f>
        <v>6000</v>
      </c>
      <c r="D7" s="174">
        <v>50</v>
      </c>
      <c r="E7" s="179">
        <v>30000</v>
      </c>
      <c r="F7" s="446"/>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5"/>
  <cols>
    <col min="1" max="1" width="26.85546875" bestFit="1" customWidth="1"/>
    <col min="2" max="2" width="9.5703125" bestFit="1" customWidth="1"/>
    <col min="3" max="3" width="8.7109375"/>
    <col min="4" max="4" width="24.85546875" customWidth="1"/>
    <col min="5" max="5" width="28.140625" customWidth="1"/>
  </cols>
  <sheetData>
    <row r="1" spans="1:5" ht="15.75" thickBot="1">
      <c r="A1" s="412" t="s">
        <v>3261</v>
      </c>
      <c r="B1" s="414"/>
      <c r="D1" s="442" t="s">
        <v>3262</v>
      </c>
      <c r="E1" s="443"/>
    </row>
    <row r="2" spans="1:5" ht="15.7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5.75" thickBot="1">
      <c r="A7" s="174" t="s">
        <v>1296</v>
      </c>
      <c r="B7" s="168">
        <v>6</v>
      </c>
      <c r="D7" s="212">
        <v>9000</v>
      </c>
      <c r="E7" s="197">
        <v>12139.651372943734</v>
      </c>
    </row>
    <row r="8" spans="1:5" ht="15.75" thickBot="1">
      <c r="A8" s="184"/>
      <c r="B8" s="209"/>
      <c r="D8" s="213">
        <v>10000</v>
      </c>
      <c r="E8" s="192">
        <v>13488.501525493037</v>
      </c>
    </row>
    <row r="9" spans="1:5" ht="15.7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5"/>
  <cols>
    <col min="1" max="1" width="23.85546875" bestFit="1" customWidth="1"/>
    <col min="2" max="2" width="12" customWidth="1"/>
    <col min="4" max="4" width="5.5703125" customWidth="1"/>
    <col min="6" max="6" width="15.5703125" bestFit="1" customWidth="1"/>
    <col min="7" max="7" width="19.42578125" bestFit="1" customWidth="1"/>
    <col min="8" max="8" width="17.42578125" bestFit="1" customWidth="1"/>
    <col min="9" max="9" width="15.7109375" bestFit="1" customWidth="1"/>
    <col min="12" max="12" width="11.85546875" bestFit="1" customWidth="1"/>
  </cols>
  <sheetData>
    <row r="1" spans="1:12" ht="15.75" thickBot="1">
      <c r="A1" s="418" t="s">
        <v>3269</v>
      </c>
      <c r="B1" s="420"/>
      <c r="D1" s="442" t="s">
        <v>3270</v>
      </c>
      <c r="E1" s="450"/>
      <c r="F1" s="450"/>
      <c r="G1" s="450"/>
      <c r="H1" s="450"/>
      <c r="I1" s="443"/>
    </row>
    <row r="2" spans="1:12">
      <c r="A2" s="418" t="s">
        <v>1421</v>
      </c>
      <c r="B2" s="420"/>
      <c r="D2" s="217"/>
      <c r="E2" s="216"/>
      <c r="F2" s="208" t="s">
        <v>1259</v>
      </c>
      <c r="G2" s="207" t="s">
        <v>3022</v>
      </c>
      <c r="H2" s="207" t="s">
        <v>3271</v>
      </c>
      <c r="I2" s="207" t="s">
        <v>3267</v>
      </c>
    </row>
    <row r="3" spans="1:12" ht="15" customHeight="1">
      <c r="A3" s="180" t="s">
        <v>2887</v>
      </c>
      <c r="B3" s="181" t="s">
        <v>1727</v>
      </c>
      <c r="D3" s="447" t="s">
        <v>3268</v>
      </c>
      <c r="E3" s="2"/>
      <c r="F3" s="53">
        <f>B11</f>
        <v>450000</v>
      </c>
      <c r="G3" s="53">
        <f>B12</f>
        <v>3157.4451263586848</v>
      </c>
      <c r="H3" s="53">
        <f>B13</f>
        <v>789361.28158967115</v>
      </c>
      <c r="I3" s="158">
        <f>B14</f>
        <v>339361.28158967115</v>
      </c>
    </row>
    <row r="4" spans="1:12" ht="14.45" customHeight="1">
      <c r="A4" s="157" t="s">
        <v>3263</v>
      </c>
      <c r="B4" s="190">
        <v>500000</v>
      </c>
      <c r="D4" s="448"/>
      <c r="E4" s="15">
        <v>7.0000000000000007E-2</v>
      </c>
      <c r="F4" s="67">
        <f t="dataTable" ref="F4:I8" dt2D="0" dtr="0" r1="B7"/>
        <v>450000</v>
      </c>
      <c r="G4" s="67">
        <v>3425.1552253977675</v>
      </c>
      <c r="H4" s="67">
        <v>856288.80634944187</v>
      </c>
      <c r="I4" s="197">
        <v>406288.80634944187</v>
      </c>
    </row>
    <row r="5" spans="1:12">
      <c r="A5" s="157" t="s">
        <v>3264</v>
      </c>
      <c r="B5" s="191">
        <v>0.1</v>
      </c>
      <c r="D5" s="448"/>
      <c r="E5" s="15">
        <v>0.08</v>
      </c>
      <c r="F5" s="67">
        <v>450000</v>
      </c>
      <c r="G5" s="67">
        <v>3703.3524142052602</v>
      </c>
      <c r="H5" s="67">
        <v>925838.10355131503</v>
      </c>
      <c r="I5" s="197">
        <v>475838.10355131503</v>
      </c>
    </row>
    <row r="6" spans="1:12">
      <c r="A6" s="157" t="s">
        <v>3265</v>
      </c>
      <c r="B6" s="159">
        <v>250</v>
      </c>
      <c r="D6" s="448"/>
      <c r="E6" s="15">
        <v>0.09</v>
      </c>
      <c r="F6" s="67">
        <v>450000</v>
      </c>
      <c r="G6" s="67">
        <v>3991.3981866079657</v>
      </c>
      <c r="H6" s="67">
        <v>997849.54665199143</v>
      </c>
      <c r="I6" s="197">
        <v>547849.54665199143</v>
      </c>
    </row>
    <row r="7" spans="1:12" ht="15.75" thickBot="1">
      <c r="A7" s="174" t="s">
        <v>3268</v>
      </c>
      <c r="B7" s="215">
        <v>0.06</v>
      </c>
      <c r="D7" s="448"/>
      <c r="E7" s="15">
        <v>0.1</v>
      </c>
      <c r="F7" s="67">
        <v>450000</v>
      </c>
      <c r="G7" s="67">
        <v>4288.6257072282742</v>
      </c>
      <c r="H7" s="67">
        <v>1072156.4268070685</v>
      </c>
      <c r="I7" s="197">
        <v>622156.42680706852</v>
      </c>
    </row>
    <row r="8" spans="1:12" ht="15.75" thickBot="1">
      <c r="A8" s="155"/>
      <c r="B8" s="156"/>
      <c r="D8" s="449"/>
      <c r="E8" s="205">
        <v>0.11</v>
      </c>
      <c r="F8" s="199">
        <v>450000</v>
      </c>
      <c r="G8" s="199">
        <v>4594.3535880089439</v>
      </c>
      <c r="H8" s="199">
        <v>1148588.397002236</v>
      </c>
      <c r="I8" s="192">
        <v>698588.39700223599</v>
      </c>
    </row>
    <row r="9" spans="1:12">
      <c r="A9" s="418" t="s">
        <v>3266</v>
      </c>
      <c r="B9" s="420"/>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5.7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5"/>
  <cols>
    <col min="1" max="1" width="15.5703125" bestFit="1" customWidth="1"/>
    <col min="2" max="2" width="9.5703125" bestFit="1" customWidth="1"/>
    <col min="3" max="3" width="9.5703125" customWidth="1"/>
    <col min="4" max="4" width="6.140625" customWidth="1"/>
    <col min="5" max="6" width="20.5703125" customWidth="1"/>
  </cols>
  <sheetData>
    <row r="1" spans="1:6" ht="15.75" thickBot="1">
      <c r="A1" s="418" t="s">
        <v>3272</v>
      </c>
      <c r="B1" s="420"/>
      <c r="D1" s="412" t="s">
        <v>3276</v>
      </c>
      <c r="E1" s="413"/>
      <c r="F1" s="414"/>
    </row>
    <row r="2" spans="1:6">
      <c r="A2" s="155"/>
      <c r="B2" s="156"/>
      <c r="D2" s="155"/>
      <c r="F2" s="207" t="s">
        <v>3275</v>
      </c>
    </row>
    <row r="3" spans="1:6" ht="14.45" customHeight="1">
      <c r="A3" s="180" t="s">
        <v>2887</v>
      </c>
      <c r="B3" s="181" t="s">
        <v>1727</v>
      </c>
      <c r="D3" s="451" t="s">
        <v>3228</v>
      </c>
      <c r="E3" s="43" t="s">
        <v>3254</v>
      </c>
      <c r="F3" s="214">
        <f>B8</f>
        <v>6453.437438767497</v>
      </c>
    </row>
    <row r="4" spans="1:6" ht="14.45" customHeight="1">
      <c r="A4" s="157" t="s">
        <v>1259</v>
      </c>
      <c r="B4" s="190">
        <v>200000</v>
      </c>
      <c r="D4" s="451"/>
      <c r="E4" s="218">
        <v>0.11</v>
      </c>
      <c r="F4" s="197">
        <f t="dataTable" ref="F4:F8" dt2D="0" dtr="0" r1="B7"/>
        <v>6547.7434234004086</v>
      </c>
    </row>
    <row r="5" spans="1:6">
      <c r="A5" s="157" t="s">
        <v>3273</v>
      </c>
      <c r="B5" s="159">
        <v>3</v>
      </c>
      <c r="D5" s="451"/>
      <c r="E5" s="219">
        <v>0.115</v>
      </c>
      <c r="F5" s="197">
        <v>6595.2012865650177</v>
      </c>
    </row>
    <row r="6" spans="1:6">
      <c r="A6" s="157" t="s">
        <v>3274</v>
      </c>
      <c r="B6" s="159">
        <v>12</v>
      </c>
      <c r="D6" s="451"/>
      <c r="E6" s="218">
        <v>0.12</v>
      </c>
      <c r="F6" s="197">
        <v>6642.8619625702386</v>
      </c>
    </row>
    <row r="7" spans="1:6">
      <c r="A7" s="157" t="s">
        <v>3228</v>
      </c>
      <c r="B7" s="191">
        <v>0.1</v>
      </c>
      <c r="D7" s="451"/>
      <c r="E7" s="219">
        <v>0.125</v>
      </c>
      <c r="F7" s="197">
        <v>6690.7251153433044</v>
      </c>
    </row>
    <row r="8" spans="1:6" ht="15.75" thickBot="1">
      <c r="A8" s="174" t="s">
        <v>3275</v>
      </c>
      <c r="B8" s="210">
        <f>PMT(B7/12,B5*B6,-B4)</f>
        <v>6453.437438767497</v>
      </c>
      <c r="D8" s="452"/>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5"/>
  <cols>
    <col min="1" max="1" width="19.85546875" bestFit="1" customWidth="1"/>
    <col min="2" max="2" width="9.7109375" bestFit="1" customWidth="1"/>
    <col min="3" max="3" width="6.7109375" customWidth="1"/>
    <col min="5" max="5" width="12.5703125" customWidth="1"/>
    <col min="6" max="6" width="8.42578125" bestFit="1" customWidth="1"/>
    <col min="7" max="7" width="8.7109375" customWidth="1"/>
  </cols>
  <sheetData>
    <row r="1" spans="1:11">
      <c r="A1" s="374" t="s">
        <v>3277</v>
      </c>
      <c r="B1" s="374"/>
      <c r="C1" s="374"/>
      <c r="E1" s="437" t="s">
        <v>3280</v>
      </c>
      <c r="F1" s="373"/>
      <c r="G1" s="373"/>
      <c r="H1" s="373"/>
      <c r="I1" s="373"/>
      <c r="J1" s="373"/>
      <c r="K1" s="373"/>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5"/>
  <cols>
    <col min="1" max="1" width="17" bestFit="1" customWidth="1"/>
    <col min="2" max="2" width="7.5703125" bestFit="1" customWidth="1"/>
  </cols>
  <sheetData>
    <row r="1" spans="1:2">
      <c r="A1" s="374" t="s">
        <v>3281</v>
      </c>
      <c r="B1" s="374"/>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5"/>
  <cols>
    <col min="1" max="1" width="20.7109375" bestFit="1" customWidth="1"/>
    <col min="2" max="2" width="20.7109375" customWidth="1"/>
    <col min="3" max="3" width="9.85546875" customWidth="1"/>
  </cols>
  <sheetData>
    <row r="1" spans="1:3">
      <c r="A1" s="376" t="s">
        <v>3290</v>
      </c>
      <c r="B1" s="377"/>
      <c r="C1" s="378"/>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5"/>
  <cols>
    <col min="1" max="1" width="20.7109375" bestFit="1" customWidth="1"/>
    <col min="2" max="2" width="8.140625" customWidth="1"/>
  </cols>
  <sheetData>
    <row r="1" spans="1:2">
      <c r="A1" s="376" t="s">
        <v>3290</v>
      </c>
      <c r="B1" s="378"/>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5"/>
  <cols>
    <col min="1" max="1" width="19.5703125" bestFit="1" customWidth="1"/>
    <col min="2" max="2" width="22" bestFit="1" customWidth="1"/>
  </cols>
  <sheetData>
    <row r="1" spans="1:2">
      <c r="A1" s="374" t="s">
        <v>3298</v>
      </c>
      <c r="B1" s="374"/>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5"/>
  <cols>
    <col min="1" max="1" width="21.140625" bestFit="1" customWidth="1"/>
    <col min="2" max="2" width="19.7109375" bestFit="1" customWidth="1"/>
  </cols>
  <sheetData>
    <row r="1" spans="1:2">
      <c r="A1" s="405" t="s">
        <v>3309</v>
      </c>
      <c r="B1" s="373"/>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5"/>
  <cols>
    <col min="1" max="1" width="21.140625" bestFit="1" customWidth="1"/>
    <col min="2" max="2" width="21.140625" customWidth="1"/>
    <col min="3" max="3" width="19.7109375" bestFit="1" customWidth="1"/>
  </cols>
  <sheetData>
    <row r="1" spans="1:3">
      <c r="A1" s="405" t="s">
        <v>3309</v>
      </c>
      <c r="B1" s="373"/>
      <c r="C1" s="373"/>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5"/>
  <cols>
    <col min="1" max="1" width="17.140625" bestFit="1" customWidth="1"/>
    <col min="2" max="2" width="12.5703125" customWidth="1"/>
    <col min="3" max="3" width="108.5703125" bestFit="1" customWidth="1"/>
  </cols>
  <sheetData>
    <row r="1" spans="1:3">
      <c r="A1" s="405" t="s">
        <v>3326</v>
      </c>
      <c r="B1" s="373"/>
      <c r="C1" s="373"/>
    </row>
    <row r="2" spans="1:3">
      <c r="A2" s="1" t="s">
        <v>3282</v>
      </c>
      <c r="B2" s="1" t="s">
        <v>3319</v>
      </c>
      <c r="C2" s="1" t="s">
        <v>3327</v>
      </c>
    </row>
    <row r="3" spans="1:3" ht="15.75">
      <c r="A3" s="2" t="s">
        <v>3320</v>
      </c>
      <c r="B3" s="53">
        <v>50000</v>
      </c>
      <c r="C3" s="223" t="str">
        <f t="shared" ref="C3:C8" si="0">REPT("g",(B3/1000))</f>
        <v>gggggggggggggggggggggggggggggggggggggggggggggggggg</v>
      </c>
    </row>
    <row r="4" spans="1:3" ht="15.75">
      <c r="A4" s="2" t="s">
        <v>3322</v>
      </c>
      <c r="B4" s="53">
        <v>40000</v>
      </c>
      <c r="C4" s="223" t="str">
        <f t="shared" si="0"/>
        <v>gggggggggggggggggggggggggggggggggggggggg</v>
      </c>
    </row>
    <row r="5" spans="1:3" ht="15.75">
      <c r="A5" s="2" t="s">
        <v>3321</v>
      </c>
      <c r="B5" s="53">
        <v>30000</v>
      </c>
      <c r="C5" s="223" t="str">
        <f t="shared" si="0"/>
        <v>gggggggggggggggggggggggggggggg</v>
      </c>
    </row>
    <row r="6" spans="1:3" ht="15.75">
      <c r="A6" s="2" t="s">
        <v>3323</v>
      </c>
      <c r="B6" s="53">
        <v>20000</v>
      </c>
      <c r="C6" s="223" t="str">
        <f t="shared" si="0"/>
        <v>gggggggggggggggggggg</v>
      </c>
    </row>
    <row r="7" spans="1:3" ht="15.75">
      <c r="A7" s="2" t="s">
        <v>3324</v>
      </c>
      <c r="B7" s="53">
        <v>15000</v>
      </c>
      <c r="C7" s="223" t="str">
        <f t="shared" si="0"/>
        <v>ggggggggggggggg</v>
      </c>
    </row>
    <row r="8" spans="1:3" ht="15.75">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5"/>
  <cols>
    <col min="1" max="1" width="17.7109375" bestFit="1" customWidth="1"/>
    <col min="2" max="2" width="26.42578125" bestFit="1" customWidth="1"/>
    <col min="3" max="3" width="21.42578125" bestFit="1" customWidth="1"/>
    <col min="4" max="4" width="23.85546875" bestFit="1" customWidth="1"/>
    <col min="7" max="7" width="12.140625" customWidth="1"/>
    <col min="8" max="8" width="25.710937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5"/>
  <cols>
    <col min="1" max="1" width="9.5703125" customWidth="1"/>
    <col min="2" max="3" width="13.28515625" customWidth="1"/>
    <col min="6" max="6" width="40.570312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5"/>
  <cols>
    <col min="1" max="1" width="41.5703125" bestFit="1" customWidth="1"/>
    <col min="2" max="2" width="9.85546875" bestFit="1" customWidth="1"/>
    <col min="3" max="3" width="7.5703125" bestFit="1" customWidth="1"/>
  </cols>
  <sheetData>
    <row r="1" spans="1:3">
      <c r="A1" s="374" t="s">
        <v>1716</v>
      </c>
      <c r="B1" s="374"/>
      <c r="C1" s="374"/>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5"/>
  <cols>
    <col min="4" max="4" width="76.4257812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5"/>
  <cols>
    <col min="1" max="1" width="6.140625" bestFit="1" customWidth="1"/>
    <col min="2" max="2" width="15.7109375" bestFit="1" customWidth="1"/>
    <col min="3" max="3" width="22.5703125" bestFit="1" customWidth="1"/>
    <col min="4" max="4" width="15.85546875" bestFit="1" customWidth="1"/>
    <col min="5" max="5" width="24.14062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5"/>
  <cols>
    <col min="1" max="1" width="16.85546875" bestFit="1" customWidth="1"/>
    <col min="2" max="2" width="15" bestFit="1" customWidth="1"/>
    <col min="3" max="3" width="12.28515625" bestFit="1" customWidth="1"/>
    <col min="6" max="6" width="15" bestFit="1" customWidth="1"/>
    <col min="7" max="7" width="12.28515625" bestFit="1" customWidth="1"/>
    <col min="8" max="8" width="45.14062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5"/>
  <cols>
    <col min="1" max="1" width="6.5703125" bestFit="1" customWidth="1"/>
    <col min="2" max="2" width="14" bestFit="1" customWidth="1"/>
    <col min="3" max="3" width="16.85546875" bestFit="1" customWidth="1"/>
    <col min="4" max="4" width="15.140625" bestFit="1" customWidth="1"/>
    <col min="5" max="5" width="22.710937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5"/>
  <cols>
    <col min="1" max="1" width="19" bestFit="1" customWidth="1"/>
    <col min="2" max="2" width="21.5703125" bestFit="1" customWidth="1"/>
  </cols>
  <sheetData>
    <row r="1" spans="1:2" ht="17.25">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5"/>
  <cols>
    <col min="1" max="1" width="23.5703125" bestFit="1" customWidth="1"/>
    <col min="2" max="2" width="24.7109375" bestFit="1" customWidth="1"/>
    <col min="3" max="3" width="26.4257812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5"/>
  <cols>
    <col min="1" max="1" width="6.5703125" customWidth="1"/>
    <col min="2" max="2" width="12.85546875" customWidth="1"/>
    <col min="3" max="3" width="8.140625" bestFit="1" customWidth="1"/>
    <col min="5" max="5" width="35.42578125" bestFit="1" customWidth="1"/>
    <col min="6" max="6" width="10.7109375" customWidth="1"/>
    <col min="7" max="7" width="61.710937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5"/>
  <cols>
    <col min="2" max="2" width="18.42578125" bestFit="1" customWidth="1"/>
    <col min="3" max="5" width="13.14062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53">
        <f>SUMIF(B2:B10,A14,E2:E10)+SUMIF(B2:B10,A15,E2:E10)</f>
        <v>11400</v>
      </c>
    </row>
    <row r="15" spans="1:5">
      <c r="A15" s="2" t="s">
        <v>3409</v>
      </c>
      <c r="B15" s="453"/>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5"/>
  <cols>
    <col min="1" max="1" width="28.85546875" bestFit="1" customWidth="1"/>
    <col min="2" max="2" width="12" bestFit="1" customWidth="1"/>
    <col min="3" max="3" width="22.5703125" bestFit="1" customWidth="1"/>
    <col min="6" max="6" width="45.285156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5"/>
  <cols>
    <col min="1" max="1" width="9.140625" customWidth="1"/>
    <col min="2" max="2" width="10.28515625" bestFit="1" customWidth="1"/>
    <col min="3" max="3" width="13.5703125" bestFit="1" customWidth="1"/>
    <col min="6" max="6" width="38.4257812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5"/>
  <cols>
    <col min="1" max="1" width="14.85546875" bestFit="1" customWidth="1"/>
    <col min="2" max="2" width="14.42578125" customWidth="1"/>
    <col min="3" max="3" width="27.42578125" bestFit="1" customWidth="1"/>
    <col min="6" max="6" width="43.140625" bestFit="1" customWidth="1"/>
    <col min="7" max="7" width="13.8554687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5"/>
  <cols>
    <col min="1" max="1" width="18.140625" bestFit="1" customWidth="1"/>
    <col min="2" max="2" width="22.42578125" bestFit="1" customWidth="1"/>
    <col min="3" max="3" width="12.42578125" bestFit="1" customWidth="1"/>
    <col min="6" max="6" width="34.85546875" bestFit="1" customWidth="1"/>
    <col min="7" max="7" width="11.8554687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5"/>
  <cols>
    <col min="1" max="1" width="9.85546875" bestFit="1" customWidth="1"/>
    <col min="2" max="2" width="12" bestFit="1" customWidth="1"/>
    <col min="4" max="4" width="8.28515625" bestFit="1" customWidth="1"/>
    <col min="5" max="5" width="16.85546875" bestFit="1" customWidth="1"/>
  </cols>
  <sheetData>
    <row r="1" spans="1:5">
      <c r="A1" s="1" t="s">
        <v>3134</v>
      </c>
      <c r="B1" s="1" t="s">
        <v>858</v>
      </c>
      <c r="D1" s="1" t="s">
        <v>3459</v>
      </c>
      <c r="E1" s="1" t="s">
        <v>87</v>
      </c>
    </row>
    <row r="2" spans="1:5">
      <c r="A2" s="227" t="s">
        <v>3460</v>
      </c>
      <c r="B2" s="53">
        <v>20000</v>
      </c>
      <c r="D2" s="2" t="s">
        <v>3147</v>
      </c>
      <c r="E2" s="454">
        <f>SUM(SUMIFS(B2:B13,A2:A13,{"Q2*","Q3*"}))</f>
        <v>104000</v>
      </c>
    </row>
    <row r="3" spans="1:5">
      <c r="A3" s="227" t="s">
        <v>3461</v>
      </c>
      <c r="B3" s="53">
        <v>21000</v>
      </c>
      <c r="D3" s="2" t="s">
        <v>3148</v>
      </c>
      <c r="E3" s="455"/>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5"/>
  <cols>
    <col min="1" max="1" width="32.7109375" customWidth="1"/>
    <col min="2" max="2" width="7.5703125" bestFit="1" customWidth="1"/>
    <col min="3" max="3" width="15.85546875" bestFit="1" customWidth="1"/>
    <col min="4" max="4" width="12.5703125" bestFit="1" customWidth="1"/>
    <col min="5" max="5" width="10.14062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5">
      <c r="A14" s="8" t="s">
        <v>3476</v>
      </c>
      <c r="B14" s="47">
        <f>SUM(SUMIFS(D2:D11,C2:C11,{"Angel Phelps","Stewart White"},E2:E11,"&gt;=2/1/2022",E2:E11,"&lt;=3/31/2022"))</f>
        <v>0</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5"/>
  <cols>
    <col min="1" max="1" width="13.42578125" customWidth="1"/>
    <col min="2" max="3" width="12" bestFit="1" customWidth="1"/>
    <col min="4" max="4" width="18.570312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5"/>
  <cols>
    <col min="1" max="1" width="11.140625" bestFit="1" customWidth="1"/>
    <col min="6" max="6" width="13.5703125" bestFit="1" customWidth="1"/>
    <col min="7" max="7" width="9.8554687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5"/>
  <cols>
    <col min="1" max="1" width="19.85546875" bestFit="1" customWidth="1"/>
    <col min="2" max="2" width="11.570312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5"/>
  <cols>
    <col min="4" max="4" width="19.8554687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5"/>
  <cols>
    <col min="1" max="1" width="15.5703125" bestFit="1" customWidth="1"/>
    <col min="2" max="2" width="14.42578125" bestFit="1" customWidth="1"/>
    <col min="5" max="5" width="8.5703125" bestFit="1" customWidth="1"/>
    <col min="6" max="6" width="12.42578125" bestFit="1" customWidth="1"/>
    <col min="7" max="7" width="16.5703125" bestFit="1" customWidth="1"/>
    <col min="8" max="8" width="9.28515625" bestFit="1" customWidth="1"/>
    <col min="9" max="9" width="11.85546875" bestFit="1" customWidth="1"/>
  </cols>
  <sheetData>
    <row r="1" spans="1:9">
      <c r="A1" s="1" t="s">
        <v>3509</v>
      </c>
      <c r="B1" s="1" t="s">
        <v>3510</v>
      </c>
      <c r="E1" s="374" t="s">
        <v>3501</v>
      </c>
      <c r="F1" s="374"/>
      <c r="G1" s="374"/>
      <c r="H1" s="374"/>
      <c r="I1" s="374"/>
    </row>
    <row r="2" spans="1:9" ht="18">
      <c r="A2" s="2">
        <v>3</v>
      </c>
      <c r="B2" s="2">
        <v>30</v>
      </c>
      <c r="E2" s="228" t="s">
        <v>3502</v>
      </c>
      <c r="F2" s="7">
        <f>SUM(A2:A7)/6</f>
        <v>8.5</v>
      </c>
      <c r="G2" s="7"/>
      <c r="H2" s="228" t="s">
        <v>3503</v>
      </c>
      <c r="I2" s="7">
        <f>SUM(B2:B7)/6</f>
        <v>56.666666666666664</v>
      </c>
    </row>
    <row r="3" spans="1:9" ht="18">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3.95" customHeight="1">
      <c r="A11" s="8" t="s">
        <v>3499</v>
      </c>
      <c r="B11" s="47">
        <f>SUM(G4:G9)/SQRT(SUM(H4:H9)*SUM(I4:I9))</f>
        <v>0.95048418999988593</v>
      </c>
    </row>
    <row r="12" spans="1:9" ht="63.95"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5"/>
  <cols>
    <col min="4" max="4" width="42.710937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5"/>
  <cols>
    <col min="1" max="1" width="5.5703125" bestFit="1" customWidth="1"/>
    <col min="2" max="2" width="15.7109375" customWidth="1"/>
    <col min="3" max="3" width="21.7109375" bestFit="1" customWidth="1"/>
    <col min="5" max="5" width="20.4257812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5"/>
  <cols>
    <col min="1" max="1" width="22.570312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5"/>
  <cols>
    <col min="1" max="1" width="15" bestFit="1" customWidth="1"/>
    <col min="2" max="2" width="16.42578125" customWidth="1"/>
    <col min="3" max="3" width="46.8554687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5"/>
  <cols>
    <col min="1" max="1" width="24.8554687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5"/>
  <cols>
    <col min="1" max="1" width="28.42578125" customWidth="1"/>
    <col min="2" max="2" width="13.28515625" bestFit="1" customWidth="1"/>
    <col min="3" max="3" width="12.5703125" bestFit="1" customWidth="1"/>
    <col min="4" max="4" width="13" bestFit="1" customWidth="1"/>
    <col min="5" max="5" width="23.8554687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5"/>
  <cols>
    <col min="1" max="1" width="23.85546875" bestFit="1" customWidth="1"/>
    <col min="2" max="2" width="14.140625" bestFit="1" customWidth="1"/>
    <col min="3" max="3" width="32.710937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5"/>
  <cols>
    <col min="1" max="1" width="15.42578125" customWidth="1"/>
    <col min="2" max="2" width="9.85546875" bestFit="1" customWidth="1"/>
    <col min="3" max="3" width="8.14062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60">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5"/>
  <cols>
    <col min="1" max="1" width="13.140625" bestFit="1" customWidth="1"/>
    <col min="2" max="2" width="9.85546875" bestFit="1" customWidth="1"/>
    <col min="3" max="3" width="15.710937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5"/>
  <cols>
    <col min="1" max="1" width="7" bestFit="1" customWidth="1"/>
    <col min="2" max="2" width="7.7109375" bestFit="1" customWidth="1"/>
    <col min="3" max="3" width="18.85546875" bestFit="1" customWidth="1"/>
    <col min="4" max="4" width="7.85546875" bestFit="1" customWidth="1"/>
  </cols>
  <sheetData>
    <row r="1" spans="1:4">
      <c r="A1" s="1" t="s">
        <v>9</v>
      </c>
      <c r="B1" s="1" t="s">
        <v>3552</v>
      </c>
      <c r="C1" s="1" t="s">
        <v>3553</v>
      </c>
      <c r="D1" s="1" t="s">
        <v>1384</v>
      </c>
    </row>
    <row r="2" spans="1:4">
      <c r="A2" s="2">
        <v>10</v>
      </c>
      <c r="B2" s="370" t="s">
        <v>3554</v>
      </c>
      <c r="C2" s="2" t="s">
        <v>2185</v>
      </c>
      <c r="D2" s="7">
        <f>A2+FALSE()</f>
        <v>10</v>
      </c>
    </row>
    <row r="3" spans="1:4">
      <c r="A3" s="2">
        <v>20</v>
      </c>
      <c r="B3" s="371"/>
      <c r="C3" s="2" t="s">
        <v>2184</v>
      </c>
      <c r="D3" s="7">
        <f>A3-FALSE()</f>
        <v>20</v>
      </c>
    </row>
    <row r="4" spans="1:4">
      <c r="A4" s="2">
        <v>30</v>
      </c>
      <c r="B4" s="371"/>
      <c r="C4" s="2" t="s">
        <v>2187</v>
      </c>
      <c r="D4" s="7">
        <f>A4*FALSE()</f>
        <v>0</v>
      </c>
    </row>
    <row r="5" spans="1:4">
      <c r="A5" s="2">
        <v>40</v>
      </c>
      <c r="B5" s="372"/>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5"/>
  <cols>
    <col min="1" max="1" width="16.28515625" bestFit="1" customWidth="1"/>
    <col min="2" max="2" width="19.28515625" bestFit="1" customWidth="1"/>
    <col min="3" max="3" width="39.85546875" bestFit="1" customWidth="1"/>
  </cols>
  <sheetData>
    <row r="1" spans="1:3">
      <c r="A1" s="1" t="s">
        <v>3558</v>
      </c>
      <c r="B1" s="1" t="s">
        <v>3559</v>
      </c>
      <c r="C1" s="1" t="s">
        <v>1145</v>
      </c>
    </row>
    <row r="2" spans="1:3">
      <c r="A2" s="3" t="s">
        <v>3560</v>
      </c>
      <c r="B2" s="7">
        <f ca="1">RANDBETWEEN(100,200)</f>
        <v>146</v>
      </c>
      <c r="C2" s="55" t="s">
        <v>3570</v>
      </c>
    </row>
    <row r="3" spans="1:3">
      <c r="A3" s="3" t="s">
        <v>3561</v>
      </c>
      <c r="B3" s="7">
        <f t="shared" ref="B3:B11" ca="1" si="0">RANDBETWEEN(100,200)</f>
        <v>195</v>
      </c>
      <c r="C3" s="55" t="s">
        <v>3571</v>
      </c>
    </row>
    <row r="4" spans="1:3">
      <c r="A4" s="3" t="s">
        <v>3562</v>
      </c>
      <c r="B4" s="7">
        <f t="shared" ca="1" si="0"/>
        <v>156</v>
      </c>
      <c r="C4" s="55" t="s">
        <v>3572</v>
      </c>
    </row>
    <row r="5" spans="1:3">
      <c r="A5" s="3" t="s">
        <v>3563</v>
      </c>
      <c r="B5" s="7">
        <f t="shared" ca="1" si="0"/>
        <v>116</v>
      </c>
      <c r="C5" s="55" t="s">
        <v>3573</v>
      </c>
    </row>
    <row r="6" spans="1:3">
      <c r="A6" s="3" t="s">
        <v>3564</v>
      </c>
      <c r="B6" s="7">
        <f t="shared" ca="1" si="0"/>
        <v>179</v>
      </c>
      <c r="C6" s="55" t="s">
        <v>3574</v>
      </c>
    </row>
    <row r="7" spans="1:3">
      <c r="A7" s="3" t="s">
        <v>3565</v>
      </c>
      <c r="B7" s="7">
        <f t="shared" ca="1" si="0"/>
        <v>114</v>
      </c>
      <c r="C7" s="55" t="s">
        <v>3575</v>
      </c>
    </row>
    <row r="8" spans="1:3">
      <c r="A8" s="3" t="s">
        <v>3566</v>
      </c>
      <c r="B8" s="7">
        <f t="shared" ca="1" si="0"/>
        <v>112</v>
      </c>
      <c r="C8" s="55" t="s">
        <v>3576</v>
      </c>
    </row>
    <row r="9" spans="1:3">
      <c r="A9" s="3" t="s">
        <v>3567</v>
      </c>
      <c r="B9" s="7">
        <f t="shared" ca="1" si="0"/>
        <v>115</v>
      </c>
      <c r="C9" s="55" t="s">
        <v>3577</v>
      </c>
    </row>
    <row r="10" spans="1:3">
      <c r="A10" s="3" t="s">
        <v>3568</v>
      </c>
      <c r="B10" s="7">
        <f t="shared" ca="1" si="0"/>
        <v>142</v>
      </c>
      <c r="C10" s="55" t="s">
        <v>3578</v>
      </c>
    </row>
    <row r="11" spans="1:3">
      <c r="A11" s="3" t="s">
        <v>3569</v>
      </c>
      <c r="B11" s="7">
        <f t="shared" ca="1" si="0"/>
        <v>168</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5"/>
  <cols>
    <col min="1" max="1" width="14.5703125" bestFit="1" customWidth="1"/>
    <col min="2" max="2" width="14.5703125" customWidth="1"/>
    <col min="3" max="3" width="26.140625" bestFit="1" customWidth="1"/>
  </cols>
  <sheetData>
    <row r="1" spans="1:3">
      <c r="A1" s="1" t="s">
        <v>3556</v>
      </c>
      <c r="B1" s="1" t="s">
        <v>3557</v>
      </c>
      <c r="C1" s="1" t="s">
        <v>3580</v>
      </c>
    </row>
    <row r="2" spans="1:3">
      <c r="A2" s="2">
        <v>50</v>
      </c>
      <c r="B2" s="2">
        <v>60</v>
      </c>
      <c r="C2" s="7">
        <f ca="1">RANDBETWEEN(A2,B2)</f>
        <v>59</v>
      </c>
    </row>
    <row r="3" spans="1:3">
      <c r="A3" s="2">
        <v>100</v>
      </c>
      <c r="B3" s="2">
        <v>150</v>
      </c>
      <c r="C3" s="7">
        <f ca="1">RANDBETWEEN(A3,B3)</f>
        <v>144</v>
      </c>
    </row>
    <row r="4" spans="1:3">
      <c r="A4" s="2">
        <v>23</v>
      </c>
      <c r="B4" s="2">
        <v>42</v>
      </c>
      <c r="C4" s="7">
        <f ca="1">RANDBETWEEN(A4,B4)</f>
        <v>27</v>
      </c>
    </row>
    <row r="5" spans="1:3">
      <c r="A5" s="2">
        <v>1</v>
      </c>
      <c r="B5" s="2">
        <v>8</v>
      </c>
      <c r="C5" s="7">
        <f ca="1">RANDBETWEEN(A5,B5)</f>
        <v>7</v>
      </c>
    </row>
    <row r="6" spans="1:3">
      <c r="A6" s="2">
        <v>47</v>
      </c>
      <c r="B6" s="2">
        <v>50</v>
      </c>
      <c r="C6" s="7">
        <f ca="1">RANDBETWEEN(A6,B6)</f>
        <v>49</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5"/>
  <cols>
    <col min="1" max="2" width="15.85546875" customWidth="1"/>
  </cols>
  <sheetData>
    <row r="1" spans="1:2">
      <c r="A1" s="374" t="s">
        <v>3581</v>
      </c>
      <c r="B1" s="374"/>
    </row>
    <row r="2" spans="1:2">
      <c r="A2" s="7">
        <f t="shared" ref="A2:B6" ca="1" si="0">RANDBETWEEN(250,300)</f>
        <v>289</v>
      </c>
      <c r="B2" s="7">
        <f t="shared" ca="1" si="0"/>
        <v>251</v>
      </c>
    </row>
    <row r="3" spans="1:2">
      <c r="A3" s="7">
        <f t="shared" ca="1" si="0"/>
        <v>288</v>
      </c>
      <c r="B3" s="7">
        <f t="shared" ca="1" si="0"/>
        <v>298</v>
      </c>
    </row>
    <row r="4" spans="1:2">
      <c r="A4" s="7">
        <f t="shared" ca="1" si="0"/>
        <v>261</v>
      </c>
      <c r="B4" s="7">
        <f t="shared" ca="1" si="0"/>
        <v>272</v>
      </c>
    </row>
    <row r="5" spans="1:2">
      <c r="A5" s="7">
        <f t="shared" ca="1" si="0"/>
        <v>283</v>
      </c>
      <c r="B5" s="7">
        <f t="shared" ca="1" si="0"/>
        <v>296</v>
      </c>
    </row>
    <row r="6" spans="1:2">
      <c r="A6" s="7">
        <f t="shared" ca="1" si="0"/>
        <v>290</v>
      </c>
      <c r="B6" s="7">
        <f ca="1">RANDBETWEEN(250,300)</f>
        <v>289</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5"/>
  <cols>
    <col min="1" max="1" width="12.42578125" bestFit="1" customWidth="1"/>
    <col min="2" max="2" width="15.85546875" bestFit="1" customWidth="1"/>
    <col min="3" max="3" width="16.5703125" bestFit="1" customWidth="1"/>
    <col min="4" max="4" width="25.85546875" bestFit="1" customWidth="1"/>
  </cols>
  <sheetData>
    <row r="1" spans="1:4">
      <c r="A1" s="1" t="s">
        <v>3583</v>
      </c>
      <c r="B1" s="1" t="s">
        <v>3605</v>
      </c>
      <c r="C1" s="1" t="s">
        <v>3582</v>
      </c>
      <c r="D1" s="1" t="s">
        <v>3606</v>
      </c>
    </row>
    <row r="2" spans="1:4">
      <c r="A2" s="2">
        <v>1</v>
      </c>
      <c r="B2" s="2">
        <v>40</v>
      </c>
      <c r="C2" s="2">
        <v>80</v>
      </c>
      <c r="D2" s="7">
        <f ca="1">RANDBETWEEN(B2*100,C2*100)/100</f>
        <v>53.15</v>
      </c>
    </row>
    <row r="3" spans="1:4">
      <c r="A3" s="2">
        <v>2</v>
      </c>
      <c r="B3" s="2">
        <v>10</v>
      </c>
      <c r="C3" s="2">
        <v>30</v>
      </c>
      <c r="D3" s="7">
        <f ca="1">RANDBETWEEN(B3*100,C3*100)/100</f>
        <v>11.41</v>
      </c>
    </row>
    <row r="4" spans="1:4">
      <c r="A4" s="2">
        <v>3</v>
      </c>
      <c r="B4" s="2">
        <v>65</v>
      </c>
      <c r="C4" s="2">
        <v>100</v>
      </c>
      <c r="D4" s="7">
        <f ca="1">RANDBETWEEN(B4*100,C4*100)/100</f>
        <v>77.89</v>
      </c>
    </row>
    <row r="5" spans="1:4">
      <c r="A5" s="2">
        <v>4</v>
      </c>
      <c r="B5" s="2">
        <v>25</v>
      </c>
      <c r="C5" s="2">
        <v>50</v>
      </c>
      <c r="D5" s="7">
        <f ca="1">RANDBETWEEN(B5*100,C5*100)/100</f>
        <v>34.520000000000003</v>
      </c>
    </row>
    <row r="6" spans="1:4">
      <c r="A6" s="2">
        <v>5</v>
      </c>
      <c r="B6" s="2">
        <v>250</v>
      </c>
      <c r="C6" s="2">
        <v>500</v>
      </c>
      <c r="D6" s="7">
        <f ca="1">RANDBETWEEN(B6*100,C6*100)/100</f>
        <v>294.86</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5"/>
  <cols>
    <col min="1" max="1" width="9.7109375" bestFit="1" customWidth="1"/>
    <col min="2" max="2" width="10.140625" bestFit="1" customWidth="1"/>
    <col min="4" max="4" width="16.7109375" bestFit="1" customWidth="1"/>
  </cols>
  <sheetData>
    <row r="1" spans="1:4">
      <c r="A1" s="1" t="s">
        <v>201</v>
      </c>
      <c r="B1" s="1" t="s">
        <v>706</v>
      </c>
      <c r="D1" s="1" t="s">
        <v>3589</v>
      </c>
    </row>
    <row r="2" spans="1:4">
      <c r="A2" s="2" t="s">
        <v>3477</v>
      </c>
      <c r="B2" s="20">
        <v>44581</v>
      </c>
      <c r="D2" s="66">
        <f ca="1">INDEX(A5:B8,RANDBETWEEN(1,4),2)</f>
        <v>44651</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5"/>
  <cols>
    <col min="1" max="1" width="18.28515625" bestFit="1" customWidth="1"/>
    <col min="2" max="2" width="14.42578125" bestFit="1" customWidth="1"/>
  </cols>
  <sheetData>
    <row r="1" spans="1:2">
      <c r="A1" s="1" t="s">
        <v>3590</v>
      </c>
      <c r="B1" s="1" t="s">
        <v>3591</v>
      </c>
    </row>
    <row r="2" spans="1:2">
      <c r="A2" s="3" t="s">
        <v>3592</v>
      </c>
      <c r="B2" s="57" t="str">
        <f ca="1">CHAR(RANDBETWEEN(CODE("A"),CODE("D")))</f>
        <v>D</v>
      </c>
    </row>
    <row r="3" spans="1:2">
      <c r="A3" s="3" t="s">
        <v>3593</v>
      </c>
      <c r="B3" s="57" t="str">
        <f t="shared" ref="B3:B9" ca="1" si="0">CHAR(RANDBETWEEN(CODE("A"),CODE("D")))</f>
        <v>D</v>
      </c>
    </row>
    <row r="4" spans="1:2">
      <c r="A4" s="3" t="s">
        <v>3594</v>
      </c>
      <c r="B4" s="57" t="str">
        <f t="shared" ca="1" si="0"/>
        <v>C</v>
      </c>
    </row>
    <row r="5" spans="1:2">
      <c r="A5" s="3" t="s">
        <v>3595</v>
      </c>
      <c r="B5" s="57" t="str">
        <f ca="1">CHAR(RANDBETWEEN(CODE("A"),CODE("D")))</f>
        <v>C</v>
      </c>
    </row>
    <row r="6" spans="1:2">
      <c r="A6" s="3" t="s">
        <v>3596</v>
      </c>
      <c r="B6" s="57" t="str">
        <f ca="1">CHAR(RANDBETWEEN(CODE("A"),CODE("D")))</f>
        <v>A</v>
      </c>
    </row>
    <row r="7" spans="1:2">
      <c r="A7" s="3" t="s">
        <v>3597</v>
      </c>
      <c r="B7" s="57" t="str">
        <f t="shared" ca="1" si="0"/>
        <v>B</v>
      </c>
    </row>
    <row r="8" spans="1:2">
      <c r="A8" s="3" t="s">
        <v>3598</v>
      </c>
      <c r="B8" s="57" t="str">
        <f ca="1">CHAR(RANDBETWEEN(CODE("A"),CODE("D")))</f>
        <v>C</v>
      </c>
    </row>
    <row r="9" spans="1:2">
      <c r="A9" s="3" t="s">
        <v>3599</v>
      </c>
      <c r="B9" s="57" t="str">
        <f t="shared" ca="1" si="0"/>
        <v>B</v>
      </c>
    </row>
    <row r="10" spans="1:2">
      <c r="A10" s="3" t="s">
        <v>3600</v>
      </c>
      <c r="B10" s="57" t="str">
        <f ca="1">CHAR(RANDBETWEEN(CODE("A"),CODE("D")))</f>
        <v>C</v>
      </c>
    </row>
    <row r="11" spans="1:2">
      <c r="A11" s="3" t="s">
        <v>3601</v>
      </c>
      <c r="B11" s="57" t="str">
        <f ca="1">CHAR(RANDBETWEEN(CODE("A"),CODE("D")))</f>
        <v>C</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5"/>
  <cols>
    <col min="1" max="6" width="10.42578125" bestFit="1" customWidth="1"/>
  </cols>
  <sheetData>
    <row r="1" spans="1:6">
      <c r="A1" s="374" t="s">
        <v>3602</v>
      </c>
      <c r="B1" s="374"/>
      <c r="C1" s="374"/>
      <c r="D1" s="374"/>
      <c r="E1" s="374"/>
      <c r="F1" s="374"/>
    </row>
    <row r="2" spans="1:6">
      <c r="A2" s="66">
        <f t="shared" ref="A2:F2" ca="1" si="0">RANDBETWEEN(DATEVALUE("1-Oct-2022"),DATEVALUE("20-Oct-2022"))</f>
        <v>44847</v>
      </c>
      <c r="B2" s="66">
        <f t="shared" ca="1" si="0"/>
        <v>44835</v>
      </c>
      <c r="C2" s="66">
        <f t="shared" ca="1" si="0"/>
        <v>44850</v>
      </c>
      <c r="D2" s="66">
        <f t="shared" ca="1" si="0"/>
        <v>44854</v>
      </c>
      <c r="E2" s="66">
        <f t="shared" ca="1" si="0"/>
        <v>44846</v>
      </c>
      <c r="F2" s="66">
        <f t="shared" ca="1" si="0"/>
        <v>44850</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5"/>
  <cols>
    <col min="1" max="1" width="26.140625" customWidth="1"/>
    <col min="2" max="2" width="26.85546875" customWidth="1"/>
  </cols>
  <sheetData>
    <row r="1" spans="1:18" ht="45">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5"/>
  <cols>
    <col min="1" max="3" width="9.140625" bestFit="1" customWidth="1"/>
    <col min="4" max="4" width="38.42578125" bestFit="1" customWidth="1"/>
    <col min="5" max="5" width="15.5703125" bestFit="1" customWidth="1"/>
    <col min="6" max="6" width="32.14062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5"/>
  <cols>
    <col min="1" max="6" width="12" bestFit="1" customWidth="1"/>
    <col min="7" max="7" width="10.14062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5"/>
  <cols>
    <col min="1" max="1" width="28.140625" bestFit="1" customWidth="1"/>
    <col min="2" max="4" width="18.4257812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74" t="s">
        <v>3631</v>
      </c>
      <c r="B9" s="374"/>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5"/>
  <cols>
    <col min="1" max="1" width="41.140625" bestFit="1" customWidth="1"/>
    <col min="2" max="2" width="44.140625" bestFit="1" customWidth="1"/>
    <col min="3" max="3" width="33.4257812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5"/>
  <cols>
    <col min="2" max="2" width="26.42578125" bestFit="1" customWidth="1"/>
    <col min="5" max="5" width="23.5703125" bestFit="1" customWidth="1"/>
    <col min="8" max="8" width="29.570312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5"/>
  <cols>
    <col min="1" max="1" width="30.28515625" bestFit="1" customWidth="1"/>
    <col min="2" max="2" width="22.5703125" bestFit="1" customWidth="1"/>
    <col min="3" max="3" width="15.7109375" bestFit="1" customWidth="1"/>
    <col min="4" max="4" width="21.14062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5"/>
  <cols>
    <col min="1" max="1" width="7.42578125" bestFit="1" customWidth="1"/>
    <col min="2" max="3" width="16.14062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5"/>
  <cols>
    <col min="1" max="1" width="7.42578125" bestFit="1" customWidth="1"/>
    <col min="2" max="3" width="16.14062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5"/>
  <cols>
    <col min="1" max="1" width="7.42578125" bestFit="1" customWidth="1"/>
    <col min="2" max="3" width="22.570312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5" outlineLevelRow="1"/>
  <cols>
    <col min="1" max="1" width="10.28515625" bestFit="1" customWidth="1"/>
    <col min="2" max="2" width="35.5703125" bestFit="1" customWidth="1"/>
    <col min="3" max="6" width="16.8554687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5"/>
  <cols>
    <col min="1" max="1" width="17.85546875" bestFit="1" customWidth="1"/>
    <col min="2" max="2" width="26.7109375" bestFit="1" customWidth="1"/>
    <col min="3" max="3" width="21.5703125" bestFit="1" customWidth="1"/>
    <col min="4" max="4" width="24.140625" bestFit="1" customWidth="1"/>
    <col min="5" max="5" width="21.570312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5"/>
  <cols>
    <col min="1" max="1" width="17.85546875" bestFit="1" customWidth="1"/>
    <col min="2" max="2" width="24.140625" bestFit="1" customWidth="1"/>
    <col min="3" max="4" width="21.5703125" bestFit="1" customWidth="1"/>
    <col min="5" max="5" width="26.710937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5" outlineLevelRow="1"/>
  <cols>
    <col min="1" max="1" width="17.85546875" bestFit="1" customWidth="1"/>
    <col min="2" max="2" width="6.85546875" customWidth="1"/>
    <col min="3" max="3" width="26.42578125" bestFit="1" customWidth="1"/>
    <col min="4" max="4" width="21.42578125" bestFit="1" customWidth="1"/>
    <col min="5" max="5" width="23.85546875" bestFit="1" customWidth="1"/>
    <col min="6" max="6" width="21.570312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5"/>
  <cols>
    <col min="1" max="1" width="25.42578125" style="14" bestFit="1" customWidth="1"/>
    <col min="2" max="2" width="16.5703125" bestFit="1" customWidth="1"/>
    <col min="3" max="3" width="16.85546875" bestFit="1" customWidth="1"/>
    <col min="4" max="4" width="17.4257812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5"/>
  <cols>
    <col min="1" max="1" width="25.42578125" bestFit="1" customWidth="1"/>
    <col min="2" max="2" width="16.5703125" bestFit="1" customWidth="1"/>
    <col min="3" max="3" width="16.85546875" bestFit="1" customWidth="1"/>
    <col min="4" max="4" width="17.4257812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5"/>
  <cols>
    <col min="1" max="1" width="25.42578125" bestFit="1" customWidth="1"/>
    <col min="2" max="2" width="23.140625" bestFit="1" customWidth="1"/>
    <col min="3" max="3" width="23.42578125" bestFit="1" customWidth="1"/>
    <col min="4" max="4" width="23.8554687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5"/>
  <cols>
    <col min="1" max="2" width="11.14062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5"/>
  <cols>
    <col min="1" max="1" width="8.7109375" customWidth="1"/>
    <col min="2" max="3" width="14.570312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5"/>
  <cols>
    <col min="2" max="3" width="14.570312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5"/>
  <cols>
    <col min="2" max="2" width="20.85546875" bestFit="1" customWidth="1"/>
    <col min="3" max="3" width="21.4257812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5"/>
  <cols>
    <col min="1" max="1" width="10.42578125" bestFit="1" customWidth="1"/>
    <col min="2" max="2" width="11.7109375" customWidth="1"/>
    <col min="3" max="3" width="26.5703125" bestFit="1" customWidth="1"/>
    <col min="4" max="4" width="25.5703125" bestFit="1" customWidth="1"/>
    <col min="5" max="5" width="33.4257812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5"/>
  <cols>
    <col min="3" max="3" width="11.140625" customWidth="1"/>
    <col min="4" max="4" width="19.42578125" bestFit="1" customWidth="1"/>
    <col min="5" max="5" width="7.5703125" customWidth="1"/>
    <col min="10" max="10" width="6.85546875" bestFit="1" customWidth="1"/>
    <col min="11" max="11" width="48.42578125" bestFit="1" customWidth="1"/>
  </cols>
  <sheetData>
    <row r="1" spans="3:11" ht="15.75" thickBot="1"/>
    <row r="2" spans="3:11" ht="15.7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5.75" thickBot="1">
      <c r="C12" s="174">
        <v>21</v>
      </c>
      <c r="D12" s="171" t="s">
        <v>2272</v>
      </c>
      <c r="E12" s="168">
        <v>2</v>
      </c>
    </row>
    <row r="13" spans="3:11" ht="15.75" thickBot="1"/>
    <row r="14" spans="3:11">
      <c r="J14" s="230" t="s">
        <v>3725</v>
      </c>
      <c r="K14" s="231" t="s">
        <v>3731</v>
      </c>
    </row>
    <row r="15" spans="3:11">
      <c r="J15" s="157">
        <v>1</v>
      </c>
      <c r="K15" s="232" t="s">
        <v>3732</v>
      </c>
    </row>
    <row r="16" spans="3:11" ht="60.75"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5"/>
  <cols>
    <col min="1" max="1" width="28.5703125" bestFit="1" customWidth="1"/>
    <col min="2" max="2" width="9.42578125" bestFit="1" customWidth="1"/>
    <col min="3" max="3" width="6.85546875" bestFit="1" customWidth="1"/>
    <col min="4" max="4" width="14.4257812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5"/>
  <cols>
    <col min="2" max="2" width="9.7109375" bestFit="1" customWidth="1"/>
    <col min="3" max="3" width="9.8554687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5"/>
  <cols>
    <col min="2" max="2" width="9.42578125" bestFit="1" customWidth="1"/>
    <col min="3" max="3" width="43.570312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5"/>
  <cols>
    <col min="1" max="1" width="13.5703125" bestFit="1" customWidth="1"/>
    <col min="2" max="2" width="14" bestFit="1" customWidth="1"/>
    <col min="3" max="3" width="9.42578125" bestFit="1" customWidth="1"/>
    <col min="8" max="8" width="18.7109375" bestFit="1" customWidth="1"/>
  </cols>
  <sheetData>
    <row r="1" spans="1:8">
      <c r="A1" s="1" t="s">
        <v>387</v>
      </c>
      <c r="B1" s="1" t="s">
        <v>3743</v>
      </c>
      <c r="C1" s="1" t="s">
        <v>3744</v>
      </c>
      <c r="D1" s="1" t="s">
        <v>856</v>
      </c>
      <c r="G1" s="374" t="s">
        <v>3746</v>
      </c>
      <c r="H1" s="374"/>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5"/>
  <cols>
    <col min="1" max="1" width="9.14062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5"/>
  <cols>
    <col min="1" max="1" width="46.85546875" customWidth="1"/>
    <col min="2" max="2" width="12" bestFit="1" customWidth="1"/>
    <col min="3" max="3" width="10.140625" customWidth="1"/>
    <col min="4" max="4" width="10.140625" bestFit="1" customWidth="1"/>
    <col min="5" max="5" width="32" bestFit="1" customWidth="1"/>
  </cols>
  <sheetData>
    <row r="1" spans="1:5">
      <c r="A1" s="405" t="s">
        <v>3750</v>
      </c>
      <c r="B1" s="373"/>
      <c r="C1" s="373"/>
      <c r="D1" s="373"/>
    </row>
    <row r="2" spans="1:5">
      <c r="A2" s="1" t="s">
        <v>622</v>
      </c>
      <c r="B2" s="1" t="s">
        <v>3749</v>
      </c>
      <c r="C2" s="1" t="s">
        <v>3756</v>
      </c>
      <c r="D2" s="1" t="s">
        <v>3759</v>
      </c>
    </row>
    <row r="3" spans="1:5" ht="30">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74" t="s">
        <v>3760</v>
      </c>
      <c r="B8" s="374"/>
      <c r="C8" s="374"/>
      <c r="D8" s="62">
        <f>TDIST(C3,C4,C5)</f>
        <v>2.5473534368846622E-2</v>
      </c>
      <c r="E8" s="65" t="s">
        <v>3757</v>
      </c>
    </row>
    <row r="9" spans="1:5">
      <c r="A9" s="374" t="s">
        <v>3761</v>
      </c>
      <c r="B9" s="374"/>
      <c r="C9" s="374"/>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5"/>
  <cols>
    <col min="1" max="1" width="44.42578125" bestFit="1" customWidth="1"/>
    <col min="2" max="2" width="12" bestFit="1" customWidth="1"/>
    <col min="3" max="3" width="10.140625" customWidth="1"/>
    <col min="4" max="4" width="10.140625" bestFit="1" customWidth="1"/>
  </cols>
  <sheetData>
    <row r="1" spans="1:3">
      <c r="A1" s="405" t="s">
        <v>3750</v>
      </c>
      <c r="B1" s="373"/>
      <c r="C1" s="373"/>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5"/>
  <cols>
    <col min="1" max="1" width="24.42578125" bestFit="1" customWidth="1"/>
  </cols>
  <sheetData>
    <row r="1" spans="1:2">
      <c r="A1" s="374" t="s">
        <v>3764</v>
      </c>
      <c r="B1" s="374"/>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5"/>
  <cols>
    <col min="1" max="1" width="44.42578125" bestFit="1" customWidth="1"/>
    <col min="2" max="2" width="12" bestFit="1" customWidth="1"/>
    <col min="3" max="4" width="10.140625" bestFit="1" customWidth="1"/>
  </cols>
  <sheetData>
    <row r="1" spans="1:4">
      <c r="A1" s="374" t="s">
        <v>3750</v>
      </c>
      <c r="B1" s="374"/>
      <c r="C1" s="374"/>
      <c r="D1" s="374"/>
    </row>
    <row r="2" spans="1:4">
      <c r="A2" s="1" t="s">
        <v>622</v>
      </c>
      <c r="B2" s="1" t="s">
        <v>3749</v>
      </c>
      <c r="C2" s="1" t="s">
        <v>3756</v>
      </c>
      <c r="D2" s="1" t="s">
        <v>3759</v>
      </c>
    </row>
    <row r="3" spans="1:4" ht="30">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74" t="s">
        <v>3760</v>
      </c>
      <c r="B8" s="374"/>
      <c r="C8" s="374"/>
      <c r="D8" s="62">
        <f>1-TDIST(2,60,1)</f>
        <v>0.97498347817427122</v>
      </c>
    </row>
    <row r="9" spans="1:4">
      <c r="A9" s="374" t="s">
        <v>3761</v>
      </c>
      <c r="B9" s="374"/>
      <c r="C9" s="374"/>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5"/>
  <cols>
    <col min="1" max="1" width="44.42578125" bestFit="1" customWidth="1"/>
    <col min="2" max="3" width="13.140625" customWidth="1"/>
  </cols>
  <sheetData>
    <row r="1" spans="1:3">
      <c r="A1" s="374" t="s">
        <v>3779</v>
      </c>
      <c r="B1" s="374"/>
      <c r="C1" s="374"/>
    </row>
    <row r="2" spans="1:3">
      <c r="A2" s="1" t="s">
        <v>622</v>
      </c>
      <c r="B2" s="1" t="s">
        <v>3749</v>
      </c>
      <c r="C2" s="1" t="s">
        <v>1727</v>
      </c>
    </row>
    <row r="3" spans="1:3">
      <c r="A3" s="2" t="s">
        <v>3751</v>
      </c>
      <c r="B3" s="2" t="s">
        <v>3216</v>
      </c>
      <c r="C3" s="2">
        <v>0.8</v>
      </c>
    </row>
    <row r="4" spans="1:3">
      <c r="A4" s="2" t="s">
        <v>3752</v>
      </c>
      <c r="B4" s="2" t="s">
        <v>3753</v>
      </c>
      <c r="C4" s="2">
        <v>5</v>
      </c>
    </row>
    <row r="7" spans="1:3">
      <c r="A7" s="405" t="s">
        <v>3764</v>
      </c>
      <c r="B7" s="373"/>
      <c r="C7" s="373"/>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5"/>
  <cols>
    <col min="1" max="1" width="44.42578125" bestFit="1" customWidth="1"/>
    <col min="2" max="2" width="12" bestFit="1" customWidth="1"/>
    <col min="3" max="4" width="10.140625" bestFit="1" customWidth="1"/>
  </cols>
  <sheetData>
    <row r="1" spans="1:4">
      <c r="A1" s="374" t="s">
        <v>3750</v>
      </c>
      <c r="B1" s="374"/>
      <c r="C1" s="374"/>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74" t="s">
        <v>3780</v>
      </c>
      <c r="B8" s="374"/>
      <c r="C8" s="374"/>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5"/>
  <cols>
    <col min="1" max="1" width="11.140625" bestFit="1" customWidth="1"/>
    <col min="2" max="2" width="11.140625" customWidth="1"/>
    <col min="3" max="3" width="25.570312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5"/>
  <cols>
    <col min="1" max="1" width="10.140625" customWidth="1"/>
    <col min="2" max="2" width="11.14062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5"/>
  <cols>
    <col min="2" max="2" width="25" bestFit="1" customWidth="1"/>
    <col min="3" max="3" width="18.570312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5"/>
  <cols>
    <col min="1" max="1" width="11" customWidth="1"/>
    <col min="2" max="2" width="11.14062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5"/>
  <cols>
    <col min="2" max="2" width="14.4257812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5"/>
  <cols>
    <col min="1" max="1" width="10.140625" customWidth="1"/>
    <col min="2" max="2" width="11.8554687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5"/>
  <cols>
    <col min="1" max="1" width="36.140625" bestFit="1" customWidth="1"/>
    <col min="2" max="2" width="12.42578125" customWidth="1"/>
    <col min="3" max="4" width="10.85546875" customWidth="1"/>
    <col min="6" max="6" width="40.7109375" bestFit="1" customWidth="1"/>
  </cols>
  <sheetData>
    <row r="1" spans="1:6">
      <c r="A1" s="374" t="s">
        <v>3805</v>
      </c>
      <c r="B1" s="374"/>
      <c r="C1" s="374"/>
      <c r="D1" s="374"/>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74" t="s">
        <v>3800</v>
      </c>
      <c r="B9" s="374"/>
      <c r="C9" s="374"/>
      <c r="D9" s="374"/>
      <c r="E9" s="7">
        <f>_xlfn.NORM.DIST(C3,C4,C5,C6)</f>
        <v>0.99379033467422384</v>
      </c>
      <c r="F9" s="65" t="s">
        <v>3802</v>
      </c>
    </row>
    <row r="10" spans="1:6">
      <c r="A10" s="374" t="s">
        <v>3801</v>
      </c>
      <c r="B10" s="374"/>
      <c r="C10" s="374"/>
      <c r="D10" s="374"/>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5"/>
  <cols>
    <col min="1" max="1" width="34.28515625" bestFit="1" customWidth="1"/>
    <col min="2" max="2" width="12.42578125" bestFit="1" customWidth="1"/>
    <col min="3" max="3" width="10.140625" bestFit="1" customWidth="1"/>
    <col min="4" max="4" width="11.85546875" bestFit="1" customWidth="1"/>
  </cols>
  <sheetData>
    <row r="1" spans="1:4">
      <c r="A1" s="376" t="s">
        <v>3806</v>
      </c>
      <c r="B1" s="377"/>
      <c r="C1" s="378"/>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76" t="s">
        <v>3807</v>
      </c>
      <c r="B9" s="377"/>
      <c r="C9" s="378"/>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5"/>
  <cols>
    <col min="1" max="1" width="17.7109375" bestFit="1" customWidth="1"/>
    <col min="2" max="2" width="14.5703125" bestFit="1" customWidth="1"/>
    <col min="3" max="3" width="31.85546875" bestFit="1" customWidth="1"/>
    <col min="4" max="4" width="54.8554687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5"/>
  <cols>
    <col min="1" max="1" width="17.140625" bestFit="1" customWidth="1"/>
    <col min="2" max="2" width="14.140625" bestFit="1" customWidth="1"/>
    <col min="3" max="3" width="36.14062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5"/>
  <cols>
    <col min="1" max="1" width="34.28515625" bestFit="1" customWidth="1"/>
    <col min="2" max="2" width="12.42578125" bestFit="1" customWidth="1"/>
    <col min="3" max="4" width="10.140625" bestFit="1" customWidth="1"/>
    <col min="5" max="5" width="11.85546875" bestFit="1" customWidth="1"/>
  </cols>
  <sheetData>
    <row r="1" spans="1:5">
      <c r="A1" s="374" t="s">
        <v>3805</v>
      </c>
      <c r="B1" s="374"/>
      <c r="C1" s="374"/>
      <c r="D1" s="374"/>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74" t="s">
        <v>3800</v>
      </c>
      <c r="B9" s="374"/>
      <c r="C9" s="374"/>
      <c r="D9" s="374"/>
      <c r="E9" s="7">
        <f>_xlfn.NORM.DIST(C3,C4,C5,C6)</f>
        <v>0.84134474606854304</v>
      </c>
    </row>
    <row r="10" spans="1:5">
      <c r="A10" s="374" t="s">
        <v>3801</v>
      </c>
      <c r="B10" s="374"/>
      <c r="C10" s="374"/>
      <c r="D10" s="374"/>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5"/>
  <cols>
    <col min="1" max="1" width="34.28515625" bestFit="1" customWidth="1"/>
    <col min="2" max="2" width="12.42578125" bestFit="1" customWidth="1"/>
    <col min="3" max="4" width="10.140625" bestFit="1" customWidth="1"/>
    <col min="5" max="5" width="11.85546875" bestFit="1" customWidth="1"/>
  </cols>
  <sheetData>
    <row r="1" spans="1:5">
      <c r="A1" s="374" t="s">
        <v>3805</v>
      </c>
      <c r="B1" s="374"/>
      <c r="C1" s="374"/>
      <c r="D1" s="374"/>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74" t="s">
        <v>3800</v>
      </c>
      <c r="B9" s="374"/>
      <c r="C9" s="374"/>
      <c r="D9" s="374"/>
      <c r="E9" s="7">
        <f>_xlfn.NORM.DIST(C3,C4,C5,C6)</f>
        <v>0.97724986805182079</v>
      </c>
    </row>
    <row r="10" spans="1:5">
      <c r="A10" s="374" t="s">
        <v>3801</v>
      </c>
      <c r="B10" s="374"/>
      <c r="C10" s="374"/>
      <c r="D10" s="374"/>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5"/>
  <cols>
    <col min="1" max="1" width="34.28515625" bestFit="1" customWidth="1"/>
    <col min="2" max="2" width="12.85546875" customWidth="1"/>
    <col min="3" max="3" width="6.85546875" customWidth="1"/>
    <col min="4" max="4" width="11.85546875" bestFit="1" customWidth="1"/>
  </cols>
  <sheetData>
    <row r="1" spans="1:4">
      <c r="A1" s="376" t="s">
        <v>3806</v>
      </c>
      <c r="B1" s="377"/>
      <c r="C1" s="378"/>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76" t="s">
        <v>3807</v>
      </c>
      <c r="B9" s="377"/>
      <c r="C9" s="378"/>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5"/>
  <cols>
    <col min="3" max="3" width="17.42578125" bestFit="1" customWidth="1"/>
    <col min="4" max="4" width="28.285156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5"/>
  <cols>
    <col min="3" max="3" width="38.285156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5"/>
  <cols>
    <col min="1" max="1" width="11.28515625" bestFit="1" customWidth="1"/>
    <col min="2" max="2" width="11.28515625" customWidth="1"/>
    <col min="4" max="4" width="46.8554687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5"/>
  <cols>
    <col min="1" max="1" width="8.5703125" customWidth="1"/>
    <col min="8" max="8" width="16.28515625" bestFit="1" customWidth="1"/>
    <col min="15" max="15" width="16.7109375" customWidth="1"/>
  </cols>
  <sheetData>
    <row r="1" spans="1:15" ht="45">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5">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5"/>
  <cols>
    <col min="3" max="3" width="25.570312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5"/>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30">
      <c r="A13" s="8" t="s">
        <v>3839</v>
      </c>
      <c r="B13" s="47">
        <f>SUMPRODUCT((MOD(A2:A11,2)=0)*1)</f>
        <v>4</v>
      </c>
    </row>
    <row r="14" spans="1:2" ht="30">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5"/>
  <cols>
    <col min="1" max="1" width="30.42578125" bestFit="1" customWidth="1"/>
    <col min="2" max="2" width="7.5703125" bestFit="1" customWidth="1"/>
    <col min="3" max="3" width="5.85546875" customWidth="1"/>
    <col min="4" max="4" width="15.85546875" bestFit="1" customWidth="1"/>
    <col min="5" max="5" width="27.4257812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5"/>
  <cols>
    <col min="1" max="1" width="8" customWidth="1"/>
    <col min="2" max="2" width="8.5703125" customWidth="1"/>
    <col min="3" max="3" width="10.42578125" customWidth="1"/>
    <col min="14" max="14" width="11.8554687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5"/>
  <cols>
    <col min="1" max="2" width="10.85546875" bestFit="1" customWidth="1"/>
    <col min="3" max="9" width="8.7109375" customWidth="1"/>
    <col min="11" max="11" width="59.42578125" bestFit="1" customWidth="1"/>
    <col min="12" max="12" width="7.28515625" customWidth="1"/>
  </cols>
  <sheetData>
    <row r="1" spans="1:12">
      <c r="A1" s="1" t="s">
        <v>3851</v>
      </c>
      <c r="B1" s="1" t="s">
        <v>3852</v>
      </c>
      <c r="K1" s="374" t="s">
        <v>3853</v>
      </c>
      <c r="L1" s="374"/>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5"/>
  <cols>
    <col min="1" max="1" width="26.140625" bestFit="1" customWidth="1"/>
    <col min="2" max="3" width="10.14062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5"/>
  <cols>
    <col min="1" max="1" width="9.7109375" bestFit="1" customWidth="1"/>
    <col min="2" max="2" width="11.85546875" bestFit="1" customWidth="1"/>
  </cols>
  <sheetData>
    <row r="1" spans="1:2">
      <c r="A1" s="1" t="s">
        <v>2887</v>
      </c>
      <c r="B1" s="1" t="s">
        <v>1727</v>
      </c>
    </row>
    <row r="2" spans="1:2">
      <c r="A2" s="2" t="s">
        <v>3860</v>
      </c>
      <c r="B2" s="2">
        <v>400</v>
      </c>
    </row>
    <row r="3" spans="1:2" ht="18">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5"/>
  <cols>
    <col min="3" max="3" width="9.4257812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5"/>
  <cols>
    <col min="1" max="1" width="16" customWidth="1"/>
    <col min="2" max="2" width="38.7109375" bestFit="1" customWidth="1"/>
    <col min="3" max="3" width="22.7109375" bestFit="1" customWidth="1"/>
    <col min="4" max="4" width="26.8554687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45453.569377546293</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5"/>
  <cols>
    <col min="1" max="1" width="10.85546875" bestFit="1" customWidth="1"/>
    <col min="2" max="2" width="13" customWidth="1"/>
    <col min="3" max="3" width="23.570312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5"/>
  <cols>
    <col min="1" max="1" width="23.4257812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5"/>
  <cols>
    <col min="1" max="1" width="25.5703125" customWidth="1"/>
    <col min="2" max="2" width="9.285156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5"/>
  <cols>
    <col min="1" max="1" width="19.285156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5"/>
  <cols>
    <col min="1" max="1" width="22.42578125" bestFit="1" customWidth="1"/>
    <col min="2" max="2" width="20.4257812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5"/>
  <cols>
    <col min="1" max="1" width="11.140625" bestFit="1" customWidth="1"/>
    <col min="2" max="2" width="44.8554687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5"/>
  <cols>
    <col min="1" max="1" width="15.5703125" bestFit="1" customWidth="1"/>
    <col min="2" max="2" width="46.28515625" bestFit="1" customWidth="1"/>
    <col min="3" max="3" width="10.4257812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t="e">
        <f>INT("11/14/2022  10:45:00 AM")</f>
        <v>#VALUE!</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5"/>
  <cols>
    <col min="1" max="1" width="10.5703125" bestFit="1" customWidth="1"/>
    <col min="2" max="2" width="16.140625" bestFit="1" customWidth="1"/>
    <col min="3" max="3" width="22.8554687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5"/>
  <cols>
    <col min="1" max="1" width="15.140625" bestFit="1" customWidth="1"/>
    <col min="2" max="2" width="37.570312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t="e">
        <f>INT(VALUE(A4))</f>
        <v>#VALUE!</v>
      </c>
    </row>
    <row r="5" spans="1:2">
      <c r="A5" s="27" t="s">
        <v>3940</v>
      </c>
      <c r="B5" s="7">
        <f>INT(VALUE(A5))</f>
        <v>-1</v>
      </c>
    </row>
    <row r="6" spans="1:2">
      <c r="A6" s="27" t="s">
        <v>3941</v>
      </c>
      <c r="B6" s="66">
        <f>INT(VALUE(A6))</f>
        <v>44815</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5"/>
  <cols>
    <col min="1" max="1" width="14.85546875" bestFit="1" customWidth="1"/>
    <col min="2" max="2" width="11.85546875" bestFit="1" customWidth="1"/>
    <col min="3" max="3" width="37.8554687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5"/>
  <cols>
    <col min="1" max="1" width="13.42578125" bestFit="1" customWidth="1"/>
    <col min="2" max="2" width="18.570312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5"/>
  <cols>
    <col min="1" max="1" width="10.28515625" bestFit="1" customWidth="1"/>
    <col min="2" max="2" width="18.570312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5"/>
  <cols>
    <col min="2" max="2" width="26.14062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5"/>
  <cols>
    <col min="1" max="1" width="17.5703125" bestFit="1" customWidth="1"/>
    <col min="2" max="3" width="21.8554687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5"/>
  <cols>
    <col min="2" max="2" width="10.85546875" bestFit="1" customWidth="1"/>
    <col min="5" max="5" width="7.7109375" customWidth="1"/>
    <col min="6" max="6" width="16.570312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5"/>
  <cols>
    <col min="1" max="1" width="15.140625" bestFit="1" customWidth="1"/>
    <col min="2" max="2" width="26.7109375" bestFit="1" customWidth="1"/>
    <col min="5" max="5" width="12.5703125" bestFit="1" customWidth="1"/>
    <col min="6" max="6" width="26.710937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5"/>
  <cols>
    <col min="1" max="1" width="8.42578125" bestFit="1" customWidth="1"/>
    <col min="2" max="2" width="20.710937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5"/>
  <cols>
    <col min="1" max="1" width="25.85546875" bestFit="1" customWidth="1"/>
    <col min="2" max="2" width="20.85546875" bestFit="1" customWidth="1"/>
    <col min="3" max="3" width="13.140625" customWidth="1"/>
    <col min="4" max="4" width="33.14062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5"/>
  <cols>
    <col min="1" max="1" width="22.5703125" customWidth="1"/>
    <col min="2" max="2" width="22.140625" bestFit="1" customWidth="1"/>
    <col min="3" max="3" width="21.570312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5"/>
  <cols>
    <col min="1" max="1" width="60.5703125" bestFit="1" customWidth="1"/>
    <col min="2" max="2" width="44.5703125" bestFit="1" customWidth="1"/>
    <col min="3" max="3" width="45.4257812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5"/>
  <cols>
    <col min="1" max="1" width="53.28515625" bestFit="1" customWidth="1"/>
    <col min="2" max="2" width="31.8554687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5"/>
  <cols>
    <col min="1" max="1" width="9.7109375" customWidth="1"/>
    <col min="2" max="2" width="16.42578125" bestFit="1" customWidth="1"/>
    <col min="3" max="3" width="17.5703125" bestFit="1" customWidth="1"/>
    <col min="4" max="4" width="15.14062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5"/>
  <cols>
    <col min="1" max="1" width="38.5703125" bestFit="1" customWidth="1"/>
    <col min="2" max="2" width="37.140625" bestFit="1" customWidth="1"/>
    <col min="3" max="3" width="44.4257812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5"/>
  <cols>
    <col min="1" max="1" width="13.85546875" bestFit="1" customWidth="1"/>
    <col min="2" max="2" width="22.140625" bestFit="1" customWidth="1"/>
    <col min="3" max="3" width="11.8554687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5"/>
  <cols>
    <col min="1" max="2" width="7.5703125" bestFit="1" customWidth="1"/>
    <col min="4" max="4" width="28.140625" bestFit="1" customWidth="1"/>
    <col min="6" max="6" width="28.28515625" bestFit="1" customWidth="1"/>
  </cols>
  <sheetData>
    <row r="1" spans="1:10">
      <c r="A1" s="1" t="s">
        <v>4056</v>
      </c>
      <c r="B1" s="1" t="s">
        <v>4057</v>
      </c>
      <c r="D1" s="1" t="s">
        <v>4065</v>
      </c>
      <c r="F1" s="374" t="s">
        <v>4064</v>
      </c>
      <c r="G1" s="374"/>
      <c r="H1" s="374"/>
      <c r="I1" s="374"/>
      <c r="J1" s="374"/>
    </row>
    <row r="2" spans="1:10">
      <c r="A2" s="2">
        <v>95</v>
      </c>
      <c r="B2" s="2">
        <v>56</v>
      </c>
      <c r="D2" s="7">
        <f>FTEST(A2:A7,B2:B7)</f>
        <v>2.3371419529718972E-3</v>
      </c>
      <c r="F2" t="s">
        <v>4058</v>
      </c>
    </row>
    <row r="3" spans="1:10" ht="15.7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5.7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5"/>
  <cols>
    <col min="1" max="1" width="20.140625" bestFit="1" customWidth="1"/>
    <col min="2" max="2" width="22" bestFit="1" customWidth="1"/>
    <col min="4" max="4" width="28.140625" bestFit="1" customWidth="1"/>
    <col min="6" max="6" width="28.28515625" bestFit="1" customWidth="1"/>
    <col min="7" max="7" width="20.42578125" bestFit="1" customWidth="1"/>
    <col min="8" max="8" width="22.28515625" bestFit="1" customWidth="1"/>
  </cols>
  <sheetData>
    <row r="1" spans="1:8">
      <c r="A1" s="1" t="s">
        <v>4066</v>
      </c>
      <c r="B1" s="1" t="s">
        <v>4067</v>
      </c>
      <c r="D1" s="1" t="s">
        <v>4065</v>
      </c>
      <c r="F1" s="374" t="s">
        <v>4064</v>
      </c>
      <c r="G1" s="374"/>
      <c r="H1" s="374"/>
    </row>
    <row r="2" spans="1:8">
      <c r="A2" s="2">
        <v>69</v>
      </c>
      <c r="B2" s="2">
        <v>63</v>
      </c>
      <c r="D2" s="7">
        <f>FTEST(A2:A7,B2:B7)</f>
        <v>0.9913164679407247</v>
      </c>
      <c r="F2" t="s">
        <v>4058</v>
      </c>
    </row>
    <row r="3" spans="1:8" ht="15.7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5.7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5"/>
  <cols>
    <col min="1" max="2" width="14.4257812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60">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5"/>
  <cols>
    <col min="1" max="2" width="22.710937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5"/>
  <cols>
    <col min="1" max="2" width="20.28515625" bestFit="1" customWidth="1"/>
    <col min="4" max="4" width="28.28515625" bestFit="1" customWidth="1"/>
    <col min="5" max="6" width="20.85546875" bestFit="1" customWidth="1"/>
  </cols>
  <sheetData>
    <row r="1" spans="1:6">
      <c r="A1" s="1" t="s">
        <v>4075</v>
      </c>
      <c r="B1" s="1" t="s">
        <v>4076</v>
      </c>
      <c r="D1" s="376" t="s">
        <v>4064</v>
      </c>
      <c r="E1" s="377"/>
      <c r="F1" s="378"/>
    </row>
    <row r="2" spans="1:6">
      <c r="A2" s="2">
        <v>22</v>
      </c>
      <c r="B2" s="2">
        <v>30</v>
      </c>
      <c r="D2" t="s">
        <v>4058</v>
      </c>
    </row>
    <row r="3" spans="1:6" ht="15.7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5.7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5"/>
  <cols>
    <col min="1" max="2" width="24.710937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5"/>
  <cols>
    <col min="1" max="1" width="25.85546875" bestFit="1" customWidth="1"/>
    <col min="3" max="3" width="11.85546875" customWidth="1"/>
    <col min="4" max="4" width="24.285156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5"/>
  <cols>
    <col min="1" max="1" width="27.42578125" bestFit="1" customWidth="1"/>
    <col min="2" max="2" width="7.5703125" bestFit="1" customWidth="1"/>
    <col min="3" max="3" width="11.85546875" bestFit="1" customWidth="1"/>
    <col min="6" max="6" width="11.8554687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5"/>
  <cols>
    <col min="1" max="1" width="42" bestFit="1" customWidth="1"/>
    <col min="2" max="2" width="9.7109375" bestFit="1" customWidth="1"/>
    <col min="3" max="3" width="9.5703125" customWidth="1"/>
  </cols>
  <sheetData>
    <row r="1" spans="1:3" ht="18" thickBot="1">
      <c r="A1" s="409" t="s">
        <v>4107</v>
      </c>
      <c r="B1" s="410"/>
      <c r="C1" s="411"/>
    </row>
    <row r="2" spans="1:3" ht="15.7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5.75" thickBot="1">
      <c r="A6" s="174" t="s">
        <v>4095</v>
      </c>
      <c r="B6" s="171" t="s">
        <v>1722</v>
      </c>
      <c r="C6" s="168">
        <v>5</v>
      </c>
    </row>
    <row r="7" spans="1:3" ht="15.75" thickBot="1">
      <c r="A7" s="184"/>
      <c r="B7" s="14"/>
      <c r="C7" s="209"/>
    </row>
    <row r="8" spans="1:3" ht="15.7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5"/>
  <cols>
    <col min="1" max="1" width="13.28515625" bestFit="1" customWidth="1"/>
    <col min="2" max="2" width="11.85546875" bestFit="1" customWidth="1"/>
  </cols>
  <sheetData>
    <row r="1" spans="1:2" ht="17.25">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5"/>
  <cols>
    <col min="1" max="1" width="7.5703125" bestFit="1" customWidth="1"/>
    <col min="2" max="2" width="22.42578125" bestFit="1" customWidth="1"/>
    <col min="3" max="3" width="24.14062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5"/>
  <cols>
    <col min="1" max="1" width="10.85546875" bestFit="1" customWidth="1"/>
    <col min="2" max="2" width="11.85546875" bestFit="1" customWidth="1"/>
    <col min="8" max="8" width="11.8554687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5"/>
  <cols>
    <col min="2" max="2" width="15.5703125" bestFit="1" customWidth="1"/>
    <col min="3" max="3" width="27.8554687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5"/>
  <cols>
    <col min="1" max="1" width="11.28515625" bestFit="1" customWidth="1"/>
    <col min="2" max="2" width="10.140625" bestFit="1" customWidth="1"/>
    <col min="3" max="3" width="14.85546875" bestFit="1" customWidth="1"/>
    <col min="4" max="4" width="12.7109375" bestFit="1" customWidth="1"/>
    <col min="6" max="6" width="14.85546875" bestFit="1" customWidth="1"/>
    <col min="9" max="9" width="17.28515625" bestFit="1" customWidth="1"/>
    <col min="11" max="11" width="24" bestFit="1" customWidth="1"/>
  </cols>
  <sheetData>
    <row r="1" spans="1:11">
      <c r="A1" s="415" t="s">
        <v>4108</v>
      </c>
      <c r="B1" s="416"/>
      <c r="C1" s="416"/>
      <c r="D1" s="417"/>
      <c r="F1" s="250" t="s">
        <v>4112</v>
      </c>
      <c r="H1" s="415" t="s">
        <v>4111</v>
      </c>
      <c r="I1" s="417"/>
      <c r="K1" s="250" t="s">
        <v>4113</v>
      </c>
    </row>
    <row r="2" spans="1:11">
      <c r="A2" s="155"/>
      <c r="D2" s="156"/>
      <c r="F2" s="251"/>
      <c r="H2" s="155"/>
      <c r="I2" s="156"/>
      <c r="K2" s="251"/>
    </row>
    <row r="3" spans="1:11">
      <c r="A3" s="180" t="s">
        <v>354</v>
      </c>
      <c r="B3" s="1" t="s">
        <v>1</v>
      </c>
      <c r="C3" s="1" t="s">
        <v>4109</v>
      </c>
      <c r="D3" s="181" t="s">
        <v>4110</v>
      </c>
      <c r="F3" s="456" t="s">
        <v>4109</v>
      </c>
      <c r="H3" s="180" t="s">
        <v>354</v>
      </c>
      <c r="I3" s="181" t="s">
        <v>1</v>
      </c>
      <c r="K3" s="189" t="s">
        <v>4114</v>
      </c>
    </row>
    <row r="4" spans="1:11" ht="15.75" thickBot="1">
      <c r="A4" s="157" t="s">
        <v>340</v>
      </c>
      <c r="B4" s="2">
        <v>1</v>
      </c>
      <c r="C4" s="2">
        <v>20</v>
      </c>
      <c r="D4" s="190">
        <v>1000</v>
      </c>
      <c r="F4" s="457"/>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5.7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5"/>
  <cols>
    <col min="1" max="1" width="14.140625" bestFit="1" customWidth="1"/>
    <col min="2" max="2" width="7" bestFit="1" customWidth="1"/>
    <col min="3" max="3" width="10.5703125" customWidth="1"/>
    <col min="4" max="5" width="14.140625" bestFit="1" customWidth="1"/>
    <col min="7" max="7" width="14.85546875" bestFit="1" customWidth="1"/>
    <col min="9" max="9" width="7" bestFit="1" customWidth="1"/>
    <col min="10" max="10" width="10.140625" bestFit="1" customWidth="1"/>
    <col min="11" max="11" width="14.140625" bestFit="1" customWidth="1"/>
    <col min="13" max="13" width="19.5703125" bestFit="1" customWidth="1"/>
  </cols>
  <sheetData>
    <row r="1" spans="1:13">
      <c r="A1" s="415" t="s">
        <v>4108</v>
      </c>
      <c r="B1" s="416"/>
      <c r="C1" s="416"/>
      <c r="D1" s="458"/>
      <c r="E1" s="417"/>
      <c r="G1" s="250" t="s">
        <v>4112</v>
      </c>
      <c r="I1" s="415" t="s">
        <v>4111</v>
      </c>
      <c r="J1" s="450"/>
      <c r="K1" s="417"/>
      <c r="M1" s="250" t="s">
        <v>4113</v>
      </c>
    </row>
    <row r="2" spans="1:13">
      <c r="A2" s="155"/>
      <c r="E2" s="156"/>
      <c r="G2" s="251"/>
      <c r="I2" s="155"/>
      <c r="K2" s="156"/>
      <c r="M2" s="251"/>
    </row>
    <row r="3" spans="1:13">
      <c r="A3" s="180" t="s">
        <v>832</v>
      </c>
      <c r="B3" s="1" t="s">
        <v>4115</v>
      </c>
      <c r="C3" s="1" t="s">
        <v>4116</v>
      </c>
      <c r="D3" s="1" t="s">
        <v>4117</v>
      </c>
      <c r="E3" s="181" t="s">
        <v>4132</v>
      </c>
      <c r="G3" s="456" t="s">
        <v>4132</v>
      </c>
      <c r="I3" s="180" t="s">
        <v>4115</v>
      </c>
      <c r="J3" s="1" t="s">
        <v>4116</v>
      </c>
      <c r="K3" s="181" t="s">
        <v>4117</v>
      </c>
      <c r="M3" s="189" t="s">
        <v>4133</v>
      </c>
    </row>
    <row r="4" spans="1:13" ht="15.75" thickBot="1">
      <c r="A4" s="165" t="s">
        <v>4118</v>
      </c>
      <c r="B4" s="2" t="s">
        <v>4130</v>
      </c>
      <c r="C4" s="2">
        <v>10</v>
      </c>
      <c r="D4" s="2">
        <v>53</v>
      </c>
      <c r="E4" s="159">
        <v>138</v>
      </c>
      <c r="G4" s="457"/>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5.7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5"/>
  <cols>
    <col min="1" max="1" width="18.140625" bestFit="1" customWidth="1"/>
    <col min="2" max="2" width="8.85546875" bestFit="1" customWidth="1"/>
    <col min="3" max="3" width="14.140625" customWidth="1"/>
    <col min="4" max="4" width="10.42578125" customWidth="1"/>
    <col min="5" max="5" width="12.85546875" customWidth="1"/>
    <col min="7" max="7" width="10.28515625" customWidth="1"/>
    <col min="8" max="8" width="30.42578125" bestFit="1" customWidth="1"/>
    <col min="9" max="9" width="5.85546875" bestFit="1" customWidth="1"/>
    <col min="10" max="10" width="15.140625" customWidth="1"/>
    <col min="11" max="11" width="10.85546875" customWidth="1"/>
    <col min="12" max="12" width="8.7109375" customWidth="1"/>
  </cols>
  <sheetData>
    <row r="1" spans="1:11">
      <c r="A1" s="415" t="s">
        <v>4148</v>
      </c>
      <c r="B1" s="416"/>
      <c r="C1" s="416"/>
      <c r="D1" s="416"/>
      <c r="E1" s="417"/>
      <c r="G1" s="250" t="s">
        <v>4112</v>
      </c>
      <c r="I1" s="415" t="s">
        <v>4111</v>
      </c>
      <c r="J1" s="416"/>
      <c r="K1" s="417"/>
    </row>
    <row r="2" spans="1:11">
      <c r="A2" s="155"/>
      <c r="E2" s="156"/>
      <c r="G2" s="251"/>
      <c r="I2" s="155"/>
      <c r="K2" s="156"/>
    </row>
    <row r="3" spans="1:11" ht="30" customHeight="1">
      <c r="A3" s="257" t="s">
        <v>3472</v>
      </c>
      <c r="B3" s="8" t="s">
        <v>3486</v>
      </c>
      <c r="C3" s="258" t="s">
        <v>4143</v>
      </c>
      <c r="D3" s="259" t="s">
        <v>4142</v>
      </c>
      <c r="E3" s="259" t="s">
        <v>4144</v>
      </c>
      <c r="G3" s="459" t="s">
        <v>4144</v>
      </c>
      <c r="I3" s="257" t="s">
        <v>3486</v>
      </c>
      <c r="J3" s="258" t="s">
        <v>4143</v>
      </c>
      <c r="K3" s="259" t="s">
        <v>4142</v>
      </c>
    </row>
    <row r="4" spans="1:11" ht="15.75" thickBot="1">
      <c r="A4" s="157" t="s">
        <v>4135</v>
      </c>
      <c r="B4" s="2" t="s">
        <v>340</v>
      </c>
      <c r="C4" s="2">
        <v>15</v>
      </c>
      <c r="D4" s="253">
        <v>1999</v>
      </c>
      <c r="E4" s="253">
        <v>29985</v>
      </c>
      <c r="G4" s="460"/>
      <c r="I4" s="174" t="s">
        <v>4141</v>
      </c>
      <c r="J4" s="171" t="s">
        <v>4145</v>
      </c>
      <c r="K4" s="168" t="s">
        <v>4146</v>
      </c>
    </row>
    <row r="5" spans="1:11">
      <c r="A5" s="157" t="s">
        <v>3534</v>
      </c>
      <c r="B5" s="2" t="s">
        <v>4141</v>
      </c>
      <c r="C5" s="2">
        <v>20</v>
      </c>
      <c r="D5" s="253">
        <v>999</v>
      </c>
      <c r="E5" s="253">
        <v>19980</v>
      </c>
    </row>
    <row r="6" spans="1:11" ht="15.7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5.75" thickBot="1">
      <c r="A10" s="157" t="s">
        <v>3534</v>
      </c>
      <c r="B10" s="2" t="s">
        <v>4141</v>
      </c>
      <c r="C10" s="2">
        <v>13</v>
      </c>
      <c r="D10" s="253">
        <v>999</v>
      </c>
      <c r="E10" s="253">
        <v>12987</v>
      </c>
      <c r="H10" s="260">
        <f>DMAX(Laptop_Order_Data,"Total Order Cost in USD",I3:K4)</f>
        <v>0</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5.7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5"/>
  <cols>
    <col min="1" max="1" width="20.5703125" bestFit="1" customWidth="1"/>
    <col min="2" max="2" width="9.28515625" bestFit="1" customWidth="1"/>
    <col min="3" max="3" width="13.42578125" bestFit="1" customWidth="1"/>
    <col min="5" max="5" width="14.85546875" bestFit="1" customWidth="1"/>
    <col min="7" max="7" width="11.140625" bestFit="1" customWidth="1"/>
    <col min="8" max="8" width="9.28515625" bestFit="1" customWidth="1"/>
    <col min="10" max="10" width="24" bestFit="1" customWidth="1"/>
  </cols>
  <sheetData>
    <row r="1" spans="1:10">
      <c r="A1" s="415" t="s">
        <v>4108</v>
      </c>
      <c r="B1" s="416"/>
      <c r="C1" s="417"/>
      <c r="E1" s="250" t="s">
        <v>4112</v>
      </c>
      <c r="G1" s="415" t="s">
        <v>4111</v>
      </c>
      <c r="H1" s="417"/>
      <c r="J1" s="250" t="s">
        <v>4113</v>
      </c>
    </row>
    <row r="2" spans="1:10">
      <c r="A2" s="155"/>
      <c r="C2" s="156"/>
      <c r="E2" s="251"/>
      <c r="G2" s="155"/>
      <c r="H2" s="156"/>
      <c r="J2" s="251"/>
    </row>
    <row r="3" spans="1:10">
      <c r="A3" s="180" t="s">
        <v>75</v>
      </c>
      <c r="B3" s="1" t="s">
        <v>4149</v>
      </c>
      <c r="C3" s="181" t="s">
        <v>4150</v>
      </c>
      <c r="E3" s="456" t="s">
        <v>4150</v>
      </c>
      <c r="G3" s="180" t="s">
        <v>75</v>
      </c>
      <c r="H3" s="1" t="s">
        <v>4149</v>
      </c>
      <c r="J3" s="189" t="s">
        <v>4156</v>
      </c>
    </row>
    <row r="4" spans="1:10" ht="15.75" thickBot="1">
      <c r="A4" s="157" t="s">
        <v>1978</v>
      </c>
      <c r="B4" s="82">
        <v>0.81</v>
      </c>
      <c r="C4" s="191">
        <v>0.52</v>
      </c>
      <c r="E4" s="457"/>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5.7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5"/>
  <cols>
    <col min="1" max="1" width="12.28515625" bestFit="1" customWidth="1"/>
    <col min="2" max="2" width="11.5703125" bestFit="1" customWidth="1"/>
    <col min="3" max="3" width="10.7109375" customWidth="1"/>
    <col min="5" max="5" width="10" bestFit="1" customWidth="1"/>
    <col min="7" max="7" width="5.5703125" bestFit="1" customWidth="1"/>
    <col min="8" max="8" width="5.85546875" bestFit="1" customWidth="1"/>
    <col min="10" max="10" width="24" bestFit="1" customWidth="1"/>
    <col min="12" max="12" width="12.28515625" bestFit="1" customWidth="1"/>
  </cols>
  <sheetData>
    <row r="1" spans="1:10">
      <c r="A1" s="415" t="s">
        <v>4108</v>
      </c>
      <c r="B1" s="416"/>
      <c r="C1" s="417"/>
      <c r="E1" s="250" t="s">
        <v>4112</v>
      </c>
      <c r="G1" s="415" t="s">
        <v>4111</v>
      </c>
      <c r="H1" s="417"/>
      <c r="J1" s="250" t="s">
        <v>4113</v>
      </c>
    </row>
    <row r="2" spans="1:10">
      <c r="A2" s="266"/>
      <c r="B2" s="55"/>
      <c r="C2" s="267"/>
      <c r="E2" s="251"/>
      <c r="G2" s="155"/>
      <c r="H2" s="156"/>
      <c r="J2" s="251"/>
    </row>
    <row r="3" spans="1:10">
      <c r="A3" s="180" t="s">
        <v>1776</v>
      </c>
      <c r="B3" s="1" t="s">
        <v>352</v>
      </c>
      <c r="C3" s="181" t="s">
        <v>96</v>
      </c>
      <c r="E3" s="456" t="s">
        <v>96</v>
      </c>
      <c r="G3" s="461" t="s">
        <v>4163</v>
      </c>
      <c r="H3" s="462"/>
      <c r="J3" s="189" t="s">
        <v>4162</v>
      </c>
    </row>
    <row r="4" spans="1:10" ht="15.75" thickBot="1">
      <c r="A4" s="157" t="s">
        <v>3144</v>
      </c>
      <c r="B4" s="2" t="s">
        <v>2014</v>
      </c>
      <c r="C4" s="268">
        <v>2746388</v>
      </c>
      <c r="E4" s="457"/>
      <c r="G4" s="463"/>
      <c r="H4" s="464"/>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5.75" thickBot="1">
      <c r="A13" s="174" t="s">
        <v>4161</v>
      </c>
      <c r="B13" s="171" t="s">
        <v>347</v>
      </c>
      <c r="C13" s="269">
        <v>1013240</v>
      </c>
    </row>
  </sheetData>
  <sortState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5"/>
  <cols>
    <col min="1" max="1" width="11.28515625" bestFit="1" customWidth="1"/>
    <col min="2" max="2" width="12.42578125" bestFit="1" customWidth="1"/>
    <col min="3" max="3" width="14.85546875" bestFit="1" customWidth="1"/>
    <col min="4" max="4" width="14.140625" bestFit="1" customWidth="1"/>
    <col min="6" max="6" width="14.85546875" bestFit="1" customWidth="1"/>
    <col min="7" max="7" width="23.140625" bestFit="1" customWidth="1"/>
    <col min="8" max="8" width="12.42578125" bestFit="1" customWidth="1"/>
    <col min="9" max="10" width="12.42578125" customWidth="1"/>
    <col min="12" max="12" width="24" bestFit="1" customWidth="1"/>
  </cols>
  <sheetData>
    <row r="1" spans="1:10">
      <c r="A1" s="415" t="s">
        <v>4108</v>
      </c>
      <c r="B1" s="416"/>
      <c r="C1" s="416"/>
      <c r="D1" s="417"/>
      <c r="F1" s="250" t="s">
        <v>4112</v>
      </c>
      <c r="H1" s="415" t="s">
        <v>4111</v>
      </c>
      <c r="I1" s="450"/>
      <c r="J1" s="417"/>
    </row>
    <row r="2" spans="1:10">
      <c r="A2" s="155"/>
      <c r="D2" s="156"/>
      <c r="F2" s="251"/>
      <c r="H2" s="155"/>
      <c r="J2" s="156"/>
    </row>
    <row r="3" spans="1:10">
      <c r="A3" s="180" t="s">
        <v>2002</v>
      </c>
      <c r="B3" s="1" t="s">
        <v>4165</v>
      </c>
      <c r="C3" s="1" t="s">
        <v>4166</v>
      </c>
      <c r="D3" s="181" t="s">
        <v>4167</v>
      </c>
      <c r="F3" s="456" t="s">
        <v>4167</v>
      </c>
      <c r="H3" s="180" t="s">
        <v>4165</v>
      </c>
      <c r="I3" s="181" t="s">
        <v>4165</v>
      </c>
      <c r="J3" s="181" t="s">
        <v>4166</v>
      </c>
    </row>
    <row r="4" spans="1:10" ht="15.75" thickBot="1">
      <c r="A4" s="157" t="s">
        <v>2003</v>
      </c>
      <c r="B4" s="20">
        <v>44607</v>
      </c>
      <c r="C4" s="2">
        <v>10</v>
      </c>
      <c r="D4" s="159">
        <v>20</v>
      </c>
      <c r="F4" s="457"/>
      <c r="H4" s="174" t="s">
        <v>4169</v>
      </c>
      <c r="I4" s="271" t="s">
        <v>4168</v>
      </c>
      <c r="J4" s="271" t="s">
        <v>4171</v>
      </c>
    </row>
    <row r="5" spans="1:10">
      <c r="A5" s="157" t="s">
        <v>2004</v>
      </c>
      <c r="B5" s="20">
        <v>44617</v>
      </c>
      <c r="C5" s="2">
        <v>5</v>
      </c>
      <c r="D5" s="159">
        <v>10</v>
      </c>
    </row>
    <row r="6" spans="1:10" ht="15.7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5.7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5"/>
  <cols>
    <col min="1" max="1" width="10" bestFit="1" customWidth="1"/>
    <col min="2" max="2" width="8.8554687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5"/>
  <cols>
    <col min="1" max="1" width="10" bestFit="1" customWidth="1"/>
    <col min="2" max="2" width="19.7109375" bestFit="1" customWidth="1"/>
    <col min="3" max="3" width="10.8554687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5"/>
  <cols>
    <col min="1" max="1" width="10" bestFit="1" customWidth="1"/>
    <col min="2" max="2" width="12.42578125" bestFit="1" customWidth="1"/>
    <col min="3" max="3" width="12.14062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5"/>
  <cols>
    <col min="1" max="1" width="10.140625" customWidth="1"/>
    <col min="2" max="2" width="10.140625" bestFit="1" customWidth="1"/>
    <col min="7" max="7" width="10.5703125" bestFit="1" customWidth="1"/>
    <col min="9" max="9" width="10.5703125" bestFit="1" customWidth="1"/>
    <col min="11" max="11" width="22.5703125" bestFit="1" customWidth="1"/>
    <col min="12" max="12" width="8.85546875" customWidth="1"/>
  </cols>
  <sheetData>
    <row r="1" spans="1:12">
      <c r="A1" s="465" t="s">
        <v>4188</v>
      </c>
      <c r="B1" s="466"/>
      <c r="D1" s="415" t="s">
        <v>4184</v>
      </c>
      <c r="E1" s="416"/>
      <c r="F1" s="416"/>
      <c r="G1" s="416"/>
      <c r="H1" s="416"/>
      <c r="I1" s="417"/>
      <c r="K1" s="415" t="s">
        <v>4173</v>
      </c>
      <c r="L1" s="417"/>
    </row>
    <row r="2" spans="1:12">
      <c r="A2" s="180" t="s">
        <v>4179</v>
      </c>
      <c r="B2" s="181" t="s">
        <v>4180</v>
      </c>
      <c r="D2" s="155"/>
      <c r="I2" s="156"/>
      <c r="K2" s="272" t="s">
        <v>4187</v>
      </c>
      <c r="L2" s="273" t="s">
        <v>4186</v>
      </c>
    </row>
    <row r="3" spans="1:12" ht="15.7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5.75" thickBot="1">
      <c r="A12" s="174">
        <v>48</v>
      </c>
      <c r="B12" s="168">
        <v>30</v>
      </c>
      <c r="D12" s="155"/>
      <c r="G12" s="2">
        <f t="shared" si="0"/>
        <v>56.5</v>
      </c>
      <c r="H12" s="2">
        <f t="shared" si="1"/>
        <v>21.799999999999997</v>
      </c>
      <c r="I12" s="159">
        <f t="shared" si="2"/>
        <v>1231.6999999999998</v>
      </c>
    </row>
    <row r="13" spans="1:12" ht="15.7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5"/>
  <cols>
    <col min="2" max="2" width="10" bestFit="1" customWidth="1"/>
    <col min="5" max="5" width="19.140625" bestFit="1" customWidth="1"/>
    <col min="6" max="6" width="35.85546875" bestFit="1" customWidth="1"/>
    <col min="7" max="7" width="32.42578125" bestFit="1" customWidth="1"/>
  </cols>
  <sheetData>
    <row r="1" spans="1:7">
      <c r="A1" s="405" t="s">
        <v>4194</v>
      </c>
      <c r="B1" s="373"/>
      <c r="C1" s="373"/>
      <c r="E1" s="374" t="s">
        <v>4191</v>
      </c>
      <c r="F1" s="374"/>
      <c r="G1" s="374"/>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5"/>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5"/>
  <cols>
    <col min="1" max="1" width="11.5703125" bestFit="1" customWidth="1"/>
    <col min="2" max="2" width="64.14062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75">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5"/>
  <cols>
    <col min="1" max="1" width="10" bestFit="1" customWidth="1"/>
    <col min="2" max="5" width="9.7109375" bestFit="1" customWidth="1"/>
    <col min="6" max="6" width="11.5703125" bestFit="1" customWidth="1"/>
    <col min="7" max="8" width="9.7109375" bestFit="1" customWidth="1"/>
    <col min="9" max="9" width="7.28515625" bestFit="1" customWidth="1"/>
    <col min="10" max="10" width="15.285156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5"/>
  <cols>
    <col min="1" max="1" width="21.7109375" bestFit="1" customWidth="1"/>
    <col min="2" max="6" width="14.285156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5"/>
  <cols>
    <col min="1" max="1" width="14.85546875" bestFit="1" customWidth="1"/>
    <col min="2" max="2" width="22.285156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5"/>
  <cols>
    <col min="1" max="1" width="18.140625" bestFit="1" customWidth="1"/>
    <col min="2" max="2" width="18.85546875" bestFit="1" customWidth="1"/>
    <col min="3" max="3" width="19.140625" bestFit="1" customWidth="1"/>
    <col min="4" max="4" width="19.5703125" bestFit="1" customWidth="1"/>
    <col min="5" max="5" width="19.140625" bestFit="1" customWidth="1"/>
    <col min="6" max="6" width="19.8554687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45">
      <c r="A8" s="8" t="s">
        <v>4235</v>
      </c>
      <c r="B8" s="45">
        <v>30</v>
      </c>
    </row>
    <row r="9" spans="1:7" ht="45">
      <c r="A9" s="8" t="s">
        <v>4237</v>
      </c>
      <c r="B9" s="45">
        <f>COUNTA(B2:G6)</f>
        <v>17</v>
      </c>
    </row>
    <row r="10" spans="1:7" ht="45">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5"/>
  <cols>
    <col min="1" max="1" width="17.85546875" customWidth="1"/>
    <col min="2" max="2" width="64.14062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45">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5"/>
  <cols>
    <col min="1" max="1" width="18.85546875" bestFit="1" customWidth="1"/>
    <col min="2" max="5" width="18.4257812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5"/>
  <cols>
    <col min="1" max="1" width="10.5703125" bestFit="1" customWidth="1"/>
    <col min="2" max="3" width="29" bestFit="1" customWidth="1"/>
    <col min="4" max="4" width="5.140625" bestFit="1" customWidth="1"/>
  </cols>
  <sheetData>
    <row r="1" spans="1:4">
      <c r="A1" s="415" t="s">
        <v>4267</v>
      </c>
      <c r="B1" s="416"/>
      <c r="C1" s="416"/>
      <c r="D1" s="417"/>
    </row>
    <row r="2" spans="1:4">
      <c r="A2" s="155"/>
      <c r="B2" s="429" t="s">
        <v>4281</v>
      </c>
      <c r="C2" s="429"/>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5.7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5"/>
  <cols>
    <col min="1" max="1" width="21.5703125" bestFit="1" customWidth="1"/>
    <col min="2" max="3" width="29" bestFit="1" customWidth="1"/>
    <col min="4" max="4" width="11.85546875" bestFit="1" customWidth="1"/>
    <col min="5" max="5" width="1" customWidth="1"/>
    <col min="6" max="6" width="21.5703125" bestFit="1" customWidth="1"/>
    <col min="7" max="7" width="36.7109375" customWidth="1"/>
    <col min="8" max="8" width="31.140625" customWidth="1"/>
    <col min="9" max="9" width="39.5703125" customWidth="1"/>
  </cols>
  <sheetData>
    <row r="1" spans="1:9">
      <c r="A1" s="415" t="s">
        <v>4267</v>
      </c>
      <c r="B1" s="416"/>
      <c r="C1" s="416"/>
      <c r="D1" s="417"/>
    </row>
    <row r="2" spans="1:9">
      <c r="A2" s="155"/>
      <c r="B2" s="429" t="s">
        <v>4281</v>
      </c>
      <c r="C2" s="429"/>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5.75" thickBot="1">
      <c r="A9" s="180" t="s">
        <v>4257</v>
      </c>
      <c r="B9" s="7">
        <f>SUM(B4:B8)</f>
        <v>480</v>
      </c>
      <c r="C9" s="7">
        <f>SUM(C4:C8)</f>
        <v>520</v>
      </c>
      <c r="D9" s="178">
        <f t="shared" si="0"/>
        <v>1000</v>
      </c>
    </row>
    <row r="10" spans="1:9">
      <c r="A10" s="155"/>
      <c r="D10" s="156"/>
      <c r="F10" s="415" t="s">
        <v>605</v>
      </c>
      <c r="G10" s="416"/>
      <c r="H10" s="416"/>
      <c r="I10" s="417"/>
    </row>
    <row r="11" spans="1:9">
      <c r="A11" s="155"/>
      <c r="B11" s="467" t="s">
        <v>4282</v>
      </c>
      <c r="C11" s="467"/>
      <c r="D11" s="156"/>
      <c r="F11" s="155"/>
      <c r="G11" s="467" t="s">
        <v>4282</v>
      </c>
      <c r="H11" s="467"/>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7.25">
      <c r="A19" s="155"/>
      <c r="B19" s="467" t="s">
        <v>4258</v>
      </c>
      <c r="C19" s="467"/>
      <c r="D19" s="156"/>
      <c r="F19" s="155"/>
      <c r="G19" s="467" t="s">
        <v>4258</v>
      </c>
      <c r="H19" s="467"/>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30">
      <c r="A27" s="180" t="s">
        <v>4300</v>
      </c>
      <c r="B27" s="47">
        <f>SUM(B21:C25)</f>
        <v>21.345495319953532</v>
      </c>
      <c r="C27" s="280" t="s">
        <v>4268</v>
      </c>
      <c r="D27" s="281">
        <f>(5-1)*(2-1)</f>
        <v>4</v>
      </c>
      <c r="F27" s="180" t="s">
        <v>4300</v>
      </c>
      <c r="G27" s="124" t="s">
        <v>4284</v>
      </c>
      <c r="H27" s="282" t="s">
        <v>4268</v>
      </c>
      <c r="I27" s="283" t="s">
        <v>4285</v>
      </c>
    </row>
    <row r="28" spans="1:9" ht="15.7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5"/>
  <cols>
    <col min="1" max="1" width="20.7109375" bestFit="1" customWidth="1"/>
    <col min="2" max="2" width="15.140625" customWidth="1"/>
    <col min="3" max="3" width="16.42578125" customWidth="1"/>
    <col min="4" max="4" width="28.5703125" bestFit="1" customWidth="1"/>
    <col min="6" max="6" width="20.7109375" bestFit="1" customWidth="1"/>
  </cols>
  <sheetData>
    <row r="1" spans="1:4" ht="16.5" customHeight="1">
      <c r="A1" s="374" t="s">
        <v>856</v>
      </c>
      <c r="B1" s="374" t="s">
        <v>4291</v>
      </c>
      <c r="C1" s="374"/>
      <c r="D1" s="374" t="s">
        <v>4252</v>
      </c>
    </row>
    <row r="2" spans="1:4">
      <c r="A2" s="374"/>
      <c r="B2" s="1" t="s">
        <v>4250</v>
      </c>
      <c r="C2" s="1" t="s">
        <v>4251</v>
      </c>
      <c r="D2" s="374"/>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7.25">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5"/>
  <cols>
    <col min="1" max="1" width="21.85546875" bestFit="1" customWidth="1"/>
    <col min="2" max="4" width="8.85546875" customWidth="1"/>
    <col min="6" max="6" width="21.85546875" bestFit="1" customWidth="1"/>
    <col min="7" max="9" width="10.85546875" customWidth="1"/>
    <col min="10" max="10" width="3" customWidth="1"/>
    <col min="11" max="11" width="21.5703125" bestFit="1" customWidth="1"/>
    <col min="12" max="12" width="11.85546875" bestFit="1" customWidth="1"/>
  </cols>
  <sheetData>
    <row r="1" spans="1:12">
      <c r="B1" s="373" t="s">
        <v>4281</v>
      </c>
      <c r="C1" s="373"/>
      <c r="D1" s="373"/>
    </row>
    <row r="2" spans="1:12">
      <c r="A2" s="374" t="s">
        <v>4298</v>
      </c>
      <c r="B2" s="376" t="s">
        <v>4299</v>
      </c>
      <c r="C2" s="377"/>
      <c r="D2" s="378"/>
      <c r="E2" s="467" t="s">
        <v>4257</v>
      </c>
    </row>
    <row r="3" spans="1:12">
      <c r="A3" s="374"/>
      <c r="B3" s="1" t="s">
        <v>4295</v>
      </c>
      <c r="C3" s="1" t="s">
        <v>4294</v>
      </c>
      <c r="D3" s="1" t="s">
        <v>3906</v>
      </c>
      <c r="E3" s="429"/>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7.25">
      <c r="A11" s="155"/>
      <c r="B11" s="374" t="s">
        <v>4282</v>
      </c>
      <c r="C11" s="374"/>
      <c r="D11" s="374"/>
      <c r="F11" s="373" t="s">
        <v>4258</v>
      </c>
      <c r="G11" s="373"/>
      <c r="H11" s="373"/>
      <c r="I11" s="373"/>
      <c r="K11" s="1" t="s">
        <v>4300</v>
      </c>
      <c r="L11" s="47">
        <f>SUM(G14:I18)</f>
        <v>24.361958131242847</v>
      </c>
    </row>
    <row r="12" spans="1:12" ht="45">
      <c r="A12" s="374" t="s">
        <v>4298</v>
      </c>
      <c r="B12" s="376" t="s">
        <v>4299</v>
      </c>
      <c r="C12" s="377"/>
      <c r="D12" s="378"/>
      <c r="F12" s="374" t="s">
        <v>4298</v>
      </c>
      <c r="G12" s="376" t="s">
        <v>4299</v>
      </c>
      <c r="H12" s="377"/>
      <c r="I12" s="378"/>
      <c r="K12" s="8" t="s">
        <v>4268</v>
      </c>
      <c r="L12" s="47">
        <f>(5-1)*(3-1)</f>
        <v>8</v>
      </c>
    </row>
    <row r="13" spans="1:12">
      <c r="A13" s="374"/>
      <c r="B13" s="1" t="s">
        <v>4295</v>
      </c>
      <c r="C13" s="1" t="s">
        <v>4294</v>
      </c>
      <c r="D13" s="1" t="s">
        <v>3906</v>
      </c>
      <c r="F13" s="374"/>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G12:I12"/>
    <mergeCell ref="F11:I11"/>
    <mergeCell ref="A2:A3"/>
    <mergeCell ref="E2:E3"/>
    <mergeCell ref="B2:D2"/>
    <mergeCell ref="B1:D1"/>
    <mergeCell ref="A12:A13"/>
    <mergeCell ref="B12:D12"/>
    <mergeCell ref="B11:D11"/>
    <mergeCell ref="F12:F13"/>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5"/>
  <cols>
    <col min="1" max="1" width="20.7109375" bestFit="1" customWidth="1"/>
    <col min="2" max="3" width="13.140625" customWidth="1"/>
    <col min="4" max="4" width="28.7109375" bestFit="1" customWidth="1"/>
  </cols>
  <sheetData>
    <row r="1" spans="1:4">
      <c r="A1" s="374" t="s">
        <v>32</v>
      </c>
      <c r="B1" s="374" t="s">
        <v>4302</v>
      </c>
      <c r="C1" s="374"/>
      <c r="D1" s="374" t="s">
        <v>4252</v>
      </c>
    </row>
    <row r="2" spans="1:4">
      <c r="A2" s="374"/>
      <c r="B2" s="1" t="s">
        <v>4250</v>
      </c>
      <c r="C2" s="1" t="s">
        <v>4251</v>
      </c>
      <c r="D2" s="374"/>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7.25">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5"/>
  <cols>
    <col min="2" max="2" width="22" bestFit="1" customWidth="1"/>
    <col min="3" max="3" width="27.14062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5"/>
  <cols>
    <col min="1" max="1" width="9.4257812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5"/>
  <cols>
    <col min="1" max="1" width="11.28515625" bestFit="1" customWidth="1"/>
    <col min="2" max="6" width="10.42578125" bestFit="1" customWidth="1"/>
    <col min="7" max="7" width="47.4257812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5"/>
  <cols>
    <col min="1" max="1" width="11.28515625" bestFit="1" customWidth="1"/>
    <col min="2" max="2" width="16.28515625" bestFit="1" customWidth="1"/>
    <col min="3" max="3" width="58.14062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5"/>
  <cols>
    <col min="1" max="1" width="30.28515625" bestFit="1" customWidth="1"/>
    <col min="2" max="2" width="11.5703125" customWidth="1"/>
  </cols>
  <sheetData>
    <row r="1" spans="1:2">
      <c r="A1" s="405" t="s">
        <v>4328</v>
      </c>
      <c r="B1" s="373"/>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5"/>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5"/>
  <cols>
    <col min="2" max="2" width="21.5703125" bestFit="1" customWidth="1"/>
    <col min="3" max="3" width="26.570312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5"/>
  <cols>
    <col min="1" max="1" width="9.42578125" bestFit="1" customWidth="1"/>
    <col min="2" max="2" width="38.7109375" bestFit="1" customWidth="1"/>
    <col min="3" max="3" width="21.570312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5"/>
  <cols>
    <col min="1" max="1" width="7.140625" bestFit="1" customWidth="1"/>
    <col min="2" max="5" width="14.5703125" bestFit="1" customWidth="1"/>
    <col min="6" max="6" width="48.710937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5"/>
  <cols>
    <col min="2" max="2" width="34.8554687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5"/>
  <cols>
    <col min="1" max="1" width="32.85546875" bestFit="1" customWidth="1"/>
    <col min="2" max="4" width="7.85546875" bestFit="1" customWidth="1"/>
    <col min="5" max="5" width="8" bestFit="1" customWidth="1"/>
    <col min="6" max="6" width="7.710937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5"/>
  <cols>
    <col min="1" max="1" width="32.85546875" bestFit="1" customWidth="1"/>
    <col min="2" max="4" width="7.85546875" bestFit="1" customWidth="1"/>
    <col min="5" max="5" width="8" bestFit="1" customWidth="1"/>
    <col min="6" max="6" width="7.710937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5"/>
  <cols>
    <col min="1" max="1" width="9.140625" bestFit="1" customWidth="1"/>
    <col min="2" max="2" width="21.570312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5"/>
  <cols>
    <col min="1" max="1" width="20.85546875" bestFit="1" customWidth="1"/>
    <col min="2" max="2" width="11.710937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45">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5"/>
  <cols>
    <col min="1" max="1" width="20.8554687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30">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5"/>
  <cols>
    <col min="1" max="1" width="16.7109375" bestFit="1" customWidth="1"/>
    <col min="2" max="2" width="11.42578125" bestFit="1" customWidth="1"/>
    <col min="4" max="4" width="20.570312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5"/>
  <cols>
    <col min="1" max="1" width="16.7109375" bestFit="1" customWidth="1"/>
    <col min="2" max="2" width="11.140625" bestFit="1" customWidth="1"/>
    <col min="3" max="4" width="10.4257812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30">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5"/>
  <cols>
    <col min="1" max="1" width="17.140625" bestFit="1" customWidth="1"/>
    <col min="2" max="2" width="11.14062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30">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5"/>
  <cols>
    <col min="1" max="1" width="17.140625" bestFit="1" customWidth="1"/>
    <col min="2" max="2" width="11.14062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ht="30">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5"/>
  <cols>
    <col min="1" max="1" width="20.8554687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45">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5"/>
  <cols>
    <col min="1" max="1" width="9.42578125" bestFit="1" customWidth="1"/>
    <col min="3" max="3" width="33.140625" bestFit="1" customWidth="1"/>
    <col min="4" max="4" width="14.42578125" bestFit="1" customWidth="1"/>
    <col min="5" max="5" width="32.4257812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5"/>
  <cols>
    <col min="1" max="1" width="6.5703125" bestFit="1" customWidth="1"/>
    <col min="2" max="2" width="15.28515625" bestFit="1" customWidth="1"/>
    <col min="3" max="3" width="16.85546875" bestFit="1" customWidth="1"/>
    <col min="4" max="4" width="15.14062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5"/>
  <cols>
    <col min="1" max="1" width="30.5703125" bestFit="1" customWidth="1"/>
    <col min="2" max="2" width="15.85546875" customWidth="1"/>
    <col min="3" max="3" width="8.710937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5"/>
  <cols>
    <col min="1" max="1" width="8.7109375" customWidth="1"/>
    <col min="2" max="2" width="15.42578125" bestFit="1" customWidth="1"/>
    <col min="3" max="3" width="14.140625" bestFit="1" customWidth="1"/>
    <col min="4" max="4" width="19.140625" bestFit="1" customWidth="1"/>
    <col min="6" max="6" width="8.7109375" customWidth="1"/>
    <col min="7" max="7" width="37.42578125" customWidth="1"/>
  </cols>
  <sheetData>
    <row r="1" spans="1:7">
      <c r="A1" s="1" t="s">
        <v>130</v>
      </c>
      <c r="B1" s="1" t="s">
        <v>4424</v>
      </c>
      <c r="C1" s="1" t="s">
        <v>4418</v>
      </c>
      <c r="D1" s="1" t="s">
        <v>4425</v>
      </c>
      <c r="F1" s="374" t="s">
        <v>4426</v>
      </c>
      <c r="G1" s="374"/>
    </row>
    <row r="2" spans="1:7">
      <c r="A2" s="2" t="s">
        <v>4419</v>
      </c>
      <c r="B2" s="53">
        <v>1000</v>
      </c>
      <c r="C2" s="53">
        <v>800</v>
      </c>
      <c r="D2" s="67">
        <f>B2-C2</f>
        <v>200</v>
      </c>
      <c r="F2" s="468">
        <v>100</v>
      </c>
      <c r="G2" s="468"/>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5"/>
  <cols>
    <col min="1" max="1" width="26.5703125" bestFit="1" customWidth="1"/>
    <col min="2" max="2" width="14.85546875" bestFit="1" customWidth="1"/>
    <col min="3" max="3" width="21.14062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5"/>
  <cols>
    <col min="1" max="1" width="9.85546875" bestFit="1" customWidth="1"/>
    <col min="2" max="2" width="18.140625" bestFit="1" customWidth="1"/>
    <col min="3" max="3" width="26.14062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t="e">
        <f>DATEVALUE("3/21/2022")-DATEVALUE("3/11/2022")+DATEVALUE("3/15/2022")</f>
        <v>#VALUE!</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5"/>
  <cols>
    <col min="1" max="1" width="10.42578125" bestFit="1" customWidth="1"/>
    <col min="2" max="2" width="11.28515625" bestFit="1" customWidth="1"/>
    <col min="3" max="3" width="11.140625" bestFit="1" customWidth="1"/>
    <col min="4" max="4" width="23.14062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5"/>
  <cols>
    <col min="6" max="8" width="10.85546875" customWidth="1"/>
  </cols>
  <sheetData>
    <row r="1" spans="2:8">
      <c r="B1" s="373" t="s">
        <v>4443</v>
      </c>
      <c r="C1" s="373"/>
      <c r="D1" s="373"/>
    </row>
    <row r="2" spans="2:8">
      <c r="B2" s="2">
        <v>5</v>
      </c>
      <c r="C2" s="2">
        <v>10</v>
      </c>
      <c r="D2" s="2">
        <v>15</v>
      </c>
    </row>
    <row r="3" spans="2:8">
      <c r="B3" s="2">
        <v>20</v>
      </c>
      <c r="C3" s="2">
        <v>25</v>
      </c>
      <c r="D3" s="2">
        <v>30</v>
      </c>
      <c r="F3" s="373" t="s">
        <v>4445</v>
      </c>
      <c r="G3" s="373"/>
      <c r="H3" s="373"/>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73" t="s">
        <v>4444</v>
      </c>
      <c r="C6" s="373"/>
      <c r="D6" s="373"/>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5"/>
  <cols>
    <col min="1" max="1" width="8.7109375" customWidth="1"/>
    <col min="2" max="2" width="15.5703125" bestFit="1" customWidth="1"/>
    <col min="3" max="3" width="14.5703125" bestFit="1" customWidth="1"/>
    <col min="4" max="4" width="12.570312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5"/>
  <cols>
    <col min="2" max="2" width="15.140625" bestFit="1" customWidth="1"/>
    <col min="3" max="3" width="32.140625" bestFit="1" customWidth="1"/>
    <col min="4" max="4" width="42.285156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5"/>
  <cols>
    <col min="1" max="1" width="18.85546875" customWidth="1"/>
    <col min="2" max="2" width="11.140625" bestFit="1" customWidth="1"/>
    <col min="6" max="6" width="18.85546875" customWidth="1"/>
    <col min="7" max="7" width="11.14062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5"/>
  <cols>
    <col min="1" max="2" width="7" bestFit="1" customWidth="1"/>
    <col min="3" max="3" width="43.42578125" bestFit="1" customWidth="1"/>
    <col min="4" max="4" width="14.7109375" customWidth="1"/>
    <col min="5" max="5" width="41.8554687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7.25">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5"/>
  <cols>
    <col min="3" max="3" width="34" bestFit="1" customWidth="1"/>
    <col min="4" max="4" width="14.4257812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5"/>
  <cols>
    <col min="1" max="2" width="7" bestFit="1" customWidth="1"/>
    <col min="4" max="5" width="25.14062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5"/>
  <cols>
    <col min="1" max="1" width="14.5703125" bestFit="1" customWidth="1"/>
    <col min="2" max="2" width="17" bestFit="1" customWidth="1"/>
    <col min="3" max="3" width="36.85546875" bestFit="1" customWidth="1"/>
    <col min="4" max="4" width="16.285156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5"/>
  <cols>
    <col min="1" max="1" width="6.5703125" bestFit="1" customWidth="1"/>
    <col min="2" max="2" width="25.85546875" bestFit="1" customWidth="1"/>
    <col min="4" max="4" width="34.85546875" bestFit="1" customWidth="1"/>
    <col min="6" max="6" width="23.570312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5"/>
  <cols>
    <col min="1" max="1" width="6.5703125" bestFit="1" customWidth="1"/>
    <col min="2" max="2" width="25.85546875" bestFit="1" customWidth="1"/>
    <col min="3" max="3" width="23.7109375" bestFit="1" customWidth="1"/>
    <col min="5" max="5" width="13.14062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5"/>
  <cols>
    <col min="1" max="1" width="10.140625" bestFit="1" customWidth="1"/>
    <col min="2" max="2" width="12" bestFit="1" customWidth="1"/>
    <col min="3" max="3" width="13.140625" bestFit="1" customWidth="1"/>
  </cols>
  <sheetData>
    <row r="1" spans="1:3">
      <c r="A1" s="1" t="s">
        <v>4497</v>
      </c>
      <c r="B1" s="1" t="s">
        <v>4498</v>
      </c>
      <c r="C1" s="1" t="s">
        <v>4499</v>
      </c>
    </row>
    <row r="2" spans="1:3">
      <c r="A2" s="406">
        <v>725</v>
      </c>
      <c r="B2" s="82">
        <v>0.85</v>
      </c>
      <c r="C2" s="7">
        <f>ROUNDUP(A2/B2,0)</f>
        <v>853</v>
      </c>
    </row>
    <row r="3" spans="1:3">
      <c r="A3" s="406"/>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5"/>
  <cols>
    <col min="1" max="1" width="7.140625" bestFit="1" customWidth="1"/>
    <col min="2" max="2" width="18.42578125" bestFit="1" customWidth="1"/>
    <col min="3" max="3" width="24.42578125" bestFit="1" customWidth="1"/>
    <col min="4" max="4" width="20.8554687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5"/>
  <cols>
    <col min="1" max="1" width="4.85546875" bestFit="1" customWidth="1"/>
    <col min="2" max="2" width="19.5703125" bestFit="1" customWidth="1"/>
    <col min="3" max="3" width="16.4257812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5"/>
  <cols>
    <col min="1" max="1" width="15.7109375" bestFit="1" customWidth="1"/>
    <col min="2" max="2" width="19.42578125" bestFit="1" customWidth="1"/>
    <col min="3" max="4" width="19.28515625" bestFit="1" customWidth="1"/>
    <col min="5" max="5" width="19.42578125" bestFit="1" customWidth="1"/>
    <col min="6" max="6" width="19.14062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5"/>
  <cols>
    <col min="1" max="1" width="20.42578125" bestFit="1" customWidth="1"/>
    <col min="2" max="2" width="31.5703125" bestFit="1" customWidth="1"/>
    <col min="3" max="3" width="17" customWidth="1"/>
    <col min="4" max="4" width="28.285156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5"/>
  <cols>
    <col min="1" max="1" width="46.140625" bestFit="1" customWidth="1"/>
    <col min="2" max="2" width="56.28515625" bestFit="1" customWidth="1"/>
    <col min="3" max="3" width="26.140625" bestFit="1" customWidth="1"/>
    <col min="4" max="4" width="39.570312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5"/>
  <cols>
    <col min="1" max="1" width="26" bestFit="1" customWidth="1"/>
    <col min="2" max="2" width="20.8554687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5"/>
  <cols>
    <col min="1" max="1" width="8.7109375" customWidth="1"/>
    <col min="2" max="2" width="16.5703125" bestFit="1" customWidth="1"/>
    <col min="3" max="3" width="15.42578125" bestFit="1" customWidth="1"/>
    <col min="4" max="4" width="19.8554687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5"/>
  <cols>
    <col min="1" max="1" width="8.7109375" customWidth="1"/>
    <col min="2" max="2" width="34.85546875" bestFit="1" customWidth="1"/>
    <col min="3" max="3" width="52.7109375" bestFit="1" customWidth="1"/>
    <col min="4" max="4" width="13.8554687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5"/>
  <cols>
    <col min="1" max="1" width="16.140625" bestFit="1" customWidth="1"/>
    <col min="2" max="2" width="38.5703125" bestFit="1" customWidth="1"/>
    <col min="3" max="3" width="36.8554687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5"/>
  <cols>
    <col min="1" max="1" width="19.5703125" bestFit="1" customWidth="1"/>
    <col min="2" max="2" width="20.14062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5"/>
  <cols>
    <col min="1" max="1" width="22.140625" bestFit="1" customWidth="1"/>
    <col min="2" max="2" width="23.7109375" bestFit="1" customWidth="1"/>
    <col min="3" max="3" width="21.42578125" bestFit="1" customWidth="1"/>
    <col min="4" max="4" width="34.8554687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t="e">
        <f>A5*1</f>
        <v>#VALUE!</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5"/>
  <cols>
    <col min="1" max="1" width="11.42578125" bestFit="1" customWidth="1"/>
    <col min="2" max="2" width="21.5703125" bestFit="1" customWidth="1"/>
    <col min="3" max="3" width="23.7109375" bestFit="1" customWidth="1"/>
    <col min="4" max="4" width="21.570312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44806</v>
      </c>
      <c r="D3" s="2" t="s">
        <v>670</v>
      </c>
    </row>
    <row r="4" spans="1:4">
      <c r="A4" s="299" t="s">
        <v>4614</v>
      </c>
      <c r="B4" s="2" t="s">
        <v>1633</v>
      </c>
      <c r="C4" s="300" t="e">
        <f>VALUE(A4)</f>
        <v>#VALUE!</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5"/>
  <cols>
    <col min="1" max="1" width="15.140625" bestFit="1" customWidth="1"/>
    <col min="2" max="2" width="26.710937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5"/>
  <cols>
    <col min="1" max="1" width="25.85546875" bestFit="1" customWidth="1"/>
    <col min="2" max="2" width="23.140625" bestFit="1" customWidth="1"/>
    <col min="4" max="4" width="19.710937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5"/>
  <cols>
    <col min="1" max="1" width="28.85546875" bestFit="1" customWidth="1"/>
    <col min="2" max="2" width="14.28515625" bestFit="1" customWidth="1"/>
    <col min="3" max="3" width="11.85546875" bestFit="1" customWidth="1"/>
    <col min="4" max="4" width="6.4257812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5"/>
  <cols>
    <col min="1" max="1" width="16.85546875" bestFit="1" customWidth="1"/>
    <col min="2" max="2" width="13.14062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t="e">
        <f>VALUE("$5,000")</f>
        <v>#VALUE!</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5"/>
  <cols>
    <col min="2" max="2" width="16.85546875" bestFit="1" customWidth="1"/>
    <col min="3" max="3" width="13.140625" bestFit="1" customWidth="1"/>
  </cols>
  <sheetData>
    <row r="1" spans="2:3">
      <c r="B1" s="1" t="s">
        <v>4642</v>
      </c>
      <c r="C1" s="1" t="s">
        <v>617</v>
      </c>
    </row>
    <row r="2" spans="2:3">
      <c r="B2" s="21" t="s">
        <v>4645</v>
      </c>
      <c r="C2" s="67" t="e">
        <f>B2*1</f>
        <v>#VALUE!</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5"/>
  <cols>
    <col min="1" max="1" width="12.5703125" bestFit="1" customWidth="1"/>
    <col min="2" max="2" width="13.140625" bestFit="1" customWidth="1"/>
    <col min="3" max="3" width="22.8554687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5"/>
  <cols>
    <col min="1" max="1" width="5.7109375" customWidth="1"/>
    <col min="2" max="2" width="21.85546875" bestFit="1" customWidth="1"/>
    <col min="3" max="3" width="18.5703125" bestFit="1" customWidth="1"/>
    <col min="4" max="4" width="34.8554687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5"/>
  <cols>
    <col min="2" max="2" width="9.28515625" bestFit="1" customWidth="1"/>
    <col min="3" max="3" width="18.140625" customWidth="1"/>
    <col min="4" max="4" width="17.7109375" bestFit="1" customWidth="1"/>
    <col min="5" max="5" width="38.85546875" bestFit="1" customWidth="1"/>
    <col min="6" max="6" width="30.42578125" customWidth="1"/>
  </cols>
  <sheetData>
    <row r="2" spans="2:6" ht="60">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5"/>
  <cols>
    <col min="3" max="3" width="13.5703125" bestFit="1" customWidth="1"/>
    <col min="4" max="4" width="33.85546875" bestFit="1" customWidth="1"/>
    <col min="5" max="5" width="17.8554687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5"/>
  <cols>
    <col min="2" max="2" width="33.85546875" bestFit="1" customWidth="1"/>
    <col min="3" max="3" width="17.8554687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5"/>
  <cols>
    <col min="2" max="2" width="6.5703125" bestFit="1" customWidth="1"/>
    <col min="3" max="3" width="28.5703125" bestFit="1" customWidth="1"/>
    <col min="4" max="4" width="25.42578125" bestFit="1" customWidth="1"/>
    <col min="5" max="5" width="30.85546875" bestFit="1" customWidth="1"/>
    <col min="6" max="6" width="44.14062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5"/>
  <cols>
    <col min="2" max="2" width="6.140625" bestFit="1" customWidth="1"/>
    <col min="3" max="3" width="11.5703125" bestFit="1" customWidth="1"/>
    <col min="4" max="4" width="18.42578125" bestFit="1" customWidth="1"/>
    <col min="5" max="5" width="10.14062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5"/>
  <cols>
    <col min="2" max="2" width="25.140625" bestFit="1" customWidth="1"/>
    <col min="3" max="3" width="10.7109375" bestFit="1" customWidth="1"/>
    <col min="4" max="4" width="9.85546875" bestFit="1" customWidth="1"/>
    <col min="5" max="5" width="49" bestFit="1" customWidth="1"/>
    <col min="6" max="6" width="23.14062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5"/>
  <cols>
    <col min="2" max="2" width="5.7109375" bestFit="1" customWidth="1"/>
    <col min="3" max="3" width="19.140625" bestFit="1" customWidth="1"/>
    <col min="4" max="4" width="15.85546875" bestFit="1" customWidth="1"/>
    <col min="5" max="5" width="20.14062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5"/>
  <cols>
    <col min="2" max="2" width="6.85546875" bestFit="1" customWidth="1"/>
    <col min="3" max="3" width="13.5703125" bestFit="1" customWidth="1"/>
    <col min="4" max="4" width="12.570312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5"/>
  <cols>
    <col min="1" max="1" width="6.5703125" bestFit="1" customWidth="1"/>
    <col min="2" max="2" width="17.5703125" bestFit="1" customWidth="1"/>
    <col min="3" max="3" width="14.28515625" bestFit="1" customWidth="1"/>
    <col min="4" max="4" width="27.14062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5"/>
  <cols>
    <col min="1" max="1" width="24" bestFit="1" customWidth="1"/>
    <col min="3" max="3" width="52.140625" bestFit="1" customWidth="1"/>
    <col min="5" max="5" width="29.570312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30">
      <c r="A4" s="306" t="s">
        <v>4708</v>
      </c>
      <c r="B4" s="46">
        <v>24</v>
      </c>
      <c r="C4" s="46" t="s">
        <v>4744</v>
      </c>
      <c r="D4" s="307" t="e">
        <f>EDATE(A4,B4)</f>
        <v>#VALUE!</v>
      </c>
      <c r="E4" s="308" t="s">
        <v>1924</v>
      </c>
    </row>
    <row r="5" spans="1:5" ht="30">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5"/>
  <cols>
    <col min="1" max="1" width="28.42578125" bestFit="1" customWidth="1"/>
    <col min="2" max="2" width="8.4257812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5"/>
  <cols>
    <col min="1" max="1" width="41.42578125" bestFit="1" customWidth="1"/>
    <col min="2" max="2" width="9.85546875" bestFit="1" customWidth="1"/>
    <col min="3" max="3" width="10.5703125" bestFit="1" customWidth="1"/>
    <col min="4" max="4" width="13.14062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5"/>
  <cols>
    <col min="1" max="1" width="12" bestFit="1" customWidth="1"/>
    <col min="2" max="2" width="11.42578125" bestFit="1" customWidth="1"/>
    <col min="3" max="3" width="11.5703125" bestFit="1" customWidth="1"/>
    <col min="4" max="4" width="17.28515625" bestFit="1" customWidth="1"/>
    <col min="5" max="5" width="39.7109375" bestFit="1" customWidth="1"/>
  </cols>
  <sheetData>
    <row r="1" spans="1:5">
      <c r="A1" s="1" t="s">
        <v>1122</v>
      </c>
      <c r="B1" s="1" t="s">
        <v>2251</v>
      </c>
      <c r="C1" s="1" t="s">
        <v>1644</v>
      </c>
      <c r="D1" s="1" t="s">
        <v>4725</v>
      </c>
      <c r="E1" s="1" t="s">
        <v>4709</v>
      </c>
    </row>
    <row r="2" spans="1:5" ht="17.25">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5"/>
  <cols>
    <col min="1" max="1" width="9.42578125" bestFit="1" customWidth="1"/>
    <col min="2" max="2" width="13.140625" bestFit="1" customWidth="1"/>
    <col min="3" max="3" width="9.85546875" bestFit="1" customWidth="1"/>
    <col min="4" max="4" width="15.7109375" bestFit="1" customWidth="1"/>
    <col min="5" max="6" width="16.4257812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5"/>
  <cols>
    <col min="1" max="2" width="7" bestFit="1" customWidth="1"/>
    <col min="3" max="3" width="18.85546875" bestFit="1" customWidth="1"/>
    <col min="4" max="4" width="7.8554687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5"/>
  <cols>
    <col min="1" max="1" width="15.85546875" bestFit="1" customWidth="1"/>
    <col min="2" max="2" width="15" bestFit="1" customWidth="1"/>
    <col min="3" max="3" width="14.8554687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5"/>
  <cols>
    <col min="1" max="2" width="23.14062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5"/>
  <cols>
    <col min="1" max="1" width="34" bestFit="1" customWidth="1"/>
    <col min="2" max="2" width="33.85546875" bestFit="1" customWidth="1"/>
    <col min="5" max="5" width="39.42578125" bestFit="1" customWidth="1"/>
    <col min="6" max="6" width="32.85546875" bestFit="1" customWidth="1"/>
    <col min="7" max="7" width="32.7109375" bestFit="1" customWidth="1"/>
  </cols>
  <sheetData>
    <row r="1" spans="1:7">
      <c r="A1" s="1" t="s">
        <v>4749</v>
      </c>
      <c r="B1" s="1" t="s">
        <v>4750</v>
      </c>
      <c r="E1" t="s">
        <v>4751</v>
      </c>
    </row>
    <row r="2" spans="1:7" ht="15.7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5.7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5"/>
  <cols>
    <col min="1" max="1" width="32.7109375" bestFit="1" customWidth="1"/>
    <col min="2" max="2" width="32.570312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5"/>
  <cols>
    <col min="1" max="1" width="44.85546875" bestFit="1" customWidth="1"/>
    <col min="2" max="2" width="12" bestFit="1" customWidth="1"/>
    <col min="3" max="3" width="5.5703125" bestFit="1" customWidth="1"/>
  </cols>
  <sheetData>
    <row r="1" spans="1:3">
      <c r="A1" s="405" t="s">
        <v>3750</v>
      </c>
      <c r="B1" s="373"/>
      <c r="C1" s="373"/>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5"/>
  <cols>
    <col min="1" max="1" width="9.85546875" bestFit="1" customWidth="1"/>
    <col min="2" max="2" width="20.28515625" bestFit="1" customWidth="1"/>
    <col min="4" max="4" width="26.140625" bestFit="1" customWidth="1"/>
    <col min="5" max="5" width="9.7109375" bestFit="1" customWidth="1"/>
    <col min="6" max="6" width="11.85546875" bestFit="1" customWidth="1"/>
  </cols>
  <sheetData>
    <row r="1" spans="1:14">
      <c r="A1" s="469" t="s">
        <v>4763</v>
      </c>
      <c r="B1" s="470"/>
      <c r="D1" s="471" t="s">
        <v>4760</v>
      </c>
      <c r="E1" s="472"/>
      <c r="F1" s="473"/>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8">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5"/>
  <cols>
    <col min="2" max="2" width="41.42578125" bestFit="1" customWidth="1"/>
    <col min="3" max="3" width="40.14062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5"/>
  <cols>
    <col min="1" max="1" width="44.42578125" bestFit="1" customWidth="1"/>
    <col min="2" max="2" width="12" bestFit="1" customWidth="1"/>
    <col min="3" max="3" width="10.140625" customWidth="1"/>
    <col min="4" max="4" width="10.140625" bestFit="1" customWidth="1"/>
  </cols>
  <sheetData>
    <row r="1" spans="1:4">
      <c r="A1" s="376" t="s">
        <v>3750</v>
      </c>
      <c r="B1" s="377"/>
      <c r="C1" s="377"/>
      <c r="D1" s="378"/>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76" t="s">
        <v>3760</v>
      </c>
      <c r="B8" s="377"/>
      <c r="C8" s="378"/>
      <c r="D8" s="62">
        <f>1-TDIST(2,50,1)</f>
        <v>0.97452646563115342</v>
      </c>
    </row>
    <row r="9" spans="1:4">
      <c r="A9" s="374" t="s">
        <v>3761</v>
      </c>
      <c r="B9" s="374"/>
      <c r="C9" s="374"/>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5"/>
  <cols>
    <col min="1" max="1" width="19.5703125" bestFit="1" customWidth="1"/>
    <col min="2" max="2" width="9.570312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5"/>
  <cols>
    <col min="1" max="1" width="13.5703125" bestFit="1" customWidth="1"/>
    <col min="2" max="2" width="19.28515625" bestFit="1" customWidth="1"/>
    <col min="3" max="3" width="18.285156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5"/>
  <cols>
    <col min="2" max="2" width="19.570312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5"/>
  <cols>
    <col min="1" max="1" width="9.42578125" bestFit="1" customWidth="1"/>
    <col min="2" max="2" width="10.140625" bestFit="1" customWidth="1"/>
    <col min="3" max="3" width="15.14062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5"/>
  <cols>
    <col min="1" max="1" width="18.85546875" bestFit="1" customWidth="1"/>
    <col min="2" max="13" width="10.42578125" customWidth="1"/>
    <col min="14" max="14" width="19.7109375" bestFit="1" customWidth="1"/>
  </cols>
  <sheetData>
    <row r="1" spans="1:14" ht="45">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5"/>
  <cols>
    <col min="1" max="1" width="12.42578125" customWidth="1"/>
    <col min="2" max="3" width="11.28515625" customWidth="1"/>
  </cols>
  <sheetData>
    <row r="1" spans="1:3">
      <c r="A1" s="376" t="s">
        <v>4857</v>
      </c>
      <c r="B1" s="377"/>
      <c r="C1" s="378"/>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5"/>
  <cols>
    <col min="1" max="1" width="16.140625" bestFit="1" customWidth="1"/>
    <col min="2" max="2" width="10.5703125" bestFit="1" customWidth="1"/>
    <col min="3" max="3" width="7.5703125" bestFit="1" customWidth="1"/>
    <col min="4" max="4" width="6.4257812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5"/>
  <cols>
    <col min="1" max="1" width="29.42578125" customWidth="1"/>
    <col min="2" max="2" width="12.42578125" bestFit="1" customWidth="1"/>
    <col min="3" max="3" width="5.5703125" bestFit="1" customWidth="1"/>
  </cols>
  <sheetData>
    <row r="1" spans="1:3">
      <c r="A1" s="374" t="s">
        <v>4870</v>
      </c>
      <c r="B1" s="374"/>
      <c r="C1" s="374"/>
    </row>
    <row r="2" spans="1:3">
      <c r="A2" s="1" t="s">
        <v>622</v>
      </c>
      <c r="B2" s="1" t="s">
        <v>2887</v>
      </c>
      <c r="C2" s="1" t="s">
        <v>1727</v>
      </c>
    </row>
    <row r="3" spans="1:3" ht="45">
      <c r="A3" s="107" t="s">
        <v>4868</v>
      </c>
      <c r="B3" s="45" t="s">
        <v>4872</v>
      </c>
      <c r="C3" s="47">
        <v>0.05</v>
      </c>
    </row>
    <row r="4" spans="1:3" ht="29.1" customHeight="1">
      <c r="A4" s="107" t="s">
        <v>4871</v>
      </c>
      <c r="B4" s="45" t="s">
        <v>3794</v>
      </c>
      <c r="C4" s="47">
        <v>2</v>
      </c>
    </row>
    <row r="5" spans="1:3">
      <c r="A5" s="2" t="s">
        <v>4869</v>
      </c>
      <c r="B5" s="45" t="s">
        <v>4873</v>
      </c>
      <c r="C5" s="47">
        <v>35</v>
      </c>
    </row>
    <row r="7" spans="1:3" ht="45">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5"/>
  <cols>
    <col min="1" max="1" width="29.42578125" customWidth="1"/>
    <col min="2" max="2" width="12.42578125" bestFit="1" customWidth="1"/>
    <col min="3" max="3" width="5.5703125" bestFit="1" customWidth="1"/>
  </cols>
  <sheetData>
    <row r="1" spans="1:3">
      <c r="A1" s="374" t="s">
        <v>4870</v>
      </c>
      <c r="B1" s="374"/>
      <c r="C1" s="374"/>
    </row>
    <row r="2" spans="1:3">
      <c r="A2" s="1" t="s">
        <v>622</v>
      </c>
      <c r="B2" s="1" t="s">
        <v>2887</v>
      </c>
      <c r="C2" s="1" t="s">
        <v>1727</v>
      </c>
    </row>
    <row r="3" spans="1:3" ht="45">
      <c r="A3" s="107" t="s">
        <v>4868</v>
      </c>
      <c r="B3" s="45" t="s">
        <v>4872</v>
      </c>
      <c r="C3" s="47">
        <v>0.01</v>
      </c>
    </row>
    <row r="4" spans="1:3" ht="29.1" customHeight="1">
      <c r="A4" s="107" t="s">
        <v>4871</v>
      </c>
      <c r="B4" s="45" t="s">
        <v>3794</v>
      </c>
      <c r="C4" s="47">
        <v>1.5</v>
      </c>
    </row>
    <row r="5" spans="1:3">
      <c r="A5" s="2" t="s">
        <v>4869</v>
      </c>
      <c r="B5" s="45" t="s">
        <v>4873</v>
      </c>
      <c r="C5" s="47">
        <v>50</v>
      </c>
    </row>
    <row r="7" spans="1:3" ht="45">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5"/>
  <cols>
    <col min="1" max="1" width="9.140625" customWidth="1"/>
    <col min="2" max="2" width="27.85546875" customWidth="1"/>
    <col min="4" max="4" width="17.140625" bestFit="1" customWidth="1"/>
    <col min="5" max="5" width="15.5703125" customWidth="1"/>
  </cols>
  <sheetData>
    <row r="1" spans="1:7">
      <c r="A1" s="405" t="s">
        <v>4878</v>
      </c>
      <c r="B1" s="373"/>
      <c r="D1" s="405" t="s">
        <v>4879</v>
      </c>
      <c r="E1" s="373"/>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75">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5"/>
  <cols>
    <col min="2" max="2" width="10.85546875" bestFit="1" customWidth="1"/>
    <col min="3" max="3" width="15.5703125" bestFit="1" customWidth="1"/>
    <col min="4" max="4" width="15.4257812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5"/>
  <cols>
    <col min="2" max="2" width="29.42578125" customWidth="1"/>
    <col min="3" max="3" width="15.42578125" bestFit="1" customWidth="1"/>
    <col min="4" max="4" width="5.5703125" bestFit="1" customWidth="1"/>
  </cols>
  <sheetData>
    <row r="1" spans="2:4" ht="15.75" thickBot="1"/>
    <row r="2" spans="2:4">
      <c r="B2" s="415" t="s">
        <v>4882</v>
      </c>
      <c r="C2" s="416"/>
      <c r="D2" s="417"/>
    </row>
    <row r="3" spans="2:4">
      <c r="B3" s="180" t="s">
        <v>622</v>
      </c>
      <c r="C3" s="1" t="s">
        <v>2887</v>
      </c>
      <c r="D3" s="181" t="s">
        <v>1727</v>
      </c>
    </row>
    <row r="4" spans="2:4" ht="45">
      <c r="B4" s="310" t="s">
        <v>4868</v>
      </c>
      <c r="C4" s="45" t="s">
        <v>4872</v>
      </c>
      <c r="D4" s="311">
        <v>0.01</v>
      </c>
    </row>
    <row r="5" spans="2:4" ht="29.1" customHeight="1">
      <c r="B5" s="310" t="s">
        <v>4871</v>
      </c>
      <c r="C5" s="45" t="s">
        <v>3794</v>
      </c>
      <c r="D5" s="311">
        <v>3.5</v>
      </c>
    </row>
    <row r="6" spans="2:4">
      <c r="B6" s="157" t="s">
        <v>4869</v>
      </c>
      <c r="C6" s="45" t="s">
        <v>4873</v>
      </c>
      <c r="D6" s="311">
        <v>100</v>
      </c>
    </row>
    <row r="7" spans="2:4">
      <c r="B7" s="155"/>
      <c r="D7" s="156"/>
    </row>
    <row r="8" spans="2:4" s="121" customFormat="1" ht="29.45" customHeight="1">
      <c r="B8" s="461" t="s">
        <v>4881</v>
      </c>
      <c r="C8" s="474"/>
      <c r="D8" s="312"/>
    </row>
    <row r="9" spans="2:4">
      <c r="B9" s="180" t="s">
        <v>1385</v>
      </c>
      <c r="C9" s="1" t="s">
        <v>4875</v>
      </c>
      <c r="D9" s="156"/>
    </row>
    <row r="10" spans="2:4">
      <c r="B10" s="157" t="s">
        <v>4883</v>
      </c>
      <c r="C10" s="7">
        <f>CONFIDENCE(D4,D5,D6)</f>
        <v>0.90154025624211487</v>
      </c>
      <c r="D10" s="156"/>
    </row>
    <row r="11" spans="2:4" ht="15.75">
      <c r="B11" s="313" t="s">
        <v>4884</v>
      </c>
      <c r="C11" s="7">
        <f>_xlfn.CONFIDENCE.NORM(D4,D5,D6)</f>
        <v>0.90154025624211487</v>
      </c>
      <c r="D11" s="156"/>
    </row>
    <row r="12" spans="2:4" ht="16.5"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5"/>
  <cols>
    <col min="2" max="2" width="7.42578125" bestFit="1" customWidth="1"/>
    <col min="3" max="3" width="20.42578125" bestFit="1" customWidth="1"/>
    <col min="5" max="5" width="21.42578125" bestFit="1" customWidth="1"/>
    <col min="6" max="6" width="12.42578125" bestFit="1" customWidth="1"/>
    <col min="8" max="8" width="17.140625" bestFit="1" customWidth="1"/>
    <col min="9" max="9" width="11.85546875" bestFit="1" customWidth="1"/>
    <col min="10" max="10" width="57.7109375" bestFit="1" customWidth="1"/>
  </cols>
  <sheetData>
    <row r="1" spans="2:10">
      <c r="B1" s="1" t="s">
        <v>0</v>
      </c>
      <c r="C1" s="1" t="s">
        <v>4886</v>
      </c>
      <c r="E1" s="315" t="s">
        <v>4886</v>
      </c>
      <c r="F1" s="315"/>
      <c r="H1" s="374" t="s">
        <v>4877</v>
      </c>
      <c r="I1" s="374"/>
      <c r="J1" s="374"/>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5.7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5"/>
  <cols>
    <col min="1" max="1" width="29.42578125" customWidth="1"/>
    <col min="2" max="2" width="12.42578125" bestFit="1" customWidth="1"/>
    <col min="3" max="3" width="5.5703125" bestFit="1" customWidth="1"/>
  </cols>
  <sheetData>
    <row r="1" spans="1:3">
      <c r="A1" s="374" t="s">
        <v>4882</v>
      </c>
      <c r="B1" s="374"/>
      <c r="C1" s="374"/>
    </row>
    <row r="2" spans="1:3">
      <c r="A2" s="1" t="s">
        <v>622</v>
      </c>
      <c r="B2" s="1" t="s">
        <v>2887</v>
      </c>
      <c r="C2" s="1" t="s">
        <v>1727</v>
      </c>
    </row>
    <row r="3" spans="1:3">
      <c r="A3" s="2" t="s">
        <v>3817</v>
      </c>
      <c r="B3" s="2" t="s">
        <v>4770</v>
      </c>
      <c r="C3" s="7">
        <v>30</v>
      </c>
    </row>
    <row r="4" spans="1:3" ht="45">
      <c r="A4" s="107" t="s">
        <v>4868</v>
      </c>
      <c r="B4" s="45" t="s">
        <v>4872</v>
      </c>
      <c r="C4" s="47">
        <v>0.05</v>
      </c>
    </row>
    <row r="5" spans="1:3" ht="29.1" customHeight="1">
      <c r="A5" s="46" t="s">
        <v>4871</v>
      </c>
      <c r="B5" s="45" t="s">
        <v>3794</v>
      </c>
      <c r="C5" s="47">
        <v>1.5</v>
      </c>
    </row>
    <row r="6" spans="1:3">
      <c r="A6" s="2" t="s">
        <v>4869</v>
      </c>
      <c r="B6" s="45" t="s">
        <v>4873</v>
      </c>
      <c r="C6" s="47">
        <v>40</v>
      </c>
    </row>
    <row r="7" spans="1:3">
      <c r="A7" s="14"/>
      <c r="B7" s="317"/>
      <c r="C7" s="318"/>
    </row>
    <row r="8" spans="1:3">
      <c r="A8" s="475" t="s">
        <v>4907</v>
      </c>
      <c r="B8" s="476"/>
    </row>
    <row r="9" spans="1:3">
      <c r="A9" s="8" t="s">
        <v>4908</v>
      </c>
      <c r="B9" s="47">
        <f>1.96*(C5/SQRT(C6))</f>
        <v>0.46485481604475176</v>
      </c>
    </row>
    <row r="10" spans="1:3">
      <c r="A10" s="1" t="s">
        <v>4877</v>
      </c>
      <c r="B10" s="7" t="str">
        <f>CONCATENATE(ROUND(C3,2)," ± ",ROUND(B9,2))</f>
        <v>30 ± 0.46</v>
      </c>
    </row>
    <row r="12" spans="1:3">
      <c r="A12" s="475" t="s">
        <v>4883</v>
      </c>
      <c r="B12" s="476"/>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5"/>
  <cols>
    <col min="1" max="1" width="6.5703125" bestFit="1" customWidth="1"/>
    <col min="2" max="2" width="10.85546875" bestFit="1" customWidth="1"/>
    <col min="3" max="3" width="22.710937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5"/>
  <cols>
    <col min="1" max="1" width="6" customWidth="1"/>
    <col min="2" max="2" width="19.85546875" bestFit="1" customWidth="1"/>
    <col min="4" max="4" width="6" customWidth="1"/>
    <col min="5" max="5" width="31.14062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5"/>
  <cols>
    <col min="2" max="2" width="19.85546875" bestFit="1" customWidth="1"/>
    <col min="3" max="3" width="30.4257812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5"/>
  <cols>
    <col min="2" max="2" width="18.5703125" bestFit="1" customWidth="1"/>
    <col min="3" max="3" width="19.570312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5"/>
  <cols>
    <col min="5" max="5" width="8.7109375" customWidth="1"/>
    <col min="6" max="6" width="13.140625" customWidth="1"/>
  </cols>
  <sheetData>
    <row r="2" spans="2:6">
      <c r="B2" s="1" t="s">
        <v>3216</v>
      </c>
      <c r="C2" s="1" t="s">
        <v>657</v>
      </c>
      <c r="D2" s="14"/>
      <c r="E2" s="1" t="s">
        <v>3216</v>
      </c>
      <c r="F2" s="1" t="s">
        <v>4913</v>
      </c>
    </row>
    <row r="3" spans="2:6">
      <c r="B3" s="2">
        <v>1</v>
      </c>
      <c r="C3" s="2">
        <v>6</v>
      </c>
      <c r="D3" s="14"/>
      <c r="E3" s="2">
        <v>18</v>
      </c>
      <c r="F3" s="7">
        <f>C11+(E3-B11)*(C12-C11)/(B12-B11)</f>
        <v>76.5</v>
      </c>
    </row>
    <row r="4" spans="2:6">
      <c r="B4" s="2">
        <v>3</v>
      </c>
      <c r="C4" s="2">
        <v>9</v>
      </c>
      <c r="D4" s="14"/>
      <c r="F4" s="319"/>
    </row>
    <row r="5" spans="2:6">
      <c r="B5" s="2">
        <v>5</v>
      </c>
      <c r="C5" s="2">
        <v>13</v>
      </c>
      <c r="D5" s="14"/>
    </row>
    <row r="6" spans="2:6">
      <c r="B6" s="2">
        <v>7</v>
      </c>
      <c r="C6" s="2">
        <v>18</v>
      </c>
      <c r="D6" s="14"/>
    </row>
    <row r="7" spans="2:6">
      <c r="B7" s="2">
        <v>9</v>
      </c>
      <c r="C7" s="2">
        <v>24</v>
      </c>
      <c r="D7" s="14"/>
      <c r="F7" s="319"/>
    </row>
    <row r="8" spans="2:6" ht="15.75" thickBot="1">
      <c r="B8" s="2">
        <v>11</v>
      </c>
      <c r="C8" s="2">
        <v>31</v>
      </c>
      <c r="D8" s="14"/>
    </row>
    <row r="9" spans="2:6" ht="15.7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5"/>
  <cols>
    <col min="1" max="1" width="8.7109375" customWidth="1"/>
    <col min="2" max="2" width="12.5703125" bestFit="1" customWidth="1"/>
    <col min="5" max="5" width="23.85546875" bestFit="1" customWidth="1"/>
    <col min="16" max="16" width="10.710937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5"/>
  <cols>
    <col min="1" max="1" width="11.5703125" bestFit="1" customWidth="1"/>
    <col min="2" max="5" width="23.8554687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5"/>
  <sheetData>
    <row r="1" spans="1:7">
      <c r="A1" s="374" t="s">
        <v>4930</v>
      </c>
      <c r="B1" s="374" t="s">
        <v>4931</v>
      </c>
      <c r="C1" s="374"/>
      <c r="D1" s="374"/>
      <c r="E1" s="374"/>
      <c r="F1" s="374"/>
      <c r="G1" s="374"/>
    </row>
    <row r="2" spans="1:7">
      <c r="A2" s="374"/>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5"/>
  <cols>
    <col min="1" max="1" width="6.85546875" bestFit="1" customWidth="1"/>
    <col min="2" max="3" width="13.85546875" customWidth="1"/>
    <col min="4" max="5" width="13.8554687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5"/>
  <cols>
    <col min="1" max="1" width="8.28515625" bestFit="1" customWidth="1"/>
    <col min="2" max="6" width="9.42578125" bestFit="1" customWidth="1"/>
  </cols>
  <sheetData>
    <row r="1" spans="1:6">
      <c r="A1" s="374" t="s">
        <v>4947</v>
      </c>
      <c r="B1" s="374" t="s">
        <v>4948</v>
      </c>
      <c r="C1" s="374"/>
      <c r="D1" s="374"/>
      <c r="E1" s="374"/>
      <c r="F1" s="374"/>
    </row>
    <row r="2" spans="1:6">
      <c r="A2" s="374"/>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5"/>
  <cols>
    <col min="1" max="1" width="12.85546875" style="14" bestFit="1" customWidth="1"/>
    <col min="2" max="7" width="24.4257812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5"/>
  <cols>
    <col min="1" max="1" width="12.7109375" bestFit="1" customWidth="1"/>
    <col min="2" max="4" width="14.5703125" customWidth="1"/>
    <col min="5" max="5" width="14.5703125" bestFit="1" customWidth="1"/>
    <col min="6" max="7" width="14.570312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5"/>
  <cols>
    <col min="1" max="1" width="44.85546875" bestFit="1" customWidth="1"/>
    <col min="2" max="2" width="19.85546875" bestFit="1" customWidth="1"/>
    <col min="3" max="3" width="29.14062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5"/>
  <cols>
    <col min="2" max="2" width="32.5703125" bestFit="1" customWidth="1"/>
    <col min="3" max="3" width="12.8554687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5"/>
  <cols>
    <col min="2" max="2" width="18.140625" bestFit="1" customWidth="1"/>
    <col min="3" max="3" width="12.8554687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5"/>
  <cols>
    <col min="1" max="1" width="22.85546875" bestFit="1" customWidth="1"/>
    <col min="2" max="2" width="8.7109375" customWidth="1"/>
    <col min="3" max="3" width="12.8554687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5"/>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5"/>
  <cols>
    <col min="1" max="1" width="32.5703125" bestFit="1" customWidth="1"/>
    <col min="2" max="2" width="55.570312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5"/>
  <cols>
    <col min="1" max="1" width="29.28515625" bestFit="1" customWidth="1"/>
    <col min="2" max="2" width="12.8554687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5"/>
  <cols>
    <col min="1" max="1" width="10.85546875" bestFit="1" customWidth="1"/>
    <col min="2" max="2" width="26.42578125" bestFit="1" customWidth="1"/>
    <col min="3" max="3" width="19.8554687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5"/>
  <cols>
    <col min="1" max="1" width="11.8554687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5"/>
  <cols>
    <col min="1" max="1" width="7.5703125" bestFit="1" customWidth="1"/>
    <col min="2" max="2" width="13.140625" bestFit="1" customWidth="1"/>
    <col min="3" max="3" width="28.4257812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5"/>
  <cols>
    <col min="1" max="2" width="8.8554687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5"/>
  <cols>
    <col min="1" max="2" width="12.140625" bestFit="1" customWidth="1"/>
    <col min="3" max="3" width="14.140625" bestFit="1" customWidth="1"/>
    <col min="4" max="4" width="52.8554687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5"/>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5"/>
  <cols>
    <col min="2" max="2" width="26.7109375" bestFit="1" customWidth="1"/>
    <col min="3" max="3" width="25.85546875" bestFit="1" customWidth="1"/>
    <col min="4" max="4" width="29.140625" bestFit="1" customWidth="1"/>
    <col min="5" max="5" width="62.570312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5"/>
  <cols>
    <col min="1" max="1" width="6.85546875" customWidth="1"/>
    <col min="2" max="2" width="22" bestFit="1" customWidth="1"/>
    <col min="3" max="3" width="23.28515625" bestFit="1" customWidth="1"/>
    <col min="4" max="4" width="17.5703125" bestFit="1" customWidth="1"/>
    <col min="5" max="5" width="12.285156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5"/>
  <cols>
    <col min="1" max="1" width="11.7109375" bestFit="1" customWidth="1"/>
    <col min="2" max="2" width="12.42578125" bestFit="1" customWidth="1"/>
    <col min="3" max="3" width="19.14062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5"/>
  <cols>
    <col min="1" max="1" width="15.85546875" bestFit="1" customWidth="1"/>
    <col min="2" max="2" width="25.42578125" bestFit="1" customWidth="1"/>
    <col min="3" max="4" width="16.140625" bestFit="1" customWidth="1"/>
    <col min="5" max="5" width="19.14062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5"/>
  <cols>
    <col min="1" max="1" width="17.85546875" bestFit="1" customWidth="1"/>
    <col min="2" max="2" width="13.85546875" bestFit="1" customWidth="1"/>
    <col min="3" max="3" width="9.42578125" bestFit="1" customWidth="1"/>
    <col min="4" max="4" width="18.8554687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5"/>
  <cols>
    <col min="1" max="1" width="15.42578125" bestFit="1" customWidth="1"/>
    <col min="2" max="2" width="8.85546875" bestFit="1" customWidth="1"/>
    <col min="3" max="3" width="13.42578125" customWidth="1"/>
    <col min="4" max="4" width="15.710937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5"/>
  <cols>
    <col min="1" max="1" width="9.85546875" bestFit="1" customWidth="1"/>
    <col min="2" max="2" width="7.85546875" customWidth="1"/>
    <col min="3" max="3" width="31.8554687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5"/>
  <cols>
    <col min="2" max="2" width="52.140625" bestFit="1" customWidth="1"/>
    <col min="3" max="3" width="7.4257812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5"/>
  <cols>
    <col min="2" max="2" width="6.7109375" bestFit="1" customWidth="1"/>
    <col min="3" max="3" width="24.42578125" bestFit="1" customWidth="1"/>
    <col min="4" max="4" width="37.5703125" bestFit="1" customWidth="1"/>
    <col min="5" max="5" width="20.4257812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5"/>
  <cols>
    <col min="2" max="2" width="51.710937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5"/>
  <cols>
    <col min="2" max="2" width="15.14062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06" t="s">
        <v>3770</v>
      </c>
      <c r="C7" s="70">
        <f>_xlfn.NORM.S.INV(C2/2)</f>
        <v>-2.5758293035488999</v>
      </c>
    </row>
    <row r="8" spans="2:3">
      <c r="B8" s="406"/>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5"/>
  <cols>
    <col min="2" max="2" width="9.8554687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5"/>
  <cols>
    <col min="2" max="2" width="9.8554687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5"/>
  <cols>
    <col min="1" max="1" width="9.85546875" bestFit="1" customWidth="1"/>
    <col min="2" max="2" width="28.42578125" bestFit="1" customWidth="1"/>
    <col min="3" max="3" width="9.8554687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5"/>
  <cols>
    <col min="1" max="1" width="10.28515625" bestFit="1" customWidth="1"/>
    <col min="2" max="2" width="22.85546875" bestFit="1" customWidth="1"/>
    <col min="3" max="3" width="17.85546875" bestFit="1" customWidth="1"/>
    <col min="4" max="4" width="20.28515625" bestFit="1" customWidth="1"/>
    <col min="5" max="5" width="17.85546875" bestFit="1" customWidth="1"/>
    <col min="6" max="6" width="17.5703125" bestFit="1" customWidth="1"/>
    <col min="7" max="7" width="20.140625" bestFit="1" customWidth="1"/>
    <col min="8" max="8" width="18.285156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5"/>
  <cols>
    <col min="2" max="2" width="20.28515625" bestFit="1" customWidth="1"/>
    <col min="3" max="3" width="13.5703125" bestFit="1" customWidth="1"/>
    <col min="4" max="4" width="32.85546875" bestFit="1" customWidth="1"/>
    <col min="5" max="5" width="20.4257812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5"/>
  <cols>
    <col min="1" max="1" width="21.42578125" bestFit="1" customWidth="1"/>
    <col min="2" max="2" width="8.42578125" bestFit="1" customWidth="1"/>
    <col min="3" max="3" width="10.140625" bestFit="1" customWidth="1"/>
    <col min="4" max="4" width="11.5703125" bestFit="1" customWidth="1"/>
    <col min="5" max="5" width="12.7109375" bestFit="1" customWidth="1"/>
    <col min="6" max="6" width="24.8554687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5"/>
  <cols>
    <col min="1" max="1" width="6.5703125" bestFit="1" customWidth="1"/>
    <col min="2" max="2" width="13.5703125" bestFit="1" customWidth="1"/>
    <col min="3" max="3" width="12.710937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5"/>
  <cols>
    <col min="1" max="1" width="10.85546875" bestFit="1" customWidth="1"/>
    <col min="2" max="2" width="18.7109375" bestFit="1" customWidth="1"/>
    <col min="3" max="3" width="26.28515625" bestFit="1" customWidth="1"/>
    <col min="6" max="6" width="11.8554687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5"/>
  <cols>
    <col min="1" max="1" width="19.85546875" bestFit="1" customWidth="1"/>
    <col min="2" max="2" width="30.140625" bestFit="1" customWidth="1"/>
    <col min="3" max="3" width="22.42578125" bestFit="1" customWidth="1"/>
    <col min="4" max="4" width="28.85546875" bestFit="1" customWidth="1"/>
  </cols>
  <sheetData>
    <row r="1" spans="1:4">
      <c r="A1" s="1" t="s">
        <v>1633</v>
      </c>
      <c r="B1" s="1" t="s">
        <v>622</v>
      </c>
      <c r="C1" s="1" t="s">
        <v>1759</v>
      </c>
      <c r="D1" s="25" t="s">
        <v>1570</v>
      </c>
    </row>
    <row r="2" spans="1:4" ht="30">
      <c r="A2" s="406" t="s">
        <v>5167</v>
      </c>
      <c r="B2" s="2" t="s">
        <v>5168</v>
      </c>
      <c r="C2" s="108" t="str">
        <f>UPPER(A2)</f>
        <v>SENTENCE CASE IN EXCEL.</v>
      </c>
      <c r="D2" s="65" t="s">
        <v>5170</v>
      </c>
    </row>
    <row r="3" spans="1:4">
      <c r="A3" s="406"/>
      <c r="B3" s="2" t="s">
        <v>5169</v>
      </c>
      <c r="C3" s="7" t="str">
        <f>LOWER(A2)</f>
        <v>sentence case in excel.</v>
      </c>
      <c r="D3" s="65" t="s">
        <v>5171</v>
      </c>
    </row>
    <row r="4" spans="1:4">
      <c r="A4" s="406"/>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5"/>
  <cols>
    <col min="2" max="2" width="15.42578125" customWidth="1"/>
    <col min="3" max="3" width="23.710937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5"/>
  <cols>
    <col min="2" max="2" width="76.42578125" bestFit="1" customWidth="1"/>
    <col min="3" max="3" width="67.14062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5"/>
  <cols>
    <col min="2" max="2" width="45.5703125" bestFit="1" customWidth="1"/>
    <col min="3" max="3" width="47.5703125" customWidth="1"/>
  </cols>
  <sheetData>
    <row r="2" spans="2:3">
      <c r="B2" s="1" t="s">
        <v>5190</v>
      </c>
      <c r="C2" s="1" t="s">
        <v>5189</v>
      </c>
    </row>
    <row r="3" spans="2:3" ht="135">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5"/>
  <cols>
    <col min="2" max="2" width="47.85546875" bestFit="1" customWidth="1"/>
    <col min="3" max="3" width="71.4257812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5"/>
  <cols>
    <col min="1" max="1" width="45.85546875" bestFit="1" customWidth="1"/>
    <col min="2" max="2" width="45.8554687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5"/>
  <cols>
    <col min="1" max="1" width="6.42578125" bestFit="1" customWidth="1"/>
    <col min="2" max="2" width="5.85546875" bestFit="1" customWidth="1"/>
    <col min="3" max="3" width="10.85546875" bestFit="1" customWidth="1"/>
    <col min="4" max="4" width="17.4257812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30">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5"/>
  <cols>
    <col min="1" max="1" width="26.85546875" bestFit="1" customWidth="1"/>
    <col min="2" max="2" width="12" bestFit="1" customWidth="1"/>
    <col min="3" max="3" width="8.8554687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5"/>
  <cols>
    <col min="1" max="1" width="11.140625" bestFit="1" customWidth="1"/>
    <col min="8" max="8" width="19.140625" bestFit="1" customWidth="1"/>
  </cols>
  <sheetData>
    <row r="1" spans="1:9">
      <c r="A1" s="374" t="s">
        <v>201</v>
      </c>
      <c r="B1" s="374" t="s">
        <v>3486</v>
      </c>
      <c r="C1" s="374" t="s">
        <v>5222</v>
      </c>
      <c r="D1" s="374"/>
      <c r="E1" s="374"/>
      <c r="F1" s="374"/>
      <c r="H1" s="1" t="s">
        <v>30</v>
      </c>
      <c r="I1" s="2" t="s">
        <v>5221</v>
      </c>
    </row>
    <row r="2" spans="1:9">
      <c r="A2" s="374"/>
      <c r="B2" s="374"/>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5"/>
  <cols>
    <col min="2" max="2" width="10.140625" bestFit="1" customWidth="1"/>
    <col min="3" max="3" width="23.140625" bestFit="1" customWidth="1"/>
    <col min="5" max="5" width="18.140625" bestFit="1" customWidth="1"/>
    <col min="6" max="6" width="19.8554687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5"/>
  <cols>
    <col min="1" max="1" width="7.5703125" bestFit="1" customWidth="1"/>
    <col min="2" max="2" width="19.5703125" bestFit="1" customWidth="1"/>
    <col min="3" max="3" width="20.42578125" bestFit="1" customWidth="1"/>
    <col min="4" max="4" width="15.5703125" bestFit="1" customWidth="1"/>
    <col min="6" max="6" width="44.140625" bestFit="1" customWidth="1"/>
    <col min="7" max="7" width="16.14062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5"/>
  <cols>
    <col min="1" max="1" width="13.140625" bestFit="1" customWidth="1"/>
    <col min="2" max="2" width="14.42578125" bestFit="1" customWidth="1"/>
    <col min="3" max="3" width="15.8554687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74" t="s">
        <v>130</v>
      </c>
      <c r="B13" s="2" t="s">
        <v>3984</v>
      </c>
    </row>
    <row r="14" spans="1:3">
      <c r="A14" s="374"/>
      <c r="B14" s="1" t="s">
        <v>5239</v>
      </c>
    </row>
    <row r="15" spans="1:3">
      <c r="A15" s="374"/>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5"/>
  <cols>
    <col min="1" max="1" width="11.5703125" bestFit="1" customWidth="1"/>
    <col min="2" max="2" width="21.4257812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5"/>
  <cols>
    <col min="1" max="1" width="6.5703125" bestFit="1" customWidth="1"/>
    <col min="2" max="3" width="16.14062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5"/>
  <cols>
    <col min="1" max="4" width="8.7109375" customWidth="1"/>
  </cols>
  <sheetData>
    <row r="1" spans="1:4">
      <c r="B1" s="405" t="s">
        <v>5247</v>
      </c>
      <c r="C1" s="373"/>
      <c r="D1" s="373"/>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5"/>
  <cols>
    <col min="1" max="1" width="12.5703125" bestFit="1" customWidth="1"/>
    <col min="2" max="2" width="10.8554687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5"/>
  <cols>
    <col min="1" max="1" width="6.5703125" bestFit="1" customWidth="1"/>
    <col min="2" max="3" width="18.140625" bestFit="1" customWidth="1"/>
    <col min="4" max="4" width="19.710937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5"/>
  <cols>
    <col min="1" max="1" width="14.140625" bestFit="1" customWidth="1"/>
    <col min="3" max="3" width="9.28515625" bestFit="1" customWidth="1"/>
  </cols>
  <sheetData>
    <row r="1" spans="1:4">
      <c r="B1" s="405" t="s">
        <v>5259</v>
      </c>
      <c r="C1" s="373"/>
      <c r="D1" s="373"/>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5"/>
  <cols>
    <col min="1" max="1" width="12.5703125" bestFit="1" customWidth="1"/>
    <col min="2" max="2" width="19.14062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5"/>
  <cols>
    <col min="1" max="1" width="6.28515625" bestFit="1" customWidth="1"/>
    <col min="2" max="2" width="16.140625" bestFit="1" customWidth="1"/>
    <col min="3" max="3" width="15.7109375" bestFit="1" customWidth="1"/>
    <col min="4" max="4" width="19.140625" bestFit="1" customWidth="1"/>
  </cols>
  <sheetData>
    <row r="1" spans="1:4">
      <c r="B1" s="376" t="s">
        <v>3085</v>
      </c>
      <c r="C1" s="377"/>
      <c r="D1" s="378"/>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5"/>
  <cols>
    <col min="1" max="1" width="15.28515625" bestFit="1" customWidth="1"/>
    <col min="2" max="4" width="17.14062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5"/>
  <cols>
    <col min="1" max="1" width="18.14062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5"/>
  <cols>
    <col min="1" max="1" width="8.710937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5"/>
  <cols>
    <col min="1" max="1" width="18.140625" bestFit="1" customWidth="1"/>
    <col min="3" max="3" width="28.570312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5"/>
  <cols>
    <col min="1" max="1" width="16" bestFit="1" customWidth="1"/>
    <col min="3" max="3" width="33.570312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5"/>
  <cols>
    <col min="1" max="1" width="20.7109375" bestFit="1" customWidth="1"/>
    <col min="3" max="3" width="36.140625" bestFit="1" customWidth="1"/>
    <col min="4" max="4" width="9.7109375" bestFit="1" customWidth="1"/>
    <col min="5" max="5" width="8.7109375" customWidth="1"/>
  </cols>
  <sheetData>
    <row r="1" spans="1:9">
      <c r="A1" s="1" t="s">
        <v>5273</v>
      </c>
      <c r="C1" s="1" t="s">
        <v>622</v>
      </c>
      <c r="D1" s="1" t="s">
        <v>2887</v>
      </c>
      <c r="E1" s="1" t="s">
        <v>1727</v>
      </c>
    </row>
    <row r="2" spans="1:9">
      <c r="A2" s="82">
        <v>0.01</v>
      </c>
      <c r="C2" s="2" t="s">
        <v>5275</v>
      </c>
      <c r="D2" s="2" t="s">
        <v>3216</v>
      </c>
      <c r="E2" s="82">
        <v>0.04</v>
      </c>
    </row>
    <row r="3" spans="1:9">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5"/>
  <cols>
    <col min="1" max="1" width="10.85546875" bestFit="1" customWidth="1"/>
    <col min="3" max="3" width="27.140625" bestFit="1" customWidth="1"/>
    <col min="4" max="4" width="6.710937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5"/>
  <cols>
    <col min="4" max="4" width="17.5703125" bestFit="1" customWidth="1"/>
    <col min="8" max="8" width="27.140625" bestFit="1" customWidth="1"/>
    <col min="9" max="9" width="12.5703125" bestFit="1" customWidth="1"/>
    <col min="10" max="10" width="8.5703125" bestFit="1" customWidth="1"/>
  </cols>
  <sheetData>
    <row r="1" spans="1:10">
      <c r="A1" s="1" t="s">
        <v>5282</v>
      </c>
      <c r="B1" s="1" t="s">
        <v>5283</v>
      </c>
      <c r="D1" s="1" t="s">
        <v>5290</v>
      </c>
      <c r="E1" s="2">
        <f>_xlfn.VAR.P(A2:A21)</f>
        <v>119.92749999999999</v>
      </c>
      <c r="H1" t="s">
        <v>5284</v>
      </c>
    </row>
    <row r="2" spans="1:10" ht="15.7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5.7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5"/>
  <cols>
    <col min="3" max="3" width="28.5703125" bestFit="1" customWidth="1"/>
    <col min="4" max="4" width="11.8554687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5"/>
  <cols>
    <col min="1" max="1" width="35.85546875" style="14" bestFit="1" customWidth="1"/>
    <col min="2" max="2" width="9.7109375" style="14" customWidth="1"/>
    <col min="3" max="3" width="5.570312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5"/>
  <cols>
    <col min="2" max="2" width="35.85546875" bestFit="1" customWidth="1"/>
    <col min="3" max="3" width="9.85546875" bestFit="1" customWidth="1"/>
    <col min="4" max="4" width="5.5703125" bestFit="1" customWidth="1"/>
  </cols>
  <sheetData>
    <row r="1" spans="2:4" ht="15.75" thickBot="1"/>
    <row r="2" spans="2:4">
      <c r="B2" s="442" t="s">
        <v>5298</v>
      </c>
      <c r="C2" s="450"/>
      <c r="D2" s="443"/>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5.7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5"/>
  <cols>
    <col min="3" max="3" width="35.85546875" bestFit="1" customWidth="1"/>
    <col min="4" max="4" width="9.85546875" bestFit="1" customWidth="1"/>
    <col min="5" max="5" width="8.7109375" customWidth="1"/>
  </cols>
  <sheetData>
    <row r="1" spans="3:5" ht="15.75" thickBot="1"/>
    <row r="2" spans="3:5">
      <c r="C2" s="442" t="s">
        <v>5299</v>
      </c>
      <c r="D2" s="450"/>
      <c r="E2" s="443"/>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5.7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5"/>
  <cols>
    <col min="3" max="3" width="35.85546875" bestFit="1" customWidth="1"/>
    <col min="4" max="4" width="9.85546875" bestFit="1" customWidth="1"/>
  </cols>
  <sheetData>
    <row r="1" spans="3:5" ht="15.75" thickBot="1"/>
    <row r="2" spans="3:5">
      <c r="C2" s="442" t="s">
        <v>5300</v>
      </c>
      <c r="D2" s="450"/>
      <c r="E2" s="443"/>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5.7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5"/>
  <cols>
    <col min="1" max="1" width="32.42578125" bestFit="1" customWidth="1"/>
    <col min="2" max="2" width="36.7109375" bestFit="1" customWidth="1"/>
    <col min="3" max="3" width="5.71093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5"/>
  <cols>
    <col min="1" max="1" width="32.42578125" bestFit="1" customWidth="1"/>
    <col min="2" max="2" width="32.5703125" bestFit="1" customWidth="1"/>
    <col min="3" max="3" width="5.71093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5"/>
  <cols>
    <col min="1" max="1" width="35.85546875" bestFit="1" customWidth="1"/>
    <col min="2" max="2" width="9.85546875" bestFit="1" customWidth="1"/>
  </cols>
  <sheetData>
    <row r="1" spans="1:15" ht="15.75" thickBot="1"/>
    <row r="2" spans="1:15">
      <c r="A2" s="442" t="s">
        <v>5299</v>
      </c>
      <c r="B2" s="450"/>
      <c r="C2" s="443"/>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5.7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5"/>
  <cols>
    <col min="1" max="1" width="15.42578125" bestFit="1" customWidth="1"/>
    <col min="2" max="2" width="18.5703125" bestFit="1" customWidth="1"/>
    <col min="3" max="3" width="20.140625" customWidth="1"/>
    <col min="4" max="4" width="14.5703125" bestFit="1" customWidth="1"/>
  </cols>
  <sheetData>
    <row r="1" spans="1:4">
      <c r="A1" s="1" t="s">
        <v>5302</v>
      </c>
      <c r="B1" s="338">
        <v>180</v>
      </c>
    </row>
    <row r="2" spans="1:4">
      <c r="A2" s="1" t="s">
        <v>5304</v>
      </c>
      <c r="B2" s="338">
        <v>100</v>
      </c>
    </row>
    <row r="3" spans="1:4">
      <c r="A3" s="1" t="s">
        <v>5303</v>
      </c>
      <c r="B3" s="338">
        <v>2000</v>
      </c>
    </row>
    <row r="5" spans="1:4" ht="60">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5"/>
  <cols>
    <col min="3" max="3" width="16.140625" bestFit="1" customWidth="1"/>
    <col min="4" max="4" width="8.7109375" customWidth="1"/>
    <col min="5" max="5" width="26.14062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5"/>
  <cols>
    <col min="1" max="1" width="15.42578125" bestFit="1" customWidth="1"/>
    <col min="2" max="2" width="18.5703125" bestFit="1" customWidth="1"/>
    <col min="3" max="3" width="20.140625" customWidth="1"/>
    <col min="4" max="4" width="14.5703125" bestFit="1" customWidth="1"/>
  </cols>
  <sheetData>
    <row r="1" spans="1:4">
      <c r="A1" s="1" t="s">
        <v>210</v>
      </c>
      <c r="B1" s="2">
        <v>150</v>
      </c>
    </row>
    <row r="2" spans="1:4">
      <c r="A2" s="1" t="s">
        <v>5304</v>
      </c>
      <c r="B2" s="338">
        <v>30</v>
      </c>
    </row>
    <row r="3" spans="1:4">
      <c r="A3" s="1" t="s">
        <v>5303</v>
      </c>
      <c r="B3" s="338">
        <v>900</v>
      </c>
    </row>
    <row r="5" spans="1:4" ht="60">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5"/>
  <cols>
    <col min="2" max="2" width="23.42578125" bestFit="1" customWidth="1"/>
    <col min="3" max="3" width="8.7109375" customWidth="1"/>
  </cols>
  <sheetData>
    <row r="1" spans="2:3" ht="15.75" thickBot="1"/>
    <row r="2" spans="2:3" ht="15.75" thickBot="1">
      <c r="B2" s="409" t="s">
        <v>5323</v>
      </c>
      <c r="C2" s="411"/>
    </row>
    <row r="3" spans="2:3">
      <c r="B3" s="183" t="s">
        <v>5313</v>
      </c>
      <c r="C3" s="347">
        <v>15</v>
      </c>
    </row>
    <row r="4" spans="2:3">
      <c r="B4" s="180" t="s">
        <v>5314</v>
      </c>
      <c r="C4" s="344">
        <v>5</v>
      </c>
    </row>
    <row r="5" spans="2:3">
      <c r="B5" s="180" t="s">
        <v>5317</v>
      </c>
      <c r="C5" s="344">
        <v>50000</v>
      </c>
    </row>
    <row r="6" spans="2:3">
      <c r="B6" s="266"/>
      <c r="C6" s="267"/>
    </row>
    <row r="7" spans="2:3" ht="15.7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5"/>
  <cols>
    <col min="2" max="2" width="16.140625" bestFit="1" customWidth="1"/>
    <col min="3" max="3" width="10.7109375" customWidth="1"/>
    <col min="4" max="4" width="27.140625" bestFit="1" customWidth="1"/>
  </cols>
  <sheetData>
    <row r="1" spans="2:17">
      <c r="B1" s="374" t="s">
        <v>5315</v>
      </c>
      <c r="C1" s="374"/>
      <c r="D1" s="374"/>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5"/>
  <cols>
    <col min="3" max="3" width="26.140625" bestFit="1" customWidth="1"/>
    <col min="4" max="4" width="8.28515625" bestFit="1" customWidth="1"/>
  </cols>
  <sheetData>
    <row r="1" spans="3:4" ht="15.75" thickBot="1"/>
    <row r="2" spans="3:4" ht="15.75" thickBot="1">
      <c r="C2" s="409" t="s">
        <v>5318</v>
      </c>
      <c r="D2" s="411"/>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5.7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5"/>
  <cols>
    <col min="1" max="1" width="14.5703125" bestFit="1" customWidth="1"/>
    <col min="2" max="2" width="14.7109375" bestFit="1" customWidth="1"/>
    <col min="3" max="3" width="28.8554687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5"/>
  <cols>
    <col min="2" max="2" width="14.5703125" bestFit="1" customWidth="1"/>
    <col min="3" max="3" width="14.710937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5"/>
  <cols>
    <col min="3" max="3" width="22.42578125" bestFit="1" customWidth="1"/>
    <col min="4" max="4" width="22.570312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5"/>
  <cols>
    <col min="2" max="2" width="16.7109375" bestFit="1" customWidth="1"/>
    <col min="3" max="3" width="17.28515625" bestFit="1" customWidth="1"/>
    <col min="4" max="4" width="17.42578125" bestFit="1" customWidth="1"/>
  </cols>
  <sheetData>
    <row r="2" spans="2:4">
      <c r="B2" s="374" t="s">
        <v>5336</v>
      </c>
      <c r="C2" s="374"/>
      <c r="D2" s="374"/>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5"/>
  <cols>
    <col min="3" max="3" width="14.5703125" bestFit="1" customWidth="1"/>
    <col min="4" max="4" width="25.5703125" bestFit="1" customWidth="1"/>
    <col min="5" max="5" width="38.4257812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5"/>
  <cols>
    <col min="1" max="1" width="14.5703125" bestFit="1" customWidth="1"/>
    <col min="2" max="2" width="14.710937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5"/>
  <cols>
    <col min="1" max="4" width="8.7109375" customWidth="1"/>
  </cols>
  <sheetData>
    <row r="1" spans="1:4">
      <c r="A1" s="1" t="s">
        <v>33</v>
      </c>
      <c r="B1" s="374" t="s">
        <v>5343</v>
      </c>
      <c r="C1" s="374"/>
      <c r="D1" s="374"/>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5"/>
  <cols>
    <col min="1" max="1" width="13.85546875" bestFit="1" customWidth="1"/>
    <col min="2" max="4" width="13.28515625" customWidth="1"/>
  </cols>
  <sheetData>
    <row r="1" spans="1:4">
      <c r="B1" s="376" t="s">
        <v>5352</v>
      </c>
      <c r="C1" s="377"/>
      <c r="D1" s="378"/>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5"/>
  <cols>
    <col min="1" max="1" width="8.7109375" customWidth="1"/>
    <col min="2" max="2" width="15.42578125" bestFit="1" customWidth="1"/>
    <col min="3" max="3" width="15.285156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5"/>
  <cols>
    <col min="2" max="2" width="12.570312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5"/>
  <cols>
    <col min="2" max="2" width="12.570312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5"/>
  <sheetData>
    <row r="1" spans="1:5">
      <c r="B1" s="374" t="s">
        <v>5356</v>
      </c>
      <c r="C1" s="374"/>
      <c r="D1" s="374"/>
      <c r="E1" s="374"/>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5"/>
  <cols>
    <col min="2" max="5" width="8.7109375" customWidth="1"/>
  </cols>
  <sheetData>
    <row r="1" spans="1:5">
      <c r="A1" s="1" t="s">
        <v>33</v>
      </c>
      <c r="B1" s="376" t="s">
        <v>5358</v>
      </c>
      <c r="C1" s="377"/>
      <c r="D1" s="377"/>
      <c r="E1" s="378"/>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5"/>
  <cols>
    <col min="2" max="5" width="8.7109375" customWidth="1"/>
  </cols>
  <sheetData>
    <row r="1" spans="1:5">
      <c r="B1" s="374" t="s">
        <v>5363</v>
      </c>
      <c r="C1" s="374"/>
      <c r="D1" s="374"/>
      <c r="E1" s="374"/>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5"/>
  <sheetData>
    <row r="1" spans="1:5">
      <c r="B1" s="374" t="s">
        <v>5222</v>
      </c>
      <c r="C1" s="374"/>
      <c r="D1" s="374"/>
      <c r="E1" s="374"/>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5"/>
  <cols>
    <col min="1" max="1" width="11.140625" bestFit="1" customWidth="1"/>
    <col min="2" max="2" width="11.140625" customWidth="1"/>
  </cols>
  <sheetData>
    <row r="1" spans="1:4">
      <c r="C1" s="405" t="s">
        <v>1457</v>
      </c>
      <c r="D1" s="373"/>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5"/>
  <cols>
    <col min="1" max="2" width="8.7109375" customWidth="1"/>
    <col min="3" max="3" width="15.14062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5"/>
  <cols>
    <col min="2" max="2" width="15.28515625" bestFit="1" customWidth="1"/>
    <col min="3" max="3" width="15.14062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5"/>
  <cols>
    <col min="5" max="5" width="16.14062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5"/>
  <cols>
    <col min="1" max="1" width="36.42578125" bestFit="1" customWidth="1"/>
    <col min="3" max="3" width="44.8554687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5"/>
  <cols>
    <col min="2" max="2" width="36.4257812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5"/>
  <cols>
    <col min="3" max="3" width="36.42578125" bestFit="1" customWidth="1"/>
    <col min="4" max="4" width="12.570312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76" t="s">
        <v>5371</v>
      </c>
      <c r="D8" s="378"/>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5"/>
  <cols>
    <col min="4" max="4" width="52.28515625" bestFit="1" customWidth="1"/>
    <col min="5" max="5" width="8.7109375" customWidth="1"/>
  </cols>
  <sheetData>
    <row r="1" spans="4:5">
      <c r="D1" s="405" t="s">
        <v>5375</v>
      </c>
      <c r="E1" s="373"/>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5"/>
  <cols>
    <col min="2" max="2" width="17.140625" bestFit="1" customWidth="1"/>
    <col min="3" max="3" width="17.140625" customWidth="1"/>
    <col min="6" max="6" width="30.14062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5"/>
  <cols>
    <col min="1" max="1" width="36.4257812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5"/>
  <cols>
    <col min="1" max="1" width="11.5703125" bestFit="1" customWidth="1"/>
    <col min="2" max="2" width="8.7109375"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5379</v>
      </c>
      <c r="B4" s="474"/>
      <c r="C4" s="474"/>
      <c r="D4" s="474"/>
    </row>
    <row r="5" spans="1:14" ht="45">
      <c r="A5" s="1" t="s">
        <v>97</v>
      </c>
      <c r="B5" s="8" t="s">
        <v>469</v>
      </c>
      <c r="C5" s="8" t="s">
        <v>5380</v>
      </c>
      <c r="D5" s="8" t="s">
        <v>5381</v>
      </c>
      <c r="E5" s="474" t="s">
        <v>5384</v>
      </c>
      <c r="F5" s="474"/>
      <c r="G5" s="474"/>
      <c r="H5" s="474"/>
      <c r="I5" s="474"/>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5391</v>
      </c>
      <c r="B4" s="474"/>
      <c r="C4" s="474"/>
      <c r="D4" s="474"/>
    </row>
    <row r="5" spans="1:14" ht="45">
      <c r="A5" s="1" t="s">
        <v>155</v>
      </c>
      <c r="B5" s="8" t="s">
        <v>469</v>
      </c>
      <c r="C5" s="8" t="s">
        <v>5380</v>
      </c>
      <c r="D5" s="8" t="s">
        <v>5381</v>
      </c>
      <c r="E5" s="475" t="s">
        <v>5384</v>
      </c>
      <c r="F5" s="477"/>
      <c r="G5" s="477"/>
      <c r="H5" s="477"/>
      <c r="I5" s="477"/>
      <c r="J5" s="477"/>
      <c r="K5" s="476"/>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5392</v>
      </c>
      <c r="B4" s="474"/>
      <c r="C4" s="474"/>
      <c r="D4" s="474"/>
    </row>
    <row r="5" spans="1:14" ht="45">
      <c r="A5" s="1" t="s">
        <v>5393</v>
      </c>
      <c r="B5" s="8" t="s">
        <v>469</v>
      </c>
      <c r="C5" s="8" t="s">
        <v>5380</v>
      </c>
      <c r="D5" s="8" t="s">
        <v>5381</v>
      </c>
      <c r="E5" s="474" t="s">
        <v>5384</v>
      </c>
      <c r="F5" s="474"/>
      <c r="G5" s="474"/>
      <c r="H5" s="474"/>
      <c r="I5" s="474"/>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5394</v>
      </c>
      <c r="B4" s="474"/>
      <c r="C4" s="474"/>
      <c r="D4" s="474"/>
    </row>
    <row r="5" spans="1:14" ht="45">
      <c r="A5" s="1" t="s">
        <v>2296</v>
      </c>
      <c r="B5" s="8" t="s">
        <v>469</v>
      </c>
      <c r="C5" s="8" t="s">
        <v>5380</v>
      </c>
      <c r="D5" s="8" t="s">
        <v>5381</v>
      </c>
      <c r="E5" s="474" t="s">
        <v>5384</v>
      </c>
      <c r="F5" s="474"/>
      <c r="G5" s="474"/>
      <c r="H5" s="474"/>
      <c r="I5" s="474"/>
      <c r="J5" s="474"/>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5399</v>
      </c>
      <c r="B4" s="474"/>
      <c r="C4" s="474"/>
      <c r="D4" s="474"/>
    </row>
    <row r="5" spans="1:14" ht="45">
      <c r="A5" s="1" t="s">
        <v>5048</v>
      </c>
      <c r="B5" s="8" t="s">
        <v>469</v>
      </c>
      <c r="C5" s="8" t="s">
        <v>5380</v>
      </c>
      <c r="D5" s="8" t="s">
        <v>5381</v>
      </c>
      <c r="E5" s="474" t="s">
        <v>5384</v>
      </c>
      <c r="F5" s="474"/>
      <c r="G5" s="474"/>
      <c r="H5" s="474"/>
      <c r="I5" s="474"/>
      <c r="J5" s="474"/>
      <c r="K5" s="474"/>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5"/>
  <cols>
    <col min="1" max="1" width="11.5703125" bestFit="1" customWidth="1"/>
    <col min="3" max="3" width="26.425781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5401</v>
      </c>
      <c r="B4" s="474"/>
      <c r="C4" s="474"/>
      <c r="D4" s="474"/>
    </row>
    <row r="5" spans="1:14" ht="45">
      <c r="A5" s="1" t="s">
        <v>5402</v>
      </c>
      <c r="B5" s="8" t="s">
        <v>469</v>
      </c>
      <c r="C5" s="8" t="s">
        <v>5400</v>
      </c>
      <c r="D5" s="8" t="s">
        <v>5381</v>
      </c>
      <c r="E5" s="474" t="s">
        <v>5384</v>
      </c>
      <c r="F5" s="474"/>
      <c r="G5" s="474"/>
      <c r="H5" s="474"/>
      <c r="I5" s="474"/>
      <c r="J5" s="474"/>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5"/>
  <cols>
    <col min="1" max="1" width="8.7109375" bestFit="1" customWidth="1"/>
    <col min="2" max="2" width="9.140625" bestFit="1" customWidth="1"/>
    <col min="3" max="3" width="8.42578125" bestFit="1" customWidth="1"/>
    <col min="4" max="4" width="16.14062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5"/>
  <cols>
    <col min="1" max="1" width="6.85546875" bestFit="1" customWidth="1"/>
    <col min="2" max="2" width="8.28515625" bestFit="1" customWidth="1"/>
    <col min="3" max="3" width="9" bestFit="1" customWidth="1"/>
    <col min="4" max="4" width="13.8554687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5"/>
  <cols>
    <col min="1" max="1" width="11" bestFit="1" customWidth="1"/>
    <col min="2" max="2" width="20.5703125" bestFit="1" customWidth="1"/>
    <col min="3" max="3" width="14.140625" bestFit="1" customWidth="1"/>
    <col min="4" max="4" width="25.8554687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5"/>
  <cols>
    <col min="1" max="1" width="10.42578125" customWidth="1"/>
    <col min="2" max="2" width="12.5703125" customWidth="1"/>
    <col min="3" max="4" width="10.14062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5"/>
  <cols>
    <col min="1" max="1" width="7.42578125" bestFit="1" customWidth="1"/>
    <col min="2" max="2" width="12" bestFit="1" customWidth="1"/>
    <col min="3" max="3" width="8.42578125" bestFit="1" customWidth="1"/>
    <col min="4" max="4" width="9" bestFit="1" customWidth="1"/>
  </cols>
  <sheetData>
    <row r="1" spans="1:4">
      <c r="A1" s="374" t="s">
        <v>4192</v>
      </c>
      <c r="B1" s="374"/>
      <c r="C1" s="374"/>
      <c r="D1" s="374"/>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74" t="s">
        <v>4193</v>
      </c>
      <c r="B9" s="374"/>
      <c r="C9" s="374"/>
      <c r="D9" s="374"/>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topLeftCell="A136" zoomScale="130" zoomScaleNormal="130" workbookViewId="0">
      <selection activeCell="D8" sqref="D8"/>
    </sheetView>
  </sheetViews>
  <sheetFormatPr defaultRowHeight="15"/>
  <sheetData>
    <row r="5" spans="1:9">
      <c r="A5" s="131" t="s">
        <v>5463</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8"/>
  <sheetViews>
    <sheetView showGridLines="0" zoomScale="110" zoomScaleNormal="110" workbookViewId="0">
      <selection activeCell="C11" sqref="C11"/>
    </sheetView>
  </sheetViews>
  <sheetFormatPr defaultRowHeight="15"/>
  <cols>
    <col min="1" max="2" width="8.28515625" bestFit="1" customWidth="1"/>
    <col min="3" max="3" width="9.140625" bestFit="1" customWidth="1"/>
    <col min="4" max="4" width="9.5703125" bestFit="1" customWidth="1"/>
    <col min="5" max="5" width="5.140625" customWidth="1"/>
    <col min="6" max="6" width="6.28515625" customWidth="1"/>
    <col min="7" max="7" width="9.5703125" bestFit="1" customWidth="1"/>
    <col min="8" max="8" width="8.7109375" customWidth="1"/>
    <col min="9" max="10" width="8.140625" customWidth="1"/>
    <col min="11" max="11" width="10.28515625" bestFit="1" customWidth="1"/>
  </cols>
  <sheetData>
    <row r="2" spans="1:11">
      <c r="A2" s="374" t="s">
        <v>5431</v>
      </c>
      <c r="B2" s="374"/>
      <c r="C2" s="374"/>
      <c r="D2" s="374"/>
      <c r="G2" s="374" t="s">
        <v>5432</v>
      </c>
      <c r="H2" s="374"/>
      <c r="I2" s="374"/>
      <c r="J2" s="374"/>
      <c r="K2" s="374"/>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row>
    <row r="5" spans="1:11">
      <c r="A5" s="53">
        <v>174.38</v>
      </c>
      <c r="B5" s="53">
        <v>111.51</v>
      </c>
      <c r="C5" s="53">
        <v>111.65</v>
      </c>
      <c r="D5" s="53">
        <v>277.14</v>
      </c>
      <c r="G5" t="s">
        <v>1538</v>
      </c>
      <c r="H5">
        <v>42.221988000000053</v>
      </c>
      <c r="I5">
        <f>VARP(CovMat_Example!$B$4:$B$8)</f>
        <v>69.538015999999999</v>
      </c>
    </row>
    <row r="6" spans="1:11">
      <c r="A6" s="53">
        <v>161.22</v>
      </c>
      <c r="B6" s="53">
        <v>120.11</v>
      </c>
      <c r="C6" s="53">
        <v>110.18</v>
      </c>
      <c r="D6" s="53">
        <v>289.49</v>
      </c>
      <c r="G6" t="s">
        <v>1534</v>
      </c>
      <c r="H6">
        <v>41.749612000000035</v>
      </c>
      <c r="I6">
        <v>46.408204000000026</v>
      </c>
      <c r="J6">
        <f>VARP(CovMat_Example!$C$4:$C$8)</f>
        <v>63.362375999999983</v>
      </c>
    </row>
    <row r="7" spans="1:11" ht="15.7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sheetData>
  <mergeCells count="2">
    <mergeCell ref="A2:D2"/>
    <mergeCell ref="G2:K2"/>
  </mergeCells>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8"/>
  <sheetViews>
    <sheetView showGridLines="0" workbookViewId="0">
      <selection activeCell="F14" sqref="F14"/>
    </sheetView>
  </sheetViews>
  <sheetFormatPr defaultRowHeight="15"/>
  <cols>
    <col min="1" max="1" width="12.140625" bestFit="1" customWidth="1"/>
    <col min="2" max="2" width="8.7109375" customWidth="1"/>
    <col min="3" max="3" width="10.7109375" bestFit="1" customWidth="1"/>
    <col min="4" max="4" width="12.5703125" bestFit="1" customWidth="1"/>
    <col min="5" max="5" width="3.28515625" customWidth="1"/>
    <col min="6" max="6" width="12.42578125" bestFit="1" customWidth="1"/>
    <col min="7" max="7" width="7.7109375" bestFit="1" customWidth="1"/>
    <col min="8" max="8" width="11.28515625" bestFit="1" customWidth="1"/>
    <col min="9" max="9" width="13.140625" bestFit="1" customWidth="1"/>
  </cols>
  <sheetData>
    <row r="2" spans="1:9" ht="15.75" thickBot="1">
      <c r="A2" s="374" t="s">
        <v>5435</v>
      </c>
      <c r="B2" s="376" t="s">
        <v>5434</v>
      </c>
      <c r="C2" s="377"/>
      <c r="D2" s="378"/>
      <c r="F2" s="374" t="s">
        <v>5432</v>
      </c>
      <c r="G2" s="374"/>
      <c r="H2" s="374"/>
      <c r="I2" s="374"/>
    </row>
    <row r="3" spans="1:9">
      <c r="A3" s="374"/>
      <c r="B3" s="1" t="s">
        <v>98</v>
      </c>
      <c r="C3" s="1" t="s">
        <v>99</v>
      </c>
      <c r="D3" s="1" t="s">
        <v>394</v>
      </c>
      <c r="F3" s="245"/>
      <c r="G3" s="245" t="s">
        <v>98</v>
      </c>
      <c r="H3" s="245" t="s">
        <v>99</v>
      </c>
      <c r="I3" s="245" t="s">
        <v>394</v>
      </c>
    </row>
    <row r="4" spans="1:9">
      <c r="A4" s="2">
        <v>1</v>
      </c>
      <c r="B4" s="356">
        <v>98</v>
      </c>
      <c r="C4" s="356">
        <v>99</v>
      </c>
      <c r="D4" s="356">
        <v>75</v>
      </c>
      <c r="F4" t="s">
        <v>98</v>
      </c>
      <c r="G4">
        <f>VARP(CovMat_Use!$B$4:$B$8)</f>
        <v>58.96</v>
      </c>
    </row>
    <row r="5" spans="1:9">
      <c r="A5" s="2">
        <v>2</v>
      </c>
      <c r="B5" s="357">
        <v>80</v>
      </c>
      <c r="C5" s="357">
        <v>85</v>
      </c>
      <c r="D5" s="357">
        <v>100</v>
      </c>
      <c r="F5" t="s">
        <v>99</v>
      </c>
      <c r="G5">
        <v>57.2</v>
      </c>
      <c r="H5">
        <f>VARP(CovMat_Use!$C$4:$C$8)</f>
        <v>72.8</v>
      </c>
    </row>
    <row r="6" spans="1:9" ht="15.7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sheetData>
  <mergeCells count="3">
    <mergeCell ref="B2:D2"/>
    <mergeCell ref="F2:I2"/>
    <mergeCell ref="A2:A3"/>
  </mergeCells>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13"/>
  <sheetViews>
    <sheetView showGridLines="0" workbookViewId="0">
      <selection activeCell="B17" sqref="B17"/>
    </sheetView>
  </sheetViews>
  <sheetFormatPr defaultRowHeight="15"/>
  <cols>
    <col min="1" max="1" width="8.140625" customWidth="1"/>
    <col min="2" max="2" width="13" customWidth="1"/>
    <col min="3" max="3" width="11.5703125" customWidth="1"/>
    <col min="4" max="4" width="12.5703125" customWidth="1"/>
    <col min="5" max="5" width="2.42578125" customWidth="1"/>
    <col min="6" max="6" width="7.42578125" bestFit="1" customWidth="1"/>
    <col min="7" max="8" width="8.5703125" customWidth="1"/>
    <col min="9" max="9" width="10.85546875" customWidth="1"/>
  </cols>
  <sheetData>
    <row r="2" spans="1:9" ht="15.75" thickBot="1">
      <c r="A2" s="374" t="s">
        <v>2232</v>
      </c>
      <c r="B2" s="376" t="s">
        <v>5447</v>
      </c>
      <c r="C2" s="377"/>
      <c r="D2" s="378"/>
      <c r="F2" s="374" t="s">
        <v>5432</v>
      </c>
      <c r="G2" s="374"/>
      <c r="H2" s="374"/>
      <c r="I2" s="374"/>
    </row>
    <row r="3" spans="1:9">
      <c r="A3" s="374"/>
      <c r="B3" s="1" t="s">
        <v>899</v>
      </c>
      <c r="C3" s="1" t="s">
        <v>3252</v>
      </c>
      <c r="D3" s="1" t="s">
        <v>5446</v>
      </c>
      <c r="F3" s="245"/>
      <c r="G3" s="245" t="s">
        <v>899</v>
      </c>
      <c r="H3" s="245" t="s">
        <v>3252</v>
      </c>
      <c r="I3" s="245" t="s">
        <v>5446</v>
      </c>
    </row>
    <row r="4" spans="1:9">
      <c r="A4" s="2" t="s">
        <v>5436</v>
      </c>
      <c r="B4" s="356">
        <v>40</v>
      </c>
      <c r="C4" s="356">
        <v>63</v>
      </c>
      <c r="D4" s="356">
        <v>161</v>
      </c>
      <c r="F4" t="s">
        <v>899</v>
      </c>
      <c r="G4">
        <f>VARP('CovMat_Example 1'!$B$4:$B$13)</f>
        <v>13.05</v>
      </c>
    </row>
    <row r="5" spans="1:9">
      <c r="A5" s="2" t="s">
        <v>5437</v>
      </c>
      <c r="B5" s="356">
        <v>35</v>
      </c>
      <c r="C5" s="356">
        <v>59</v>
      </c>
      <c r="D5" s="356">
        <v>159</v>
      </c>
      <c r="F5" t="s">
        <v>3252</v>
      </c>
      <c r="G5">
        <v>7.95</v>
      </c>
      <c r="H5">
        <f>VARP('CovMat_Example 1'!$C$4:$C$13)</f>
        <v>21.65</v>
      </c>
    </row>
    <row r="6" spans="1:9" ht="15.75" thickBot="1">
      <c r="A6" s="2" t="s">
        <v>5438</v>
      </c>
      <c r="B6" s="356">
        <v>39</v>
      </c>
      <c r="C6" s="356">
        <v>64</v>
      </c>
      <c r="D6" s="356">
        <v>163</v>
      </c>
      <c r="F6" s="169" t="s">
        <v>5446</v>
      </c>
      <c r="G6" s="169">
        <v>7.85</v>
      </c>
      <c r="H6" s="169">
        <v>19.05</v>
      </c>
      <c r="I6" s="169">
        <f>VARP('CovMat_Example 1'!$D$4:$D$13)</f>
        <v>17.850000000000001</v>
      </c>
    </row>
    <row r="7" spans="1:9">
      <c r="A7" s="2" t="s">
        <v>5439</v>
      </c>
      <c r="B7" s="356">
        <v>32</v>
      </c>
      <c r="C7" s="356">
        <v>69</v>
      </c>
      <c r="D7" s="356">
        <v>165</v>
      </c>
    </row>
    <row r="8" spans="1:9">
      <c r="A8" s="2" t="s">
        <v>5440</v>
      </c>
      <c r="B8" s="356">
        <v>33</v>
      </c>
      <c r="C8" s="356">
        <v>60</v>
      </c>
      <c r="D8" s="356">
        <v>160</v>
      </c>
    </row>
    <row r="9" spans="1:9">
      <c r="A9" s="2" t="s">
        <v>5441</v>
      </c>
      <c r="B9" s="356">
        <v>30</v>
      </c>
      <c r="C9" s="356">
        <v>55</v>
      </c>
      <c r="D9" s="356">
        <v>155</v>
      </c>
    </row>
    <row r="10" spans="1:9">
      <c r="A10" s="2" t="s">
        <v>5442</v>
      </c>
      <c r="B10" s="356">
        <v>31</v>
      </c>
      <c r="C10" s="356">
        <v>61</v>
      </c>
      <c r="D10" s="356">
        <v>160</v>
      </c>
    </row>
    <row r="11" spans="1:9">
      <c r="A11" s="2" t="s">
        <v>5443</v>
      </c>
      <c r="B11" s="356">
        <v>40</v>
      </c>
      <c r="C11" s="356">
        <v>65</v>
      </c>
      <c r="D11" s="356">
        <v>164</v>
      </c>
    </row>
    <row r="12" spans="1:9">
      <c r="A12" s="2" t="s">
        <v>5444</v>
      </c>
      <c r="B12" s="356">
        <v>38</v>
      </c>
      <c r="C12" s="356">
        <v>69</v>
      </c>
      <c r="D12" s="356">
        <v>168</v>
      </c>
    </row>
    <row r="13" spans="1:9">
      <c r="A13" s="2" t="s">
        <v>5445</v>
      </c>
      <c r="B13" s="356">
        <v>37</v>
      </c>
      <c r="C13" s="356">
        <v>70</v>
      </c>
      <c r="D13" s="356">
        <v>170</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4"/>
  <sheetViews>
    <sheetView showGridLines="0" zoomScaleNormal="100" workbookViewId="0">
      <selection activeCell="D13" sqref="D13"/>
    </sheetView>
  </sheetViews>
  <sheetFormatPr defaultRowHeight="15"/>
  <cols>
    <col min="1" max="1" width="12.42578125" customWidth="1"/>
    <col min="2" max="2" width="16.7109375" customWidth="1"/>
    <col min="3" max="3" width="7.7109375" customWidth="1"/>
    <col min="4" max="4" width="7.28515625" customWidth="1"/>
    <col min="5" max="5" width="7.42578125" customWidth="1"/>
    <col min="6" max="6" width="7.7109375" customWidth="1"/>
    <col min="7" max="7" width="7.5703125" customWidth="1"/>
    <col min="8" max="8" width="7.85546875" customWidth="1"/>
    <col min="9" max="9" width="6" customWidth="1"/>
    <col min="10" max="10" width="6.42578125" customWidth="1"/>
    <col min="11" max="11" width="17.28515625" bestFit="1" customWidth="1"/>
    <col min="12" max="12" width="17.7109375" bestFit="1" customWidth="1"/>
    <col min="13" max="13" width="16.28515625" bestFit="1" customWidth="1"/>
  </cols>
  <sheetData>
    <row r="1" spans="1:13" ht="15.75" thickBot="1">
      <c r="C1" s="374" t="s">
        <v>33</v>
      </c>
      <c r="D1" s="374"/>
      <c r="E1" s="374"/>
      <c r="F1" s="374"/>
      <c r="G1" s="374"/>
      <c r="H1" s="374"/>
      <c r="K1" s="376" t="s">
        <v>5432</v>
      </c>
      <c r="L1" s="377"/>
      <c r="M1" s="378"/>
    </row>
    <row r="2" spans="1:13">
      <c r="C2" s="1">
        <v>2015</v>
      </c>
      <c r="D2" s="1">
        <v>2016</v>
      </c>
      <c r="E2" s="1">
        <v>2017</v>
      </c>
      <c r="F2" s="1">
        <v>2018</v>
      </c>
      <c r="G2" s="1">
        <v>2019</v>
      </c>
      <c r="H2" s="1">
        <v>2020</v>
      </c>
      <c r="K2" s="245"/>
      <c r="L2" s="245" t="s">
        <v>5448</v>
      </c>
      <c r="M2" s="245" t="s">
        <v>5449</v>
      </c>
    </row>
    <row r="3" spans="1:13">
      <c r="A3" s="474" t="s">
        <v>5450</v>
      </c>
      <c r="B3" s="1" t="s">
        <v>5448</v>
      </c>
      <c r="C3" s="15">
        <v>8.5000000000000006E-2</v>
      </c>
      <c r="D3" s="15">
        <v>9.9000000000000005E-2</v>
      </c>
      <c r="E3" s="15">
        <v>9.5000000000000001E-2</v>
      </c>
      <c r="F3" s="15">
        <v>7.85E-2</v>
      </c>
      <c r="G3" s="15">
        <v>6.9800000000000001E-2</v>
      </c>
      <c r="H3" s="15">
        <v>8.8800000000000004E-2</v>
      </c>
      <c r="K3" t="s">
        <v>5448</v>
      </c>
      <c r="L3">
        <f>VARP('CovMat_Example 2'!$C$3:$H$3)</f>
        <v>9.6254722222222704E-5</v>
      </c>
    </row>
    <row r="4" spans="1:13" ht="15.75" thickBot="1">
      <c r="A4" s="474"/>
      <c r="B4" s="1" t="s">
        <v>5449</v>
      </c>
      <c r="C4" s="15">
        <v>6.4500000000000002E-2</v>
      </c>
      <c r="D4" s="15">
        <v>8.3400000000000002E-2</v>
      </c>
      <c r="E4" s="15">
        <v>9.5500000000000002E-2</v>
      </c>
      <c r="F4" s="15">
        <v>6.3100000000000003E-2</v>
      </c>
      <c r="G4" s="15">
        <v>7.1400000000000005E-2</v>
      </c>
      <c r="H4" s="15">
        <v>5.8200000000000002E-2</v>
      </c>
      <c r="K4" s="169" t="s">
        <v>5449</v>
      </c>
      <c r="L4" s="169">
        <v>6.7493611111111096E-5</v>
      </c>
      <c r="M4" s="169">
        <f>VARP('CovMat_Example 2'!$C$4:$H$4)</f>
        <v>1.6761138888888829E-4</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15"/>
  <sheetViews>
    <sheetView showGridLines="0" workbookViewId="0">
      <selection activeCell="A18" sqref="A18"/>
    </sheetView>
  </sheetViews>
  <sheetFormatPr defaultRowHeight="15"/>
  <cols>
    <col min="1" max="3" width="9.140625" customWidth="1"/>
    <col min="4" max="4" width="3" customWidth="1"/>
    <col min="5" max="5" width="2.85546875" customWidth="1"/>
    <col min="6" max="6" width="6.140625" customWidth="1"/>
    <col min="7" max="7" width="8.28515625" customWidth="1"/>
    <col min="8" max="8" width="9" customWidth="1"/>
    <col min="9" max="9" width="8.42578125" customWidth="1"/>
    <col min="10" max="10" width="9.7109375" customWidth="1"/>
  </cols>
  <sheetData>
    <row r="1" spans="1:10">
      <c r="A1" s="374" t="s">
        <v>5433</v>
      </c>
      <c r="B1" s="374"/>
      <c r="C1" s="374"/>
      <c r="F1" s="376" t="s">
        <v>5453</v>
      </c>
      <c r="G1" s="377"/>
      <c r="H1" s="377"/>
      <c r="I1" s="377"/>
      <c r="J1" s="378"/>
    </row>
    <row r="2" spans="1:10">
      <c r="A2" s="1" t="s">
        <v>3511</v>
      </c>
      <c r="B2" s="1" t="s">
        <v>3512</v>
      </c>
      <c r="C2" s="1" t="s">
        <v>1760</v>
      </c>
      <c r="F2" s="1" t="s">
        <v>5454</v>
      </c>
      <c r="G2" s="364">
        <f>AVERAGE(A3:A7)</f>
        <v>21.2</v>
      </c>
      <c r="H2" s="353" t="s">
        <v>5456</v>
      </c>
      <c r="I2" s="1" t="s">
        <v>5457</v>
      </c>
      <c r="J2" s="1" t="s">
        <v>5459</v>
      </c>
    </row>
    <row r="3" spans="1:10">
      <c r="A3" s="356">
        <v>10</v>
      </c>
      <c r="B3" s="356">
        <v>14</v>
      </c>
      <c r="C3" s="356">
        <v>38</v>
      </c>
      <c r="F3" s="1" t="s">
        <v>5455</v>
      </c>
      <c r="G3" s="364">
        <f>AVERAGE(B3:B7)</f>
        <v>29</v>
      </c>
      <c r="H3" s="358">
        <f>A3-$G$2</f>
        <v>-11.2</v>
      </c>
      <c r="I3" s="358">
        <f>B3-$G$3</f>
        <v>-15</v>
      </c>
      <c r="J3" s="358">
        <f>C3-$G$4</f>
        <v>9.3999999999999986</v>
      </c>
    </row>
    <row r="4" spans="1:10">
      <c r="A4" s="357">
        <v>25</v>
      </c>
      <c r="B4" s="357">
        <v>29</v>
      </c>
      <c r="C4" s="357">
        <v>27</v>
      </c>
      <c r="F4" s="1" t="s">
        <v>5458</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5.75" thickBot="1">
      <c r="A10" s="374" t="s">
        <v>5452</v>
      </c>
      <c r="B10" s="374"/>
      <c r="C10" s="374"/>
      <c r="D10" s="374"/>
      <c r="G10" s="374" t="s">
        <v>5451</v>
      </c>
      <c r="H10" s="374"/>
      <c r="I10" s="374"/>
      <c r="J10" s="374"/>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5.7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15"/>
  <sheetViews>
    <sheetView showGridLines="0" tabSelected="1" zoomScaleNormal="100" workbookViewId="0">
      <selection activeCell="E18" sqref="E18"/>
    </sheetView>
  </sheetViews>
  <sheetFormatPr defaultRowHeight="15"/>
  <cols>
    <col min="1" max="1" width="11.140625" bestFit="1" customWidth="1"/>
    <col min="2" max="2" width="9" customWidth="1"/>
    <col min="3" max="3" width="7.5703125" customWidth="1"/>
    <col min="4" max="4" width="8.42578125" customWidth="1"/>
    <col min="5" max="5" width="17.140625" customWidth="1"/>
    <col min="7" max="9" width="12" bestFit="1" customWidth="1"/>
  </cols>
  <sheetData>
    <row r="2" spans="1:9" ht="15.75" thickBot="1">
      <c r="A2" s="374" t="s">
        <v>670</v>
      </c>
      <c r="B2" s="376" t="s">
        <v>5460</v>
      </c>
      <c r="C2" s="377"/>
      <c r="D2" s="378"/>
      <c r="F2" s="374" t="s">
        <v>5432</v>
      </c>
      <c r="G2" s="374"/>
      <c r="H2" s="374"/>
      <c r="I2" s="374"/>
    </row>
    <row r="3" spans="1:9">
      <c r="A3" s="374"/>
      <c r="B3" s="1" t="s">
        <v>4192</v>
      </c>
      <c r="C3" s="1" t="s">
        <v>4193</v>
      </c>
      <c r="D3" s="1" t="s">
        <v>5342</v>
      </c>
      <c r="F3" s="368"/>
      <c r="G3" s="368" t="s">
        <v>4192</v>
      </c>
      <c r="H3" s="368" t="s">
        <v>4193</v>
      </c>
      <c r="I3" s="368" t="s">
        <v>5342</v>
      </c>
    </row>
    <row r="4" spans="1:9" ht="15.75" thickBot="1">
      <c r="A4" s="20">
        <v>44835</v>
      </c>
      <c r="B4" s="361">
        <v>9.5399999999999999E-2</v>
      </c>
      <c r="C4" s="361">
        <v>9.98E-2</v>
      </c>
      <c r="D4" s="361">
        <v>8.3299999999999999E-2</v>
      </c>
      <c r="F4" s="366" t="s">
        <v>4192</v>
      </c>
      <c r="G4" s="366">
        <f>VARP(CovMat_FAQ!$B$4:$B$8)</f>
        <v>6.6849895999999999E-3</v>
      </c>
      <c r="H4" s="366">
        <v>3.4547694000000005E-3</v>
      </c>
      <c r="I4" s="367">
        <v>2.5162404E-3</v>
      </c>
    </row>
    <row r="5" spans="1:9" ht="15.75" thickBot="1">
      <c r="A5" s="20">
        <v>44836</v>
      </c>
      <c r="B5" s="361">
        <v>3.2800000000000003E-2</v>
      </c>
      <c r="C5" s="361">
        <v>4.2950000000000002E-2</v>
      </c>
      <c r="D5" s="361">
        <v>5.9200000000000003E-2</v>
      </c>
      <c r="F5" s="366" t="s">
        <v>4193</v>
      </c>
      <c r="G5" s="366">
        <v>3.4547694000000005E-3</v>
      </c>
      <c r="H5" s="366">
        <f>VARP(CovMat_FAQ!$C$4:$C$8)</f>
        <v>1.8764855999999985E-3</v>
      </c>
      <c r="I5" s="367">
        <v>1.4883396E-3</v>
      </c>
    </row>
    <row r="6" spans="1:9" ht="15.75" thickBot="1">
      <c r="A6" s="20">
        <v>44837</v>
      </c>
      <c r="B6" s="361">
        <v>-6.6299999999999998E-2</v>
      </c>
      <c r="C6" s="361">
        <v>1.84E-2</v>
      </c>
      <c r="D6" s="361">
        <v>9.3799999999999994E-2</v>
      </c>
      <c r="F6" s="367" t="s">
        <v>5342</v>
      </c>
      <c r="G6" s="367">
        <v>2.5162404E-3</v>
      </c>
      <c r="H6" s="367">
        <v>1.4883396E-3</v>
      </c>
      <c r="I6" s="367">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5.75" thickBot="1">
      <c r="F9" s="374" t="s">
        <v>5462</v>
      </c>
      <c r="G9" s="374"/>
      <c r="H9" s="374"/>
      <c r="I9" s="374"/>
    </row>
    <row r="10" spans="1:9">
      <c r="A10" s="1" t="s">
        <v>2788</v>
      </c>
      <c r="B10" s="2">
        <v>5</v>
      </c>
      <c r="F10" s="245"/>
      <c r="G10" s="245" t="s">
        <v>4192</v>
      </c>
      <c r="H10" s="245" t="s">
        <v>4193</v>
      </c>
      <c r="I10" s="245" t="s">
        <v>5342</v>
      </c>
    </row>
    <row r="11" spans="1:9">
      <c r="A11" s="1" t="s">
        <v>5461</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s="369" t="s">
        <v>5342</v>
      </c>
      <c r="G13">
        <v>3.1453004999999999E-3</v>
      </c>
      <c r="H13">
        <v>1.8604245E-3</v>
      </c>
      <c r="I13">
        <v>2.9655970000000004E-3</v>
      </c>
    </row>
    <row r="14" spans="1:9">
      <c r="F14" s="362"/>
      <c r="G14" s="362"/>
      <c r="H14" s="362"/>
      <c r="I14" s="362"/>
    </row>
    <row r="15" spans="1:9" ht="30">
      <c r="F15" s="8" t="s">
        <v>4893</v>
      </c>
      <c r="G15" s="47">
        <f>_xlfn.VAR.S(B4:B8)</f>
        <v>8.356236999999999E-3</v>
      </c>
      <c r="H15" s="47">
        <f>_xlfn.VAR.S(C4:C8)</f>
        <v>2.3456069999999987E-3</v>
      </c>
      <c r="I15" s="47">
        <f>_xlfn.VAR.S(D4:D8)</f>
        <v>2.9655969999999986E-3</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5"/>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5"/>
  <cols>
    <col min="5" max="5" width="10.140625" bestFit="1" customWidth="1"/>
    <col min="6" max="6" width="11.4257812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5"/>
  <cols>
    <col min="1" max="1" width="16.5703125" bestFit="1" customWidth="1"/>
    <col min="2" max="2" width="20.85546875" bestFit="1" customWidth="1"/>
    <col min="3" max="3" width="15.4257812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tops</cp:lastModifiedBy>
  <cp:lastPrinted>2022-12-22T05:10:37Z</cp:lastPrinted>
  <dcterms:created xsi:type="dcterms:W3CDTF">2022-06-20T02:59:14Z</dcterms:created>
  <dcterms:modified xsi:type="dcterms:W3CDTF">2024-06-10T08:09:58Z</dcterms:modified>
</cp:coreProperties>
</file>