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hartsheets/sheet1.xml" ContentType="application/vnd.openxmlformats-officedocument.spreadsheetml.chart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torl\Documents\GitHub\ExcelFunctionsVSCode\"/>
    </mc:Choice>
  </mc:AlternateContent>
  <xr:revisionPtr revIDLastSave="0" documentId="13_ncr:1_{6FFBF6B3-759F-42B8-B73A-49C35894D37D}" xr6:coauthVersionLast="47" xr6:coauthVersionMax="47" xr10:uidLastSave="{00000000-0000-0000-0000-000000000000}"/>
  <bookViews>
    <workbookView xWindow="-28920" yWindow="-120" windowWidth="29040" windowHeight="15720" tabRatio="674" firstSheet="8" activeTab="8" xr2:uid="{1A62E4D8-56FD-4CA4-97B4-DD40BF88C8D1}"/>
  </bookViews>
  <sheets>
    <sheet name="PV" sheetId="3" state="hidden" r:id="rId1"/>
    <sheet name="PVAF" sheetId="2" state="hidden" r:id="rId2"/>
    <sheet name="FV" sheetId="18" state="hidden" r:id="rId3"/>
    <sheet name="FVAF" sheetId="19" state="hidden" r:id="rId4"/>
    <sheet name="Sheet8" sheetId="8" state="hidden" r:id="rId5"/>
    <sheet name="Sheet7" sheetId="7" state="hidden" r:id="rId6"/>
    <sheet name="Sheet1 (2)" sheetId="6" state="hidden" r:id="rId7"/>
    <sheet name="Depreciation Methods" sheetId="9" state="hidden" r:id="rId8"/>
    <sheet name="Example" sheetId="24" r:id="rId9"/>
    <sheet name="SL" sheetId="11" r:id="rId10"/>
    <sheet name="DDB" sheetId="12" r:id="rId11"/>
    <sheet name="SYD" sheetId="10" r:id="rId12"/>
    <sheet name="AM" sheetId="14" r:id="rId13"/>
    <sheet name="MACRS_Table" sheetId="4" r:id="rId14"/>
    <sheet name="MACRS" sheetId="22" r:id="rId15"/>
    <sheet name="MACRS-Optional SL" sheetId="23" r:id="rId16"/>
    <sheet name="Depreciation Summary" sheetId="25" r:id="rId17"/>
    <sheet name="Chart_Depreciation Data" sheetId="20" r:id="rId18"/>
    <sheet name="Depreciation Chart" sheetId="21" r:id="rId19"/>
    <sheet name="PV Depreciation Data" sheetId="28" r:id="rId20"/>
    <sheet name="NPV Analysis - MACRS" sheetId="1" state="hidden" r:id="rId21"/>
    <sheet name="Sheet11" sheetId="16" state="hidden" r:id="rId22"/>
  </sheets>
  <definedNames>
    <definedName name="LocalMACRS">Sheet11!#REF!</definedName>
    <definedName name="MACRS">MACRS_Table!$C$5:$I$26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2" l="1"/>
  <c r="E3" i="11"/>
  <c r="B18" i="23"/>
  <c r="G3" i="12"/>
  <c r="B4" i="12" s="1"/>
  <c r="E4" i="12"/>
  <c r="E5" i="12"/>
  <c r="E6" i="12"/>
  <c r="E7" i="12"/>
  <c r="B3" i="12"/>
  <c r="B16" i="12"/>
  <c r="K8" i="28"/>
  <c r="L8" i="28"/>
  <c r="K9" i="28"/>
  <c r="L9" i="28"/>
  <c r="K10" i="28"/>
  <c r="L10" i="28"/>
  <c r="J4" i="28"/>
  <c r="J5" i="28"/>
  <c r="J6" i="28"/>
  <c r="J7" i="28"/>
  <c r="J8" i="28"/>
  <c r="J9" i="28"/>
  <c r="J10" i="28"/>
  <c r="J3" i="28"/>
  <c r="G12" i="28"/>
  <c r="H12" i="28"/>
  <c r="G11" i="28"/>
  <c r="H11" i="28"/>
  <c r="H3" i="28" a="1"/>
  <c r="H3" i="28" s="1"/>
  <c r="B2" i="28" a="1"/>
  <c r="B2" i="28" s="1"/>
  <c r="B18" i="22"/>
  <c r="B20" i="25"/>
  <c r="B21" i="25"/>
  <c r="B22" i="25"/>
  <c r="H17" i="25"/>
  <c r="H18" i="25" s="1"/>
  <c r="H19" i="25" s="1"/>
  <c r="H20" i="25" s="1"/>
  <c r="H21" i="25" s="1"/>
  <c r="H22" i="25" s="1"/>
  <c r="H15" i="25"/>
  <c r="H16" i="25" s="1"/>
  <c r="H3" i="25" a="1"/>
  <c r="H3" i="25" s="1"/>
  <c r="B2" i="25" a="1"/>
  <c r="B2" i="25" s="1"/>
  <c r="B14" i="25" s="1"/>
  <c r="H3" i="20" a="1"/>
  <c r="H3" i="20" s="1"/>
  <c r="H14" i="23"/>
  <c r="H15" i="23"/>
  <c r="H16" i="23"/>
  <c r="H17" i="23"/>
  <c r="H18" i="23"/>
  <c r="H19" i="23"/>
  <c r="H20" i="23"/>
  <c r="H13" i="23"/>
  <c r="G20" i="23"/>
  <c r="G15" i="23"/>
  <c r="G16" i="23"/>
  <c r="G17" i="23"/>
  <c r="G18" i="23"/>
  <c r="G19" i="23"/>
  <c r="G14" i="23"/>
  <c r="G13" i="23"/>
  <c r="F17" i="23"/>
  <c r="E7" i="23" s="1"/>
  <c r="B16" i="23"/>
  <c r="F16" i="23" s="1"/>
  <c r="B16" i="22"/>
  <c r="B14" i="12"/>
  <c r="B14" i="10"/>
  <c r="B16" i="10" s="1"/>
  <c r="B14" i="11"/>
  <c r="B16" i="11" s="1"/>
  <c r="B24" i="14"/>
  <c r="B14" i="14"/>
  <c r="B16" i="14" s="1"/>
  <c r="G14" i="22" a="1"/>
  <c r="G14" i="22" s="1"/>
  <c r="G15" i="22" a="1"/>
  <c r="G15" i="22" s="1"/>
  <c r="G16" i="22" a="1"/>
  <c r="G16" i="22" s="1"/>
  <c r="G17" i="22" a="1"/>
  <c r="G17" i="22" s="1"/>
  <c r="G18" i="22" a="1"/>
  <c r="G18" i="22" s="1"/>
  <c r="G19" i="22" a="1"/>
  <c r="G19" i="22" s="1"/>
  <c r="G20" i="22" a="1"/>
  <c r="G20" i="22" s="1"/>
  <c r="G13" i="22" a="1"/>
  <c r="G13" i="22" s="1"/>
  <c r="C11" i="16" a="1"/>
  <c r="C11" i="16" s="1"/>
  <c r="B2" i="20" a="1"/>
  <c r="B2" i="20" s="1"/>
  <c r="G4" i="12" l="1"/>
  <c r="B5" i="12" s="1"/>
  <c r="G5" i="12" s="1"/>
  <c r="B6" i="12" s="1"/>
  <c r="G6" i="12" s="1"/>
  <c r="B7" i="12" s="1"/>
  <c r="F3" i="28" a="1"/>
  <c r="F3" i="28" s="1"/>
  <c r="F3" i="25" a="1"/>
  <c r="F3" i="25" s="1"/>
  <c r="F15" i="25" s="1"/>
  <c r="F16" i="25" s="1"/>
  <c r="F17" i="25" s="1"/>
  <c r="F18" i="25" s="1"/>
  <c r="F19" i="25" s="1"/>
  <c r="F20" i="25" s="1"/>
  <c r="F21" i="25" s="1"/>
  <c r="F22" i="25" s="1"/>
  <c r="B19" i="25"/>
  <c r="B18" i="25"/>
  <c r="B17" i="25"/>
  <c r="B16" i="25"/>
  <c r="B15" i="25"/>
  <c r="E6" i="23"/>
  <c r="F13" i="23"/>
  <c r="F18" i="23"/>
  <c r="E8" i="23" s="1"/>
  <c r="F14" i="23"/>
  <c r="E4" i="23" s="1"/>
  <c r="F19" i="23"/>
  <c r="E9" i="23" s="1"/>
  <c r="F15" i="23"/>
  <c r="E5" i="23" s="1"/>
  <c r="F20" i="23"/>
  <c r="E10" i="23" s="1"/>
  <c r="F14" i="22"/>
  <c r="H14" i="22" s="1"/>
  <c r="E4" i="22" s="1"/>
  <c r="F7" i="14"/>
  <c r="F4" i="14"/>
  <c r="F6" i="14"/>
  <c r="F8" i="14"/>
  <c r="G8" i="14" s="1"/>
  <c r="F5" i="14"/>
  <c r="F13" i="22"/>
  <c r="H13" i="22" s="1"/>
  <c r="F19" i="22"/>
  <c r="H19" i="22" s="1"/>
  <c r="E9" i="22" s="1"/>
  <c r="F16" i="22"/>
  <c r="H16" i="22" s="1"/>
  <c r="E6" i="22" s="1"/>
  <c r="F15" i="22"/>
  <c r="H15" i="22" s="1"/>
  <c r="E5" i="22" s="1"/>
  <c r="F18" i="22"/>
  <c r="H18" i="22" s="1"/>
  <c r="E8" i="22" s="1"/>
  <c r="F20" i="22"/>
  <c r="H20" i="22" s="1"/>
  <c r="E10" i="22" s="1"/>
  <c r="F17" i="22"/>
  <c r="H17" i="22" s="1"/>
  <c r="E7" i="22" s="1"/>
  <c r="E6" i="11"/>
  <c r="E4" i="11"/>
  <c r="E7" i="11"/>
  <c r="E5" i="11"/>
  <c r="D3" i="20" s="1" a="1"/>
  <c r="D3" i="20" s="1"/>
  <c r="D5" i="10"/>
  <c r="D3" i="10"/>
  <c r="D4" i="10"/>
  <c r="D7" i="10"/>
  <c r="D6" i="10"/>
  <c r="E6" i="2"/>
  <c r="I7" i="1" a="1"/>
  <c r="I7" i="1" s="1"/>
  <c r="J7" i="1" s="1"/>
  <c r="E6" i="19"/>
  <c r="E6" i="18"/>
  <c r="I5" i="9"/>
  <c r="I6" i="9"/>
  <c r="I7" i="9"/>
  <c r="I8" i="9"/>
  <c r="I4" i="9"/>
  <c r="K18" i="9"/>
  <c r="J2" i="18" a="1"/>
  <c r="J2" i="18" s="1"/>
  <c r="C15" i="16" a="1"/>
  <c r="C15" i="16" s="1"/>
  <c r="D15" i="16" s="1"/>
  <c r="C16" i="16" a="1"/>
  <c r="C16" i="16" s="1"/>
  <c r="D16" i="16" s="1"/>
  <c r="C17" i="16" a="1"/>
  <c r="C17" i="16" s="1"/>
  <c r="D17" i="16" s="1"/>
  <c r="C18" i="16" a="1"/>
  <c r="C18" i="16" s="1"/>
  <c r="D18" i="16" s="1"/>
  <c r="C12" i="16" a="1"/>
  <c r="C12" i="16" s="1"/>
  <c r="D12" i="16" s="1"/>
  <c r="C13" i="16" a="1"/>
  <c r="C13" i="16" s="1"/>
  <c r="D13" i="16" s="1"/>
  <c r="C14" i="16" a="1"/>
  <c r="C14" i="16" s="1"/>
  <c r="D14" i="16" s="1"/>
  <c r="D11" i="16"/>
  <c r="I26" i="9"/>
  <c r="K26" i="9"/>
  <c r="E5" i="9"/>
  <c r="G9" i="9"/>
  <c r="Q8" i="9"/>
  <c r="N13" i="9"/>
  <c r="L8" i="9"/>
  <c r="L17" i="9" s="1"/>
  <c r="L7" i="9"/>
  <c r="L16" i="9" s="1"/>
  <c r="L6" i="9"/>
  <c r="L15" i="9" s="1"/>
  <c r="L5" i="9"/>
  <c r="L14" i="9" s="1"/>
  <c r="L4" i="9"/>
  <c r="L13" i="9" s="1"/>
  <c r="J5" i="9"/>
  <c r="K5" i="9" s="1"/>
  <c r="J6" i="9"/>
  <c r="K6" i="9" s="1"/>
  <c r="J7" i="9"/>
  <c r="K7" i="9" s="1"/>
  <c r="J8" i="9"/>
  <c r="K8" i="9" s="1"/>
  <c r="J4" i="9"/>
  <c r="K4" i="9" s="1"/>
  <c r="J14" i="9"/>
  <c r="J15" i="9"/>
  <c r="J16" i="9"/>
  <c r="J17" i="9"/>
  <c r="J13" i="9"/>
  <c r="B3" i="9"/>
  <c r="U7" i="4"/>
  <c r="V7" i="4"/>
  <c r="W7" i="4"/>
  <c r="X7" i="4"/>
  <c r="Y7" i="4"/>
  <c r="Z7" i="4"/>
  <c r="U8" i="4"/>
  <c r="V8" i="4"/>
  <c r="W8" i="4"/>
  <c r="X8" i="4"/>
  <c r="Y8" i="4"/>
  <c r="Z8" i="4"/>
  <c r="U9" i="4"/>
  <c r="V9" i="4"/>
  <c r="W9" i="4"/>
  <c r="X9" i="4"/>
  <c r="Y9" i="4"/>
  <c r="Z9" i="4"/>
  <c r="V10" i="4"/>
  <c r="W10" i="4"/>
  <c r="X10" i="4"/>
  <c r="Y10" i="4"/>
  <c r="Z10" i="4"/>
  <c r="V11" i="4"/>
  <c r="W11" i="4"/>
  <c r="X11" i="4"/>
  <c r="Y11" i="4"/>
  <c r="Z11" i="4"/>
  <c r="W12" i="4"/>
  <c r="X12" i="4"/>
  <c r="Y12" i="4"/>
  <c r="Z12" i="4"/>
  <c r="W13" i="4"/>
  <c r="X13" i="4"/>
  <c r="Y13" i="4"/>
  <c r="Z13" i="4"/>
  <c r="X14" i="4"/>
  <c r="Y14" i="4"/>
  <c r="Z14" i="4"/>
  <c r="X15" i="4"/>
  <c r="Y15" i="4"/>
  <c r="Z15" i="4"/>
  <c r="X16" i="4"/>
  <c r="Y16" i="4"/>
  <c r="Z16" i="4"/>
  <c r="Y17" i="4"/>
  <c r="Z17" i="4"/>
  <c r="Y18" i="4"/>
  <c r="Z18" i="4"/>
  <c r="Y19" i="4"/>
  <c r="Z19" i="4"/>
  <c r="Y20" i="4"/>
  <c r="Z20" i="4"/>
  <c r="Y21" i="4"/>
  <c r="Z21" i="4"/>
  <c r="Z22" i="4"/>
  <c r="Z23" i="4"/>
  <c r="Z24" i="4"/>
  <c r="Z25" i="4"/>
  <c r="Z26" i="4"/>
  <c r="V6" i="4"/>
  <c r="W6" i="4"/>
  <c r="X6" i="4"/>
  <c r="Y6" i="4"/>
  <c r="Z6" i="4"/>
  <c r="U6" i="4"/>
  <c r="K8" i="6"/>
  <c r="J20" i="6"/>
  <c r="H21" i="6"/>
  <c r="G21" i="6"/>
  <c r="H20" i="6"/>
  <c r="J19" i="6"/>
  <c r="H19" i="6"/>
  <c r="G19" i="6"/>
  <c r="B18" i="6"/>
  <c r="D18" i="6" s="1"/>
  <c r="F18" i="6" s="1"/>
  <c r="H18" i="6" s="1"/>
  <c r="D17" i="6"/>
  <c r="F17" i="6" s="1"/>
  <c r="H17" i="6" s="1"/>
  <c r="B17" i="6"/>
  <c r="B16" i="6"/>
  <c r="D16" i="6" s="1"/>
  <c r="F16" i="6" s="1"/>
  <c r="H16" i="6" s="1"/>
  <c r="D15" i="6"/>
  <c r="F15" i="6" s="1"/>
  <c r="H15" i="6" s="1"/>
  <c r="B15" i="6"/>
  <c r="B14" i="6"/>
  <c r="D14" i="6" s="1"/>
  <c r="F14" i="6" s="1"/>
  <c r="H14" i="6" s="1"/>
  <c r="B13" i="6"/>
  <c r="D13" i="6" s="1"/>
  <c r="F13" i="6" s="1"/>
  <c r="H13" i="6" s="1"/>
  <c r="D12" i="6"/>
  <c r="F12" i="6" s="1"/>
  <c r="H12" i="6" s="1"/>
  <c r="B12" i="6"/>
  <c r="B11" i="6"/>
  <c r="D11" i="6" s="1"/>
  <c r="F11" i="6" s="1"/>
  <c r="H11" i="6" s="1"/>
  <c r="J11" i="6" s="1"/>
  <c r="G7" i="6"/>
  <c r="H7" i="6" s="1"/>
  <c r="E7" i="6"/>
  <c r="H6" i="6"/>
  <c r="J6" i="6" s="1"/>
  <c r="F5" i="6"/>
  <c r="H5" i="6" s="1"/>
  <c r="J5" i="6" s="1"/>
  <c r="E5" i="6"/>
  <c r="F4" i="6"/>
  <c r="H4" i="6" s="1"/>
  <c r="J4" i="6" s="1"/>
  <c r="I20" i="1" a="1"/>
  <c r="I20" i="1" s="1"/>
  <c r="J20" i="1" s="1"/>
  <c r="I21" i="1" a="1"/>
  <c r="I21" i="1" s="1"/>
  <c r="J21" i="1" s="1"/>
  <c r="I19" i="1" a="1"/>
  <c r="I19" i="1" s="1"/>
  <c r="J19" i="1" s="1"/>
  <c r="H20" i="1"/>
  <c r="H21" i="1"/>
  <c r="H19" i="1"/>
  <c r="G21" i="1"/>
  <c r="G19" i="1"/>
  <c r="I12" i="1" a="1"/>
  <c r="I12" i="1" s="1"/>
  <c r="I13" i="1" a="1"/>
  <c r="I13" i="1" s="1"/>
  <c r="I14" i="1" a="1"/>
  <c r="I14" i="1" s="1"/>
  <c r="I15" i="1" a="1"/>
  <c r="I15" i="1" s="1"/>
  <c r="I16" i="1" a="1"/>
  <c r="I16" i="1" s="1"/>
  <c r="I17" i="1" a="1"/>
  <c r="I17" i="1" s="1"/>
  <c r="I18" i="1" a="1"/>
  <c r="I18" i="1" s="1"/>
  <c r="I11" i="1" a="1"/>
  <c r="I11" i="1" s="1"/>
  <c r="J6" i="1"/>
  <c r="H6" i="1"/>
  <c r="H7" i="1"/>
  <c r="G7" i="1"/>
  <c r="E7" i="1"/>
  <c r="F5" i="1"/>
  <c r="H5" i="1" s="1"/>
  <c r="F4" i="1"/>
  <c r="C12" i="1" a="1"/>
  <c r="C12" i="1" s="1"/>
  <c r="D12" i="1" s="1"/>
  <c r="F12" i="1" s="1"/>
  <c r="H12" i="1" s="1"/>
  <c r="C13" i="1" a="1"/>
  <c r="C13" i="1" s="1"/>
  <c r="D13" i="1" s="1"/>
  <c r="F13" i="1" s="1"/>
  <c r="H13" i="1" s="1"/>
  <c r="C14" i="1" a="1"/>
  <c r="C14" i="1" s="1"/>
  <c r="D14" i="1" s="1"/>
  <c r="F14" i="1" s="1"/>
  <c r="H14" i="1" s="1"/>
  <c r="C15" i="1" a="1"/>
  <c r="C15" i="1" s="1"/>
  <c r="D15" i="1" s="1"/>
  <c r="F15" i="1" s="1"/>
  <c r="H15" i="1" s="1"/>
  <c r="C16" i="1" a="1"/>
  <c r="C16" i="1" s="1"/>
  <c r="D16" i="1" s="1"/>
  <c r="F16" i="1" s="1"/>
  <c r="H16" i="1" s="1"/>
  <c r="C17" i="1" a="1"/>
  <c r="C17" i="1" s="1"/>
  <c r="D17" i="1" s="1"/>
  <c r="F17" i="1" s="1"/>
  <c r="H17" i="1" s="1"/>
  <c r="C18" i="1" a="1"/>
  <c r="C18" i="1" s="1"/>
  <c r="D18" i="1" s="1"/>
  <c r="F18" i="1" s="1"/>
  <c r="H18" i="1" s="1"/>
  <c r="C11" i="1" a="1"/>
  <c r="C11" i="1" s="1"/>
  <c r="D11" i="1" s="1"/>
  <c r="F11" i="1" s="1"/>
  <c r="H11" i="1" s="1"/>
  <c r="B12" i="1"/>
  <c r="B13" i="1"/>
  <c r="B14" i="1"/>
  <c r="B15" i="1"/>
  <c r="B16" i="1"/>
  <c r="B17" i="1"/>
  <c r="B18" i="1"/>
  <c r="B11" i="1"/>
  <c r="J2" i="3" a="1"/>
  <c r="J2" i="3" s="1"/>
  <c r="E6" i="3"/>
  <c r="E5" i="1"/>
  <c r="H4" i="1"/>
  <c r="J4" i="1" s="1"/>
  <c r="D3" i="28" l="1" a="1"/>
  <c r="D3" i="28" s="1"/>
  <c r="D12" i="28" s="1"/>
  <c r="E3" i="20" a="1"/>
  <c r="E3" i="20" s="1"/>
  <c r="E3" i="28" a="1"/>
  <c r="E3" i="28" s="1"/>
  <c r="E3" i="25" a="1"/>
  <c r="E3" i="25" s="1"/>
  <c r="E15" i="25" s="1"/>
  <c r="E16" i="25" s="1"/>
  <c r="E17" i="25" s="1"/>
  <c r="E18" i="25" s="1"/>
  <c r="E19" i="25" s="1"/>
  <c r="E20" i="25" s="1"/>
  <c r="E21" i="25" s="1"/>
  <c r="E22" i="25" s="1"/>
  <c r="D3" i="25" a="1"/>
  <c r="D3" i="25" s="1"/>
  <c r="D15" i="25" s="1"/>
  <c r="D16" i="25" s="1"/>
  <c r="D17" i="25" s="1"/>
  <c r="D18" i="25" s="1"/>
  <c r="D19" i="25" s="1"/>
  <c r="D20" i="25" s="1"/>
  <c r="D21" i="25" s="1"/>
  <c r="D22" i="25" s="1"/>
  <c r="K5" i="28"/>
  <c r="L5" i="28" s="1"/>
  <c r="K4" i="28"/>
  <c r="L4" i="28" s="1"/>
  <c r="K7" i="28"/>
  <c r="L7" i="28" s="1"/>
  <c r="K6" i="28"/>
  <c r="L6" i="28" s="1"/>
  <c r="G7" i="12"/>
  <c r="F12" i="28"/>
  <c r="F11" i="28"/>
  <c r="K3" i="28"/>
  <c r="F3" i="22"/>
  <c r="F4" i="22" s="1"/>
  <c r="F5" i="22" s="1"/>
  <c r="F6" i="22" s="1"/>
  <c r="F7" i="22" s="1"/>
  <c r="F8" i="22" s="1"/>
  <c r="F9" i="22" s="1"/>
  <c r="E3" i="22"/>
  <c r="E3" i="23"/>
  <c r="F3" i="23"/>
  <c r="F4" i="23" s="1"/>
  <c r="F5" i="23" s="1"/>
  <c r="F6" i="23" s="1"/>
  <c r="F7" i="23" s="1"/>
  <c r="F8" i="23" s="1"/>
  <c r="F9" i="23" s="1"/>
  <c r="F3" i="12"/>
  <c r="F4" i="12" s="1"/>
  <c r="F3" i="20" a="1"/>
  <c r="F3" i="20" s="1"/>
  <c r="E3" i="10"/>
  <c r="E4" i="10" s="1"/>
  <c r="E5" i="10" s="1"/>
  <c r="E6" i="10" s="1"/>
  <c r="E7" i="10" s="1"/>
  <c r="F3" i="11"/>
  <c r="F4" i="11" s="1"/>
  <c r="F5" i="11" s="1"/>
  <c r="F6" i="11" s="1"/>
  <c r="F7" i="11" s="1"/>
  <c r="I5" i="1" a="1"/>
  <c r="I5" i="1" s="1"/>
  <c r="J5" i="1" s="1"/>
  <c r="K7" i="1" s="1"/>
  <c r="I14" i="9"/>
  <c r="G7" i="14"/>
  <c r="G6" i="14"/>
  <c r="G5" i="14"/>
  <c r="G4" i="14"/>
  <c r="J13" i="1"/>
  <c r="J12" i="1"/>
  <c r="J17" i="1"/>
  <c r="J14" i="1"/>
  <c r="I13" i="9"/>
  <c r="I17" i="9"/>
  <c r="I16" i="9"/>
  <c r="I15" i="9"/>
  <c r="K13" i="9"/>
  <c r="J15" i="1"/>
  <c r="J16" i="1"/>
  <c r="J18" i="1"/>
  <c r="J11" i="1"/>
  <c r="J21" i="6"/>
  <c r="J13" i="6"/>
  <c r="J14" i="6"/>
  <c r="J16" i="6"/>
  <c r="J15" i="6"/>
  <c r="J18" i="6"/>
  <c r="J12" i="6"/>
  <c r="J17" i="6"/>
  <c r="J7" i="6"/>
  <c r="D11" i="28" l="1"/>
  <c r="C3" i="25" a="1"/>
  <c r="C3" i="25" s="1"/>
  <c r="C15" i="25" s="1"/>
  <c r="C16" i="25" s="1"/>
  <c r="C17" i="25" s="1"/>
  <c r="C18" i="25" s="1"/>
  <c r="C19" i="25" s="1"/>
  <c r="C20" i="25" s="1"/>
  <c r="C21" i="25" s="1"/>
  <c r="C22" i="25" s="1"/>
  <c r="C3" i="28" a="1"/>
  <c r="C3" i="28" s="1"/>
  <c r="E12" i="28"/>
  <c r="E11" i="28"/>
  <c r="K11" i="28"/>
  <c r="L3" i="28"/>
  <c r="L11" i="28" s="1"/>
  <c r="G3" i="25" a="1"/>
  <c r="G3" i="25" s="1"/>
  <c r="G15" i="25" s="1"/>
  <c r="G16" i="25" s="1"/>
  <c r="G17" i="25" s="1"/>
  <c r="G18" i="25" s="1"/>
  <c r="G19" i="25" s="1"/>
  <c r="G20" i="25" s="1"/>
  <c r="G21" i="25" s="1"/>
  <c r="G22" i="25" s="1"/>
  <c r="G3" i="20" a="1"/>
  <c r="G3" i="20" s="1"/>
  <c r="G3" i="28" a="1"/>
  <c r="G3" i="28" s="1"/>
  <c r="F11" i="22"/>
  <c r="F10" i="22"/>
  <c r="F11" i="23"/>
  <c r="F10" i="23"/>
  <c r="C3" i="20" a="1"/>
  <c r="C3" i="20" s="1"/>
  <c r="G9" i="14"/>
  <c r="F5" i="12"/>
  <c r="K21" i="1"/>
  <c r="K22" i="1" s="1"/>
  <c r="K14" i="9"/>
  <c r="N15" i="9" s="1"/>
  <c r="K15" i="9" s="1"/>
  <c r="N16" i="9" s="1"/>
  <c r="K16" i="9" s="1"/>
  <c r="N17" i="9" s="1"/>
  <c r="N14" i="9"/>
  <c r="K21" i="6"/>
  <c r="K22" i="6" s="1"/>
  <c r="J22" i="6"/>
  <c r="C12" i="28" l="1"/>
  <c r="C11" i="28"/>
  <c r="F6" i="12"/>
  <c r="K17" i="9"/>
  <c r="K19" i="9" s="1"/>
  <c r="F7"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Tor Storli</author>
  </authors>
  <commentList>
    <comment ref="L4" authorId="0" shapeId="0" xr:uid="{3ED89AB0-6903-4DF7-A272-9B840D676BD4}">
      <text>
        <r>
          <rPr>
            <b/>
            <sz val="9"/>
            <color indexed="81"/>
            <rFont val="Tahoma"/>
            <family val="2"/>
          </rPr>
          <t>Tor Storli:</t>
        </r>
        <r>
          <rPr>
            <sz val="9"/>
            <color indexed="81"/>
            <rFont val="Tahoma"/>
            <family val="2"/>
          </rPr>
          <t xml:space="preserve">
A more precise way to calculate SOYD:  
n(n + 1) / 2
Example: 
</t>
        </r>
        <r>
          <rPr>
            <b/>
            <sz val="16"/>
            <color indexed="81"/>
            <rFont val="Tahoma"/>
            <family val="2"/>
          </rPr>
          <t>5 *(5 + 1) / 2 =</t>
        </r>
        <r>
          <rPr>
            <sz val="16"/>
            <color indexed="81"/>
            <rFont val="Tahoma"/>
            <family val="2"/>
          </rPr>
          <t xml:space="preserve"> </t>
        </r>
        <r>
          <rPr>
            <b/>
            <sz val="16"/>
            <color indexed="81"/>
            <rFont val="Tahoma"/>
            <family val="2"/>
          </rPr>
          <t>15
So First year = (55,000 - 10,000) *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<sst xmlns="http://schemas.openxmlformats.org/spreadsheetml/2006/main" count="299" uniqueCount="166">
  <si>
    <t>Investment in the buses:</t>
  </si>
  <si>
    <t>Year(s)</t>
  </si>
  <si>
    <t>Amount</t>
  </si>
  <si>
    <t>Tax Effect</t>
  </si>
  <si>
    <t>After-Tax 
Cash Flows</t>
  </si>
  <si>
    <t>10% 
Factor</t>
  </si>
  <si>
    <t>PV of 
Cash Flows</t>
  </si>
  <si>
    <t>Immediate down payment</t>
  </si>
  <si>
    <t>Now</t>
  </si>
  <si>
    <t>Annual payments</t>
  </si>
  <si>
    <t>Lookup 
Period</t>
  </si>
  <si>
    <t>Parking Deposit</t>
  </si>
  <si>
    <t>Net Annual cash receipts</t>
  </si>
  <si>
    <t>Depreciation Deductions:</t>
  </si>
  <si>
    <t>Year</t>
  </si>
  <si>
    <t>Cost</t>
  </si>
  <si>
    <t>Depreciation Deduction</t>
  </si>
  <si>
    <t>MACRS
Percentage</t>
  </si>
  <si>
    <t>Table A-1. 3-, 5-, 7-, 10-, 15-, and 20-Year Property 
Half-Year Convention</t>
  </si>
  <si>
    <t>Depreciation rate for recovery period</t>
  </si>
  <si>
    <t xml:space="preserve"> 3-year</t>
  </si>
  <si>
    <t>5-year</t>
  </si>
  <si>
    <t>7-year</t>
  </si>
  <si>
    <t>10-year</t>
  </si>
  <si>
    <t>15-year</t>
  </si>
  <si>
    <t>20-year</t>
  </si>
  <si>
    <t>Down 
Payment</t>
  </si>
  <si>
    <t>Annual 
Payment</t>
  </si>
  <si>
    <t>Replacement of seat coverings….</t>
  </si>
  <si>
    <t>Refund of parking deposit….</t>
  </si>
  <si>
    <t>Salvage value of the buses….</t>
  </si>
  <si>
    <t>Net Present value….</t>
  </si>
  <si>
    <t>Totals</t>
  </si>
  <si>
    <t>{{1, " 3-year"},0.3333},</t>
  </si>
  <si>
    <t>{{1, "5-year"},0.2},</t>
  </si>
  <si>
    <t>{{1, "7-year"},0.1429},</t>
  </si>
  <si>
    <t>{{1, "10-year"},0.1},</t>
  </si>
  <si>
    <t>{{1, "15-year"},0.05},</t>
  </si>
  <si>
    <t>{{1, "20-year"},0.0375},</t>
  </si>
  <si>
    <t>{{2, " 3-year"},0.4445},</t>
  </si>
  <si>
    <t>{{2, "5-year"},0.32},</t>
  </si>
  <si>
    <t>{{2, "7-year"},0.2449},</t>
  </si>
  <si>
    <t>{{2, "10-year"},0.18},</t>
  </si>
  <si>
    <t>{{2, "15-year"},0.095},</t>
  </si>
  <si>
    <t>{{2, "20-year"},0.07219},</t>
  </si>
  <si>
    <t>{{3, " 3-year"},0.1481},</t>
  </si>
  <si>
    <t>{{3, "5-year"},0.192},</t>
  </si>
  <si>
    <t>{{3, "7-year"},0.1749},</t>
  </si>
  <si>
    <t>{{3, "10-year"},0.144},</t>
  </si>
  <si>
    <t>{{3, "15-year"},0.0855},</t>
  </si>
  <si>
    <t>{{3, "20-year"},0.06677},</t>
  </si>
  <si>
    <t>{{4, " 3-year"},0.0741},</t>
  </si>
  <si>
    <t>{{4, "5-year"},0.1152},</t>
  </si>
  <si>
    <t>{{4, "7-year"},0.1249},</t>
  </si>
  <si>
    <t>{{4, "10-year"},0.1152},</t>
  </si>
  <si>
    <t>{{4, "15-year"},0.077},</t>
  </si>
  <si>
    <t>{{4, "20-year"},0.06177},</t>
  </si>
  <si>
    <t>{{5, "5-year"},0.1152},</t>
  </si>
  <si>
    <t>{{5, "7-year"},0.0893},</t>
  </si>
  <si>
    <t>{{5, "10-year"},0.0922},</t>
  </si>
  <si>
    <t>{{5, "15-year"},0.0693},</t>
  </si>
  <si>
    <t>{{5, "20-year"},0.05713},</t>
  </si>
  <si>
    <t>{{6, "5-year"},0.0576},</t>
  </si>
  <si>
    <t>{{6, "7-year"},0.0892},</t>
  </si>
  <si>
    <t>{{6, "10-year"},0.0737},</t>
  </si>
  <si>
    <t>{{6, "15-year"},0.0623},</t>
  </si>
  <si>
    <t>{{6, "20-year"},0.05285},</t>
  </si>
  <si>
    <t>{{7, "7-year"},0.0893},</t>
  </si>
  <si>
    <t>{{7, "10-year"},0.0655},</t>
  </si>
  <si>
    <t>{{7, "15-year"},0.059},</t>
  </si>
  <si>
    <t>{{7, "20-year"},0.04888},</t>
  </si>
  <si>
    <t>{{8, "7-year"},0.0446},</t>
  </si>
  <si>
    <t>{{8, "10-year"},0.0655},</t>
  </si>
  <si>
    <t>{{8, "15-year"},0.059},</t>
  </si>
  <si>
    <t>{{8, "20-year"},0.04522},</t>
  </si>
  <si>
    <t>{{9, "10-year"},0.0656},</t>
  </si>
  <si>
    <t>{{9, "15-year"},0.0591},</t>
  </si>
  <si>
    <t>{{9, "20-year"},0.04462},</t>
  </si>
  <si>
    <t>{{10, "10-year"},0.0655},</t>
  </si>
  <si>
    <t>{{10, "15-year"},0.059},</t>
  </si>
  <si>
    <t>{{10, "20-year"},0.04461},</t>
  </si>
  <si>
    <t>{{11, "10-year"},0.0328},</t>
  </si>
  <si>
    <t>{{11, "15-year"},0.0591},</t>
  </si>
  <si>
    <t>{{11, "20-year"},0.04462},</t>
  </si>
  <si>
    <t>{{12, "15-year"},0.059},</t>
  </si>
  <si>
    <t>{{12, "20-year"},0.04461},</t>
  </si>
  <si>
    <t>{{13, "15-year"},0.0591},</t>
  </si>
  <si>
    <t>{{13, "20-year"},0.04462},</t>
  </si>
  <si>
    <t>{{14, "15-year"},0.059},</t>
  </si>
  <si>
    <t>{{14, "20-year"},0.04461},</t>
  </si>
  <si>
    <t>{{15, "15-year"},0.0591},</t>
  </si>
  <si>
    <t>{{15, "20-year"},0.04462},</t>
  </si>
  <si>
    <t>{{16, "15-year"},0.0295},</t>
  </si>
  <si>
    <t>{{16, "20-year"},0.04461},</t>
  </si>
  <si>
    <t>{{17, "20-year"},0.04462},</t>
  </si>
  <si>
    <t>{{18, "20-year"},0.04461},</t>
  </si>
  <si>
    <t>{{19, "20-year"},0.04462},</t>
  </si>
  <si>
    <t>{{20, "20-year"},0.04461},</t>
  </si>
  <si>
    <t>{{21, "20-year"},0.02231}</t>
  </si>
  <si>
    <t>DDB</t>
  </si>
  <si>
    <t>SL</t>
  </si>
  <si>
    <t>Straight-Line Rate (SL)</t>
  </si>
  <si>
    <t>Declining Rate (DB)</t>
  </si>
  <si>
    <t>Double Declining Rate (DDB)</t>
  </si>
  <si>
    <t>Purchase Cost</t>
  </si>
  <si>
    <t>SOYD</t>
  </si>
  <si>
    <t>Sum of the Years Digits (SOYD)</t>
  </si>
  <si>
    <t>Salvage Value</t>
  </si>
  <si>
    <t>RATES</t>
  </si>
  <si>
    <t>`</t>
  </si>
  <si>
    <t>DEPECIATION AMOUNT</t>
  </si>
  <si>
    <t>DDB 
Carying Amount</t>
  </si>
  <si>
    <t>Depreciable Basis</t>
  </si>
  <si>
    <t>Activity Method (AM)</t>
  </si>
  <si>
    <t>AM</t>
  </si>
  <si>
    <t>AM Hours</t>
  </si>
  <si>
    <t>Total</t>
  </si>
  <si>
    <t>Depreciation 
Fraction</t>
  </si>
  <si>
    <t>Depreciation
 Expense</t>
  </si>
  <si>
    <t>Accum. Balance Depreciation</t>
  </si>
  <si>
    <t>Excel Formula 
(SL)</t>
  </si>
  <si>
    <t>Excel Formula (SYD) 
Depreciation Expense</t>
  </si>
  <si>
    <t>NO EXCEL 
Formula</t>
  </si>
  <si>
    <t>Accumulated
 Depreciation</t>
  </si>
  <si>
    <t>Shipping Cost</t>
  </si>
  <si>
    <t>Set-Up Cost</t>
  </si>
  <si>
    <t>Total Cost</t>
  </si>
  <si>
    <t>Excel Formula (DBB) 
Depreciation Expense</t>
  </si>
  <si>
    <t>Depreciation Expense</t>
  </si>
  <si>
    <t>SYD</t>
  </si>
  <si>
    <t>Estimated Units produced for Year 1</t>
  </si>
  <si>
    <t>Estimated Units produced for Year 2</t>
  </si>
  <si>
    <t>Estimated Units produced for Year 3</t>
  </si>
  <si>
    <t>Estimated Units produced for Year 4</t>
  </si>
  <si>
    <t>Estimated Units produced for Year 5</t>
  </si>
  <si>
    <t>Total Estimated Machine Tools produced: Year 1-Year 5</t>
  </si>
  <si>
    <t>MACRS - Optional SL
Percentage</t>
  </si>
  <si>
    <t>MACRS</t>
  </si>
  <si>
    <t>MACRS-SL</t>
  </si>
  <si>
    <t>Accumulated Depreciation</t>
  </si>
  <si>
    <r>
      <t>1.</t>
    </r>
    <r>
      <rPr>
        <sz val="16"/>
        <color theme="1"/>
        <rFont val="Times New Roman"/>
        <family val="1"/>
      </rPr>
      <t xml:space="preserve">      </t>
    </r>
    <r>
      <rPr>
        <sz val="16"/>
        <color theme="1"/>
        <rFont val="Aptos"/>
        <family val="2"/>
      </rPr>
      <t>Straight-Line;</t>
    </r>
  </si>
  <si>
    <r>
      <t>2.</t>
    </r>
    <r>
      <rPr>
        <sz val="16"/>
        <color theme="1"/>
        <rFont val="Times New Roman"/>
        <family val="1"/>
      </rPr>
      <t xml:space="preserve">      </t>
    </r>
    <r>
      <rPr>
        <sz val="16"/>
        <color theme="1"/>
        <rFont val="Aptos"/>
        <family val="2"/>
      </rPr>
      <t>Double Declining Balance;</t>
    </r>
  </si>
  <si>
    <r>
      <t>3.</t>
    </r>
    <r>
      <rPr>
        <sz val="16"/>
        <color theme="1"/>
        <rFont val="Times New Roman"/>
        <family val="1"/>
      </rPr>
      <t xml:space="preserve">      </t>
    </r>
    <r>
      <rPr>
        <sz val="16"/>
        <color theme="1"/>
        <rFont val="Aptos"/>
        <family val="2"/>
      </rPr>
      <t>Sum of the Year's digits and;</t>
    </r>
  </si>
  <si>
    <t>GAAP and TAX Depreciation (AICPA - Adapted)</t>
  </si>
  <si>
    <r>
      <rPr>
        <b/>
        <sz val="20"/>
        <color theme="1"/>
        <rFont val="Aptos"/>
        <family val="2"/>
      </rPr>
      <t>a)</t>
    </r>
    <r>
      <rPr>
        <b/>
        <sz val="20"/>
        <color theme="1"/>
        <rFont val="Times New Roman"/>
        <family val="1"/>
      </rPr>
      <t>  </t>
    </r>
    <r>
      <rPr>
        <sz val="16"/>
        <color theme="1"/>
        <rFont val="Times New Roman"/>
        <family val="1"/>
      </rPr>
      <t xml:space="preserve">    </t>
    </r>
    <r>
      <rPr>
        <sz val="16"/>
        <color theme="1"/>
        <rFont val="Aptos"/>
        <family val="2"/>
      </rPr>
      <t>Which depreciation method would maximize net income for financial statement reporting for the three years ending December 31</t>
    </r>
    <r>
      <rPr>
        <vertAlign val="superscript"/>
        <sz val="16"/>
        <color theme="1"/>
        <rFont val="Aptos"/>
        <family val="2"/>
      </rPr>
      <t>st</t>
    </r>
    <r>
      <rPr>
        <sz val="16"/>
        <color theme="1"/>
        <rFont val="Aptos"/>
        <family val="2"/>
      </rPr>
      <t>,  2024? Prepare its schedule showing the amount of accumulated depreciation on December 31</t>
    </r>
    <r>
      <rPr>
        <vertAlign val="superscript"/>
        <sz val="16"/>
        <color theme="1"/>
        <rFont val="Aptos"/>
        <family val="2"/>
      </rPr>
      <t>st</t>
    </r>
    <r>
      <rPr>
        <sz val="16"/>
        <color theme="1"/>
        <rFont val="Aptos"/>
        <family val="2"/>
      </rPr>
      <t>, 2024, under the method selected. Ignore present value, income tax, and deferred income tax considerations.</t>
    </r>
  </si>
  <si>
    <r>
      <t xml:space="preserve">For </t>
    </r>
    <r>
      <rPr>
        <b/>
        <sz val="16"/>
        <color theme="1"/>
        <rFont val="Aptos"/>
        <family val="2"/>
      </rPr>
      <t>Tax Purposes</t>
    </r>
    <r>
      <rPr>
        <sz val="16"/>
        <color theme="1"/>
        <rFont val="Aptos"/>
        <family val="2"/>
      </rPr>
      <t xml:space="preserve"> the class</t>
    </r>
    <r>
      <rPr>
        <b/>
        <sz val="16"/>
        <color theme="1"/>
        <rFont val="Aptos"/>
        <family val="2"/>
      </rPr>
      <t xml:space="preserve"> life is 7 years</t>
    </r>
    <r>
      <rPr>
        <sz val="16"/>
        <color theme="1"/>
        <rFont val="Aptos"/>
        <family val="2"/>
      </rPr>
      <t xml:space="preserve">.  Use the </t>
    </r>
    <r>
      <rPr>
        <b/>
        <sz val="16"/>
        <color theme="1"/>
        <rFont val="Aptos"/>
        <family val="2"/>
      </rPr>
      <t>MACRS</t>
    </r>
    <r>
      <rPr>
        <sz val="16"/>
        <color theme="1"/>
        <rFont val="Aptos"/>
        <family val="2"/>
      </rPr>
      <t xml:space="preserve"> tables for computing depreciation.</t>
    </r>
  </si>
  <si>
    <t>ACTIVITY METHOD (AM)</t>
  </si>
  <si>
    <r>
      <t>4.</t>
    </r>
    <r>
      <rPr>
        <sz val="16"/>
        <color theme="1"/>
        <rFont val="Times New Roman"/>
        <family val="1"/>
      </rPr>
      <t>     Activity Method (</t>
    </r>
    <r>
      <rPr>
        <sz val="16"/>
        <color theme="1"/>
        <rFont val="Aptos"/>
        <family val="2"/>
      </rPr>
      <t>Units of output).</t>
    </r>
  </si>
  <si>
    <r>
      <rPr>
        <b/>
        <sz val="20"/>
        <color theme="1"/>
        <rFont val="Aptos"/>
        <family val="2"/>
      </rPr>
      <t>b)</t>
    </r>
    <r>
      <rPr>
        <b/>
        <sz val="20"/>
        <color theme="1"/>
        <rFont val="Times New Roman"/>
        <family val="1"/>
      </rPr>
      <t> </t>
    </r>
    <r>
      <rPr>
        <sz val="16"/>
        <color theme="1"/>
        <rFont val="Times New Roman"/>
        <family val="1"/>
      </rPr>
      <t xml:space="preserve">     </t>
    </r>
    <r>
      <rPr>
        <sz val="16"/>
        <color theme="1"/>
        <rFont val="Aptos"/>
        <family val="2"/>
      </rPr>
      <t>Which depreciation methods (MACRS or optional straight line ) would minimize net income for income tax reporting for the three years ending December 31</t>
    </r>
    <r>
      <rPr>
        <vertAlign val="superscript"/>
        <sz val="16"/>
        <color theme="1"/>
        <rFont val="Aptos"/>
        <family val="2"/>
      </rPr>
      <t>st</t>
    </r>
    <r>
      <rPr>
        <sz val="16"/>
        <color theme="1"/>
        <rFont val="Aptos"/>
        <family val="2"/>
      </rPr>
      <t>, 2024? Determine the amount of accumulated depreciation on December 31</t>
    </r>
    <r>
      <rPr>
        <vertAlign val="superscript"/>
        <sz val="16"/>
        <color theme="1"/>
        <rFont val="Aptos"/>
        <family val="2"/>
      </rPr>
      <t>st</t>
    </r>
    <r>
      <rPr>
        <sz val="16"/>
        <color theme="1"/>
        <rFont val="Aptos"/>
        <family val="2"/>
      </rPr>
      <t>,  2024. Ignore present value considerations.</t>
    </r>
  </si>
  <si>
    <t>**</t>
  </si>
  <si>
    <t>For MACRS the Depreciable cost does not exclude Salvage Value.</t>
  </si>
  <si>
    <t>The salvage value will be subject to tax when (and if) the Asset is sold. 
The Tax will be based on the Capital Gain (Salvage value - Book Value) * Tax Rate</t>
  </si>
  <si>
    <t>STRAIGHT-LINE (SL)</t>
  </si>
  <si>
    <t>SUM OF THE YEARS DIGITS (SYD)</t>
  </si>
  <si>
    <t xml:space="preserve">MACRS </t>
  </si>
  <si>
    <t>DOUBLE DECLINING (DDB)</t>
  </si>
  <si>
    <t>MACRS STRAIGHT-LINE (MSL)</t>
  </si>
  <si>
    <t>TOTAL</t>
  </si>
  <si>
    <t>PV Factor</t>
  </si>
  <si>
    <t>PV DDB</t>
  </si>
  <si>
    <t>EXAMPLE CALCULATION:
 DDB</t>
  </si>
  <si>
    <t>TOTAL (PV)**</t>
  </si>
  <si>
    <t>** Asumed Discount Rate 
(Cost of Capital)</t>
  </si>
  <si>
    <t>Book Value-BOY</t>
  </si>
  <si>
    <t>Book Value-EOY</t>
  </si>
  <si>
    <r>
      <t>On January 1</t>
    </r>
    <r>
      <rPr>
        <vertAlign val="superscript"/>
        <sz val="16"/>
        <color theme="1"/>
        <rFont val="Aptos"/>
        <family val="2"/>
      </rPr>
      <t>st</t>
    </r>
    <r>
      <rPr>
        <sz val="16"/>
        <color theme="1"/>
        <rFont val="Aptos"/>
        <family val="2"/>
      </rPr>
      <t xml:space="preserve">,  2022, Tools R Us Company, a small machine tools manufacturer, acquired for $1,073,000 a piece of new industrial equipment. The new equipment has a </t>
    </r>
    <r>
      <rPr>
        <b/>
        <sz val="16"/>
        <color theme="1"/>
        <rFont val="Aptos"/>
        <family val="2"/>
      </rPr>
      <t>useful life of five (5) years</t>
    </r>
    <r>
      <rPr>
        <sz val="16"/>
        <color theme="1"/>
        <rFont val="Aptos"/>
        <family val="2"/>
      </rPr>
      <t xml:space="preserve">. The company </t>
    </r>
    <r>
      <rPr>
        <b/>
        <sz val="16"/>
        <color theme="1"/>
        <rFont val="Aptos"/>
        <family val="2"/>
      </rPr>
      <t>paid $15,000 for shippment</t>
    </r>
    <r>
      <rPr>
        <sz val="16"/>
        <color theme="1"/>
        <rFont val="Aptos"/>
        <family val="2"/>
      </rPr>
      <t xml:space="preserve"> of the equipment </t>
    </r>
    <r>
      <rPr>
        <b/>
        <sz val="16"/>
        <color theme="1"/>
        <rFont val="Aptos"/>
        <family val="2"/>
      </rPr>
      <t>and  $12,000 to ready the equipment</t>
    </r>
    <r>
      <rPr>
        <sz val="16"/>
        <color theme="1"/>
        <rFont val="Aptos"/>
        <family val="2"/>
      </rPr>
      <t xml:space="preserve"> for it's intended  use. The salvage (residual) value was estimated to be $125,000. Tools R Us estimates that the new equipment can produce 12,000 machine tools in its first year. It estimates that production will decline by 1000 units per year over the remaining useful life of the equipment. The following GAAP depreciation methods may be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</si>
</sst>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0.000"/>
    <numFmt numFmtId="165" formatCode="_(&quot;$&quot;* #,##0_);_(&quot;$&quot;* \(#,##0\);_(&quot;$&quot;* &quot;-&quot;??_);_(@_)"/>
    <numFmt numFmtId="166" formatCode="0.00000"/>
    <numFmt numFmtId="167" formatCode="_(* #,##0_);_(* \(#,##0\);_(* &quot;-&quot;??_);_(@_)"/>
    <numFmt numFmtId="168" formatCode="_(* #,##0.00000_);_(* \(#,##0.00000\);_(* &quot;-&quot;??_);_(@_)"/>
    <numFmt numFmtId="169" formatCode="0.0000"/>
    <numFmt numFmtId="170" formatCode="_(&quot;$&quot;* #,##0.0_);_(&quot;$&quot;* \(#,##0.0\);_(&quot;$&quot;* &quot;-&quot;?_);_(@_)"/>
  </numFmts>
  <fonts count="22" x14ac:knownFonts="1">
    <font>
      <sz val="11"/>
      <color theme="1"/>
      <name val="Aptos Narrow"/>
      <family val="2"/>
      <scheme val="minor"/>
    </font>
    <font>
      <sz val="11"/>
      <color theme="1"/>
      <name val="Aptos Narrow"/>
      <family val="2"/>
      <scheme val="minor"/>
    </font>
    <font>
      <b/>
      <sz val="11"/>
      <color theme="1"/>
      <name val="Aptos Narrow"/>
      <family val="2"/>
      <scheme val="minor"/>
    </font>
    <font>
      <b/>
      <sz val="14"/>
      <color theme="1"/>
      <name val="Aptos Narrow"/>
      <family val="2"/>
      <scheme val="minor"/>
    </font>
    <font>
      <sz val="8"/>
      <name val="Aptos Narrow"/>
      <family val="2"/>
      <scheme val="minor"/>
    </font>
    <font>
      <b/>
      <sz val="12"/>
      <color theme="1"/>
      <name val="Aptos Narrow"/>
      <family val="2"/>
      <scheme val="minor"/>
    </font>
    <font>
      <sz val="9"/>
      <color indexed="81"/>
      <name val="Tahoma"/>
      <family val="2"/>
    </font>
    <font>
      <b/>
      <sz val="9"/>
      <color indexed="81"/>
      <name val="Tahoma"/>
      <family val="2"/>
    </font>
    <font>
      <sz val="16"/>
      <color indexed="81"/>
      <name val="Tahoma"/>
      <family val="2"/>
    </font>
    <font>
      <b/>
      <sz val="16"/>
      <color indexed="81"/>
      <name val="Tahoma"/>
      <family val="2"/>
    </font>
    <font>
      <sz val="14"/>
      <color theme="1"/>
      <name val="Aptos Narrow"/>
      <family val="2"/>
      <scheme val="minor"/>
    </font>
    <font>
      <sz val="14"/>
      <color theme="1"/>
      <name val="Aptos Narrow"/>
      <family val="2"/>
    </font>
    <font>
      <b/>
      <sz val="14"/>
      <color theme="1"/>
      <name val="Aptos Narrow"/>
      <family val="2"/>
    </font>
    <font>
      <b/>
      <sz val="16"/>
      <color theme="1"/>
      <name val="Aptos Narrow"/>
      <family val="2"/>
      <scheme val="minor"/>
    </font>
    <font>
      <sz val="16"/>
      <color theme="1"/>
      <name val="Aptos"/>
      <family val="2"/>
    </font>
    <font>
      <vertAlign val="superscript"/>
      <sz val="16"/>
      <color theme="1"/>
      <name val="Aptos"/>
      <family val="2"/>
    </font>
    <font>
      <sz val="16"/>
      <color theme="1"/>
      <name val="Times New Roman"/>
      <family val="1"/>
    </font>
    <font>
      <sz val="22"/>
      <color theme="1"/>
      <name val="Aptos Narrow"/>
      <family val="2"/>
      <scheme val="minor"/>
    </font>
    <font>
      <b/>
      <sz val="16"/>
      <color theme="1"/>
      <name val="Aptos"/>
      <family val="2"/>
    </font>
    <font>
      <b/>
      <sz val="20"/>
      <color theme="1"/>
      <name val="Aptos"/>
      <family val="2"/>
    </font>
    <font>
      <b/>
      <sz val="20"/>
      <color theme="1"/>
      <name val="Times New Roman"/>
      <family val="1"/>
    </font>
    <font>
      <b/>
      <sz val="20"/>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3" tint="0.749992370372631"/>
        <bgColor indexed="64"/>
      </patternFill>
    </fill>
    <fill>
      <patternFill patternType="solid">
        <fgColor theme="9" tint="0.79998168889431442"/>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03">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wrapText="1"/>
    </xf>
    <xf numFmtId="2" fontId="0" fillId="0" borderId="0" xfId="0" applyNumberFormat="1"/>
    <xf numFmtId="164" fontId="0" fillId="0" borderId="0" xfId="0" applyNumberFormat="1"/>
    <xf numFmtId="44" fontId="0" fillId="0" borderId="0" xfId="1" applyFont="1"/>
    <xf numFmtId="0" fontId="0" fillId="0" borderId="0" xfId="0" applyAlignment="1">
      <alignment horizontal="left" indent="1"/>
    </xf>
    <xf numFmtId="16" fontId="0" fillId="0" borderId="0" xfId="0" applyNumberFormat="1"/>
    <xf numFmtId="9" fontId="0" fillId="0" borderId="0" xfId="2" applyFont="1"/>
    <xf numFmtId="8" fontId="0" fillId="0" borderId="0" xfId="0" applyNumberFormat="1"/>
    <xf numFmtId="9" fontId="0" fillId="2" borderId="0" xfId="2" applyFont="1" applyFill="1"/>
    <xf numFmtId="0" fontId="2" fillId="3" borderId="0" xfId="0" applyFont="1" applyFill="1"/>
    <xf numFmtId="0" fontId="0" fillId="4" borderId="0" xfId="0" applyFill="1"/>
    <xf numFmtId="44" fontId="0" fillId="0" borderId="0" xfId="0" applyNumberFormat="1"/>
    <xf numFmtId="165" fontId="0" fillId="0" borderId="0" xfId="1" applyNumberFormat="1" applyFont="1"/>
    <xf numFmtId="165" fontId="0" fillId="0" borderId="0" xfId="0" applyNumberFormat="1"/>
    <xf numFmtId="165" fontId="0" fillId="0" borderId="0" xfId="1" applyNumberFormat="1" applyFont="1" applyAlignment="1">
      <alignment horizontal="center"/>
    </xf>
    <xf numFmtId="164" fontId="0" fillId="0" borderId="0" xfId="0" applyNumberFormat="1" applyAlignment="1">
      <alignment horizontal="center"/>
    </xf>
    <xf numFmtId="166" fontId="0" fillId="0" borderId="0" xfId="0" applyNumberFormat="1" applyAlignment="1">
      <alignment horizontal="center"/>
    </xf>
    <xf numFmtId="44" fontId="2" fillId="0" borderId="0" xfId="0" applyNumberFormat="1" applyFont="1"/>
    <xf numFmtId="44" fontId="3" fillId="4" borderId="0" xfId="0" applyNumberFormat="1" applyFont="1" applyFill="1"/>
    <xf numFmtId="10" fontId="0" fillId="0" borderId="0" xfId="2" applyNumberFormat="1" applyFont="1"/>
    <xf numFmtId="0" fontId="10" fillId="0" borderId="0" xfId="0" applyFont="1"/>
    <xf numFmtId="165" fontId="10" fillId="0" borderId="0" xfId="1" applyNumberFormat="1" applyFont="1"/>
    <xf numFmtId="167" fontId="0" fillId="0" borderId="0" xfId="3" applyNumberFormat="1" applyFont="1"/>
    <xf numFmtId="167" fontId="2" fillId="0" borderId="0" xfId="0" applyNumberFormat="1" applyFont="1"/>
    <xf numFmtId="165" fontId="0" fillId="0" borderId="0" xfId="2" applyNumberFormat="1" applyFont="1"/>
    <xf numFmtId="0" fontId="3" fillId="0" borderId="0" xfId="0" applyFont="1"/>
    <xf numFmtId="165" fontId="3" fillId="0" borderId="0" xfId="1" applyNumberFormat="1" applyFont="1"/>
    <xf numFmtId="165" fontId="3" fillId="5" borderId="0" xfId="1" applyNumberFormat="1" applyFont="1" applyFill="1"/>
    <xf numFmtId="0" fontId="3" fillId="0" borderId="0" xfId="0" applyFont="1" applyAlignment="1">
      <alignment wrapText="1"/>
    </xf>
    <xf numFmtId="167" fontId="3" fillId="0" borderId="0" xfId="3" applyNumberFormat="1" applyFont="1"/>
    <xf numFmtId="0" fontId="2" fillId="2" borderId="0" xfId="0" applyFont="1" applyFill="1" applyAlignment="1">
      <alignment horizontal="center" wrapText="1"/>
    </xf>
    <xf numFmtId="43" fontId="0" fillId="0" borderId="0" xfId="3" applyFont="1"/>
    <xf numFmtId="168" fontId="0" fillId="0" borderId="0" xfId="3" applyNumberFormat="1" applyFont="1"/>
    <xf numFmtId="165" fontId="2" fillId="0" borderId="0" xfId="0" applyNumberFormat="1" applyFont="1"/>
    <xf numFmtId="169" fontId="0" fillId="0" borderId="0" xfId="0" applyNumberFormat="1"/>
    <xf numFmtId="169" fontId="2" fillId="3" borderId="0" xfId="0" applyNumberFormat="1" applyFont="1" applyFill="1"/>
    <xf numFmtId="0" fontId="11" fillId="0" borderId="0" xfId="0" applyFont="1"/>
    <xf numFmtId="44" fontId="11" fillId="0" borderId="0" xfId="1" applyFont="1" applyAlignment="1">
      <alignment horizontal="center"/>
    </xf>
    <xf numFmtId="165" fontId="11" fillId="0" borderId="0" xfId="1" applyNumberFormat="1" applyFont="1"/>
    <xf numFmtId="165" fontId="12" fillId="0" borderId="0" xfId="0" applyNumberFormat="1" applyFont="1"/>
    <xf numFmtId="165" fontId="12" fillId="0" borderId="0" xfId="1" applyNumberFormat="1" applyFont="1" applyAlignment="1">
      <alignment horizontal="center"/>
    </xf>
    <xf numFmtId="0" fontId="12" fillId="0" borderId="0" xfId="0" applyFont="1" applyAlignment="1">
      <alignment horizontal="center" wrapText="1"/>
    </xf>
    <xf numFmtId="10" fontId="12" fillId="0" borderId="0" xfId="2" applyNumberFormat="1" applyFont="1" applyAlignment="1">
      <alignment horizontal="center" wrapText="1"/>
    </xf>
    <xf numFmtId="0" fontId="3" fillId="2" borderId="0" xfId="0" applyFont="1" applyFill="1"/>
    <xf numFmtId="165" fontId="3" fillId="2" borderId="0" xfId="1" applyNumberFormat="1" applyFont="1" applyFill="1"/>
    <xf numFmtId="0" fontId="3" fillId="0" borderId="0" xfId="0" applyFont="1" applyAlignment="1">
      <alignment horizontal="center"/>
    </xf>
    <xf numFmtId="0" fontId="14" fillId="0" borderId="0" xfId="0" applyFont="1" applyAlignment="1">
      <alignment vertical="center" wrapText="1"/>
    </xf>
    <xf numFmtId="0" fontId="14" fillId="0" borderId="0" xfId="0" applyFont="1" applyAlignment="1">
      <alignment vertical="center"/>
    </xf>
    <xf numFmtId="0" fontId="14" fillId="0" borderId="0" xfId="0" applyFont="1" applyAlignment="1">
      <alignment horizontal="left" vertical="center" indent="5"/>
    </xf>
    <xf numFmtId="0" fontId="14" fillId="0" borderId="0" xfId="0" applyFont="1" applyAlignment="1">
      <alignment horizontal="left" vertical="center" indent="2"/>
    </xf>
    <xf numFmtId="0" fontId="14" fillId="0" borderId="0" xfId="0" applyFont="1" applyAlignment="1">
      <alignment horizontal="left" vertical="center" wrapText="1" indent="5"/>
    </xf>
    <xf numFmtId="0" fontId="17" fillId="0" borderId="0" xfId="0" applyFont="1" applyAlignment="1">
      <alignment horizontal="center"/>
    </xf>
    <xf numFmtId="165" fontId="3" fillId="6" borderId="0" xfId="1" applyNumberFormat="1" applyFont="1" applyFill="1"/>
    <xf numFmtId="0" fontId="21" fillId="0" borderId="0" xfId="0" applyFont="1"/>
    <xf numFmtId="0" fontId="10" fillId="0" borderId="0" xfId="3" applyNumberFormat="1" applyFont="1"/>
    <xf numFmtId="0" fontId="11" fillId="6" borderId="0" xfId="0" applyFont="1" applyFill="1"/>
    <xf numFmtId="0" fontId="10" fillId="6" borderId="0" xfId="3" applyNumberFormat="1" applyFont="1" applyFill="1"/>
    <xf numFmtId="44" fontId="11" fillId="6" borderId="0" xfId="1" applyFont="1" applyFill="1" applyAlignment="1">
      <alignment horizontal="center"/>
    </xf>
    <xf numFmtId="165" fontId="11" fillId="6" borderId="0" xfId="1" applyNumberFormat="1" applyFont="1" applyFill="1"/>
    <xf numFmtId="0" fontId="10" fillId="0" borderId="0" xfId="0" applyFont="1" applyAlignment="1">
      <alignment horizontal="center"/>
    </xf>
    <xf numFmtId="10" fontId="10" fillId="0" borderId="0" xfId="2" applyNumberFormat="1" applyFont="1"/>
    <xf numFmtId="165" fontId="10" fillId="0" borderId="0" xfId="0" applyNumberFormat="1" applyFont="1"/>
    <xf numFmtId="9" fontId="10" fillId="0" borderId="0" xfId="2" applyFont="1"/>
    <xf numFmtId="0" fontId="3" fillId="6" borderId="0" xfId="0" applyFont="1" applyFill="1" applyAlignment="1">
      <alignment horizontal="center"/>
    </xf>
    <xf numFmtId="9" fontId="3" fillId="6" borderId="0" xfId="2" applyFont="1" applyFill="1"/>
    <xf numFmtId="165" fontId="3" fillId="6" borderId="0" xfId="0" applyNumberFormat="1" applyFont="1" applyFill="1"/>
    <xf numFmtId="165" fontId="10" fillId="0" borderId="5" xfId="0" applyNumberFormat="1" applyFont="1" applyBorder="1"/>
    <xf numFmtId="10" fontId="3" fillId="0" borderId="0" xfId="2" applyNumberFormat="1" applyFont="1" applyAlignment="1">
      <alignment horizontal="right"/>
    </xf>
    <xf numFmtId="165" fontId="3" fillId="0" borderId="0" xfId="0" applyNumberFormat="1" applyFont="1"/>
    <xf numFmtId="0" fontId="3" fillId="0" borderId="0" xfId="0" applyFont="1" applyAlignment="1">
      <alignment horizontal="center" wrapText="1"/>
    </xf>
    <xf numFmtId="10" fontId="3" fillId="2" borderId="1" xfId="2" applyNumberFormat="1" applyFont="1" applyFill="1" applyBorder="1" applyAlignment="1">
      <alignment horizontal="center" wrapText="1"/>
    </xf>
    <xf numFmtId="10" fontId="3" fillId="2" borderId="1" xfId="2" applyNumberFormat="1" applyFont="1" applyFill="1" applyBorder="1" applyAlignment="1">
      <alignment wrapText="1"/>
    </xf>
    <xf numFmtId="165" fontId="10" fillId="0" borderId="0" xfId="1" applyNumberFormat="1" applyFont="1" applyAlignment="1">
      <alignment horizontal="center"/>
    </xf>
    <xf numFmtId="6" fontId="10" fillId="0" borderId="0" xfId="0" applyNumberFormat="1" applyFont="1" applyAlignment="1">
      <alignment horizontal="center"/>
    </xf>
    <xf numFmtId="6" fontId="3" fillId="0" borderId="0" xfId="2" applyNumberFormat="1" applyFont="1"/>
    <xf numFmtId="0" fontId="3" fillId="6" borderId="0" xfId="3" applyNumberFormat="1" applyFont="1" applyFill="1"/>
    <xf numFmtId="10" fontId="3" fillId="2" borderId="0" xfId="2" applyNumberFormat="1" applyFont="1" applyFill="1" applyAlignment="1">
      <alignment horizontal="center" wrapText="1"/>
    </xf>
    <xf numFmtId="6" fontId="10" fillId="0" borderId="0" xfId="0" applyNumberFormat="1" applyFont="1"/>
    <xf numFmtId="6" fontId="3" fillId="6" borderId="0" xfId="0" applyNumberFormat="1" applyFont="1" applyFill="1"/>
    <xf numFmtId="165" fontId="10" fillId="0" borderId="0" xfId="2" applyNumberFormat="1" applyFont="1"/>
    <xf numFmtId="0" fontId="3" fillId="6" borderId="0" xfId="0" applyFont="1" applyFill="1"/>
    <xf numFmtId="0" fontId="10" fillId="0" borderId="0" xfId="0" applyFont="1" applyAlignment="1">
      <alignment horizontal="center" wrapText="1"/>
    </xf>
    <xf numFmtId="166" fontId="10" fillId="0" borderId="0" xfId="0" applyNumberFormat="1" applyFont="1"/>
    <xf numFmtId="9" fontId="3" fillId="0" borderId="0" xfId="0" applyNumberFormat="1" applyFont="1" applyAlignment="1">
      <alignment horizontal="center"/>
    </xf>
    <xf numFmtId="170" fontId="0" fillId="0" borderId="0" xfId="0" applyNumberFormat="1"/>
    <xf numFmtId="6" fontId="3" fillId="0" borderId="0" xfId="0" applyNumberFormat="1" applyFont="1"/>
    <xf numFmtId="165" fontId="3" fillId="0" borderId="0" xfId="1" applyNumberFormat="1" applyFont="1" applyAlignment="1">
      <alignment horizontal="center"/>
    </xf>
    <xf numFmtId="0" fontId="0" fillId="0" borderId="0" xfId="0" applyAlignment="1">
      <alignment horizontal="left" indent="6"/>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13" fillId="6" borderId="2" xfId="0" applyFont="1" applyFill="1" applyBorder="1" applyAlignment="1">
      <alignment horizontal="center"/>
    </xf>
    <xf numFmtId="0" fontId="13" fillId="6" borderId="4" xfId="0" applyFont="1" applyFill="1" applyBorder="1" applyAlignment="1">
      <alignment horizontal="center"/>
    </xf>
    <xf numFmtId="0" fontId="2" fillId="0" borderId="0" xfId="0" applyFont="1" applyAlignment="1">
      <alignment horizontal="center" wrapText="1"/>
    </xf>
    <xf numFmtId="0" fontId="0" fillId="0" borderId="0" xfId="0" applyAlignment="1">
      <alignment horizontal="center"/>
    </xf>
    <xf numFmtId="0" fontId="0" fillId="0" borderId="0" xfId="0" applyAlignment="1">
      <alignment horizontal="left" wrapText="1"/>
    </xf>
    <xf numFmtId="0" fontId="3" fillId="0" borderId="0" xfId="0" applyFont="1" applyAlignment="1">
      <alignment horizontal="center"/>
    </xf>
    <xf numFmtId="0" fontId="13" fillId="0" borderId="0" xfId="0" applyFont="1" applyAlignment="1">
      <alignment horizontal="center"/>
    </xf>
    <xf numFmtId="0" fontId="3" fillId="4" borderId="0" xfId="0" applyFont="1" applyFill="1" applyAlignment="1">
      <alignment horizontal="left" indent="6"/>
    </xf>
  </cellXfs>
  <cellStyles count="4">
    <cellStyle name="Comma" xfId="3" builtinId="3"/>
    <cellStyle name="Currency" xfId="1" builtinId="4"/>
    <cellStyle name="Normal" xfId="0" builtinId="0"/>
    <cellStyle name="Percent" xfId="2" builtinId="5"/>
  </cellStyles>
  <dxfs count="3">
    <dxf>
      <font>
        <strike val="0"/>
        <outline val="0"/>
        <shadow val="0"/>
        <u val="none"/>
        <sz val="16"/>
        <color theme="1"/>
      </font>
    </dxf>
    <dxf>
      <font>
        <strike val="0"/>
        <outline val="0"/>
        <shadow val="0"/>
        <u val="none"/>
        <sz val="16"/>
        <color theme="1"/>
      </font>
    </dxf>
    <dxf>
      <font>
        <strike val="0"/>
        <outline val="0"/>
        <shadow val="0"/>
        <u val="none"/>
        <vertAlign val="baseline"/>
        <sz val="22"/>
        <color theme="1"/>
        <name val="Aptos Narrow"/>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hartsheet" Target="chartsheets/sheet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Depreciation Expenses - Comparisons Chart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'Chart_Depreciation Data'!$C$2</c:f>
              <c:strCache>
                <c:ptCount val="1"/>
                <c:pt idx="0">
                  <c:v>AM</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'Chart_Depreciation Data'!$C$3:$C$10</c:f>
              <c:numCache>
                <c:formatCode>General</c:formatCode>
                <c:ptCount val="8"/>
                <c:pt idx="0">
                  <c:v>234000</c:v>
                </c:pt>
                <c:pt idx="1">
                  <c:v>214500</c:v>
                </c:pt>
                <c:pt idx="2">
                  <c:v>195000</c:v>
                </c:pt>
                <c:pt idx="3">
                  <c:v>175500</c:v>
                </c:pt>
                <c:pt idx="4">
                  <c:v>156000</c:v>
                </c:pt>
              </c:numCache>
            </c:numRef>
          </c:val>
          <c:smooth val="0"/>
          <c:extLst>
            <c:ext xmlns:c16="http://schemas.microsoft.com/office/drawing/2014/chart" uri="{C3380CC4-5D6E-409C-BE32-E72D297353CC}">
              <c16:uniqueId val="{00000001-158C-492D-89C0-078629D1B03B}"/>
            </c:ext>
          </c:extLst>
        </c:ser>
        <c:ser>
          <c:idx val="2"/>
          <c:order val="1"/>
          <c:tx>
            <c:strRef>
              <c:f>'Chart_Depreciation Data'!$D$2</c:f>
              <c:strCache>
                <c:ptCount val="1"/>
                <c:pt idx="0">
                  <c:v>SL</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'Chart_Depreciation Data'!$D$3:$D$10</c:f>
              <c:numCache>
                <c:formatCode>General</c:formatCode>
                <c:ptCount val="8"/>
                <c:pt idx="0">
                  <c:v>195000</c:v>
                </c:pt>
                <c:pt idx="1">
                  <c:v>195000</c:v>
                </c:pt>
                <c:pt idx="2">
                  <c:v>195000</c:v>
                </c:pt>
                <c:pt idx="3">
                  <c:v>195000</c:v>
                </c:pt>
                <c:pt idx="4">
                  <c:v>195000</c:v>
                </c:pt>
              </c:numCache>
            </c:numRef>
          </c:val>
          <c:smooth val="0"/>
          <c:extLst>
            <c:ext xmlns:c16="http://schemas.microsoft.com/office/drawing/2014/chart" uri="{C3380CC4-5D6E-409C-BE32-E72D297353CC}">
              <c16:uniqueId val="{00000002-158C-492D-89C0-078629D1B03B}"/>
            </c:ext>
          </c:extLst>
        </c:ser>
        <c:ser>
          <c:idx val="3"/>
          <c:order val="2"/>
          <c:tx>
            <c:strRef>
              <c:f>'Chart_Depreciation Data'!$E$2</c:f>
              <c:strCache>
                <c:ptCount val="1"/>
                <c:pt idx="0">
                  <c:v>SYD</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dLbls>
            <c:numFmt formatCode="_(&quot;$&quot;* #,##0_);_(&quot;$&quot;* \(#,##0\);_(&quot;$&quot;* &quot;-&quot;_);_(@_)" sourceLinked="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'Chart_Depreciation Data'!$E$3:$E$10</c:f>
              <c:numCache>
                <c:formatCode>General</c:formatCode>
                <c:ptCount val="8"/>
                <c:pt idx="0" formatCode="&quot;$&quot;#,##0_);[Red]\(&quot;$&quot;#,##0\)">
                  <c:v>325000</c:v>
                </c:pt>
                <c:pt idx="1">
                  <c:v>260000</c:v>
                </c:pt>
                <c:pt idx="2">
                  <c:v>195000</c:v>
                </c:pt>
                <c:pt idx="3">
                  <c:v>130000</c:v>
                </c:pt>
                <c:pt idx="4">
                  <c:v>65000</c:v>
                </c:pt>
              </c:numCache>
            </c:numRef>
          </c:val>
          <c:smooth val="0"/>
          <c:extLst>
            <c:ext xmlns:c16="http://schemas.microsoft.com/office/drawing/2014/chart" uri="{C3380CC4-5D6E-409C-BE32-E72D297353CC}">
              <c16:uniqueId val="{00000003-158C-492D-89C0-078629D1B03B}"/>
            </c:ext>
          </c:extLst>
        </c:ser>
        <c:ser>
          <c:idx val="4"/>
          <c:order val="3"/>
          <c:tx>
            <c:strRef>
              <c:f>'Chart_Depreciation Data'!$F$2</c:f>
              <c:strCache>
                <c:ptCount val="1"/>
                <c:pt idx="0">
                  <c:v>DDB</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dLbls>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'Chart_Depreciation Data'!$F$3:$F$10</c:f>
              <c:numCache>
                <c:formatCode>General</c:formatCode>
                <c:ptCount val="8"/>
                <c:pt idx="0" formatCode="&quot;$&quot;#,##0_);[Red]\(&quot;$&quot;#,##0\)">
                  <c:v>440000</c:v>
                </c:pt>
                <c:pt idx="1">
                  <c:v>264000</c:v>
                </c:pt>
                <c:pt idx="2">
                  <c:v>158400</c:v>
                </c:pt>
                <c:pt idx="3">
                  <c:v>95040</c:v>
                </c:pt>
                <c:pt idx="4">
                  <c:v>17560</c:v>
                </c:pt>
              </c:numCache>
            </c:numRef>
          </c:val>
          <c:smooth val="0"/>
          <c:extLst>
            <c:ext xmlns:c16="http://schemas.microsoft.com/office/drawing/2014/chart" uri="{C3380CC4-5D6E-409C-BE32-E72D297353CC}">
              <c16:uniqueId val="{00000004-158C-492D-89C0-078629D1B03B}"/>
            </c:ext>
          </c:extLst>
        </c:ser>
        <c:ser>
          <c:idx val="0"/>
          <c:order val="4"/>
          <c:tx>
            <c:strRef>
              <c:f>'Chart_Depreciation Data'!$G$2</c:f>
              <c:strCache>
                <c:ptCount val="1"/>
                <c:pt idx="0">
                  <c:v>MACRS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val>
            <c:numRef>
              <c:f>'Chart_Depreciation Data'!$G$3:$G$10</c:f>
              <c:numCache>
                <c:formatCode>_("$"* #,##0_);_("$"* \(#,##0\);_("$"* "-"??_);_(@_)</c:formatCode>
                <c:ptCount val="8"/>
                <c:pt idx="0">
                  <c:v>157190</c:v>
                </c:pt>
                <c:pt idx="1">
                  <c:v>269390</c:v>
                </c:pt>
                <c:pt idx="2">
                  <c:v>192389.99999999997</c:v>
                </c:pt>
                <c:pt idx="3">
                  <c:v>137390</c:v>
                </c:pt>
                <c:pt idx="4">
                  <c:v>98229.999999999985</c:v>
                </c:pt>
                <c:pt idx="5">
                  <c:v>98120</c:v>
                </c:pt>
                <c:pt idx="6">
                  <c:v>98229.999999999985</c:v>
                </c:pt>
                <c:pt idx="7">
                  <c:v>49060</c:v>
                </c:pt>
              </c:numCache>
            </c:numRef>
          </c:val>
          <c:smooth val="0"/>
          <c:extLst>
            <c:ext xmlns:c16="http://schemas.microsoft.com/office/drawing/2014/chart" uri="{C3380CC4-5D6E-409C-BE32-E72D297353CC}">
              <c16:uniqueId val="{00000005-158C-492D-89C0-078629D1B03B}"/>
            </c:ext>
          </c:extLst>
        </c:ser>
        <c:ser>
          <c:idx val="5"/>
          <c:order val="5"/>
          <c:tx>
            <c:strRef>
              <c:f>'Chart_Depreciation Data'!$H$2</c:f>
              <c:strCache>
                <c:ptCount val="1"/>
                <c:pt idx="0">
                  <c:v>MACRS-SL</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val>
            <c:numRef>
              <c:f>'Chart_Depreciation Data'!$H$3:$H$10</c:f>
              <c:numCache>
                <c:formatCode>_("$"* #,##0_);_("$"* \(#,##0\);_("$"* "-"??_);_(@_)</c:formatCode>
                <c:ptCount val="8"/>
                <c:pt idx="0">
                  <c:v>78571.428571428565</c:v>
                </c:pt>
                <c:pt idx="1">
                  <c:v>157142.85714285713</c:v>
                </c:pt>
                <c:pt idx="2">
                  <c:v>157142.85714285713</c:v>
                </c:pt>
                <c:pt idx="3">
                  <c:v>157142.85714285713</c:v>
                </c:pt>
                <c:pt idx="4">
                  <c:v>157142.85714285713</c:v>
                </c:pt>
                <c:pt idx="5">
                  <c:v>157142.85714285713</c:v>
                </c:pt>
                <c:pt idx="6">
                  <c:v>157142.85714285713</c:v>
                </c:pt>
                <c:pt idx="7">
                  <c:v>78571.428571428565</c:v>
                </c:pt>
              </c:numCache>
            </c:numRef>
          </c:val>
          <c:smooth val="0"/>
          <c:extLst>
            <c:ext xmlns:c16="http://schemas.microsoft.com/office/drawing/2014/chart" uri="{C3380CC4-5D6E-409C-BE32-E72D297353CC}">
              <c16:uniqueId val="{00000006-158C-492D-89C0-078629D1B03B}"/>
            </c:ext>
          </c:extLst>
        </c:ser>
        <c:dLbls>
          <c:showLegendKey val="0"/>
          <c:showVal val="0"/>
          <c:showCatName val="0"/>
          <c:showSerName val="0"/>
          <c:showPercent val="0"/>
          <c:showBubbleSize val="0"/>
        </c:dLbls>
        <c:smooth val="0"/>
        <c:axId val="348441744"/>
        <c:axId val="1583854656"/>
      </c:lineChart>
      <c:catAx>
        <c:axId val="348441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3854656"/>
        <c:crosses val="autoZero"/>
        <c:auto val="1"/>
        <c:lblAlgn val="ctr"/>
        <c:lblOffset val="100"/>
        <c:noMultiLvlLbl val="0"/>
      </c:catAx>
      <c:valAx>
        <c:axId val="158385465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DEPRECIATION  Deduction</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8441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E55614B-5F9B-4579-A4B0-684AD4E2D553}">
  <sheetPr/>
  <sheetViews>
    <sheetView zoomScale="124"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80040" cy="6298790"/>
    <xdr:graphicFrame macro="">
      <xdr:nvGraphicFramePr>
        <xdr:cNvPr id="2" name="Chart 1">
          <a:extLst>
            <a:ext uri="{FF2B5EF4-FFF2-40B4-BE49-F238E27FC236}">
              <a16:creationId xmlns:a16="http://schemas.microsoft.com/office/drawing/2014/main" id="{B955DC61-519F-0889-8556-B79683E534D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0.38901</cdr:x>
      <cdr:y>0.16697</cdr:y>
    </cdr:from>
    <cdr:to>
      <cdr:x>0.39078</cdr:x>
      <cdr:y>0.87022</cdr:y>
    </cdr:to>
    <cdr:cxnSp macro="">
      <cdr:nvCxnSpPr>
        <cdr:cNvPr id="3" name="Straight Connector 2">
          <a:extLst xmlns:a="http://schemas.openxmlformats.org/drawingml/2006/main">
            <a:ext uri="{FF2B5EF4-FFF2-40B4-BE49-F238E27FC236}">
              <a16:creationId xmlns:a16="http://schemas.microsoft.com/office/drawing/2014/main" id="{08EBC297-364F-A334-84C6-E6945595B1E0}"/>
            </a:ext>
          </a:extLst>
        </cdr:cNvPr>
        <cdr:cNvCxnSpPr/>
      </cdr:nvCxnSpPr>
      <cdr:spPr>
        <a:xfrm xmlns:a="http://schemas.openxmlformats.org/drawingml/2006/main">
          <a:off x="3379838" y="1052359"/>
          <a:ext cx="15363" cy="4432197"/>
        </a:xfrm>
        <a:prstGeom xmlns:a="http://schemas.openxmlformats.org/drawingml/2006/main" prst="line">
          <a:avLst/>
        </a:prstGeom>
        <a:ln xmlns:a="http://schemas.openxmlformats.org/drawingml/2006/main" w="28575" cap="flat" cmpd="sng" algn="ctr">
          <a:solidFill>
            <a:schemeClr val="accent2"/>
          </a:solidFill>
          <a:prstDash val="dash"/>
          <a:round/>
          <a:headEnd type="none" w="med" len="med"/>
          <a:tailEnd type="none" w="med" len="med"/>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cxnSp>
  </cdr:relSizeAnchor>
</c:userShap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DEE098-F304-4F37-A360-24976DF6497E}" name="Table1" displayName="Table1" ref="C2:C15" totalsRowShown="0" headerRowDxfId="2" dataDxfId="1">
  <autoFilter ref="C2:C15" xr:uid="{2ADEE098-F304-4F37-A360-24976DF6497E}"/>
  <tableColumns count="1">
    <tableColumn id="1" xr3:uid="{E59EFE45-C596-45B8-9842-7ABC2888F5F8}" name="GAAP and TAX Depreciation (AICPA - Adapt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F1A79-D506-44B6-ADCB-D9E26DF0AEBD}">
  <dimension ref="D2:U30"/>
  <sheetViews>
    <sheetView zoomScale="154" zoomScaleNormal="154" workbookViewId="0">
      <selection activeCell="E6" sqref="E6"/>
    </sheetView>
  </sheetViews>
  <sheetFormatPr defaultRowHeight="15" x14ac:dyDescent="0.25"/>
  <sheetData>
    <row r="2" spans="4:21" x14ac:dyDescent="0.25">
      <c r="J2" cm="1">
        <f t="array" ref="J2">_xlfn.XLOOKUP($E10,$E$6:$E$30,$K$6:$K$30,null,0)</f>
        <v>0.68301345536507052</v>
      </c>
    </row>
    <row r="4" spans="4:21" x14ac:dyDescent="0.25">
      <c r="D4" s="10">
        <v>0.1</v>
      </c>
    </row>
    <row r="5" spans="4:21" x14ac:dyDescent="0.25">
      <c r="D5">
        <v>1</v>
      </c>
    </row>
    <row r="6" spans="4:21" x14ac:dyDescent="0.25">
      <c r="E6" s="36">
        <f>PV($D$4,$D$5,0,-1,0)</f>
        <v>0.90909090909090906</v>
      </c>
      <c r="F6" s="10">
        <v>0.05</v>
      </c>
      <c r="G6" s="10">
        <v>0.06</v>
      </c>
      <c r="H6" s="10">
        <v>7.0000000000000007E-2</v>
      </c>
      <c r="I6" s="10">
        <v>0.08</v>
      </c>
      <c r="J6" s="10">
        <v>0.09</v>
      </c>
      <c r="K6" s="12">
        <v>0.1</v>
      </c>
      <c r="L6" s="10">
        <v>0.11</v>
      </c>
      <c r="M6" s="10">
        <v>0.12</v>
      </c>
      <c r="N6" s="10">
        <v>0.13</v>
      </c>
      <c r="O6" s="10">
        <v>0.14000000000000001</v>
      </c>
      <c r="P6" s="10">
        <v>0.15</v>
      </c>
      <c r="Q6" s="10">
        <v>0.16</v>
      </c>
      <c r="R6" s="10">
        <v>0.17</v>
      </c>
      <c r="S6" s="10">
        <v>0.18</v>
      </c>
      <c r="T6" s="10">
        <v>0.19</v>
      </c>
      <c r="U6" s="10">
        <v>0.2</v>
      </c>
    </row>
    <row r="7" spans="4:21" x14ac:dyDescent="0.25">
      <c r="E7">
        <v>1</v>
      </c>
      <c r="F7">
        <f t="dataTable" ref="F7:U30" dt2D="1" dtr="1" r1="D4" r2="D5"/>
        <v>0.95238095238095233</v>
      </c>
      <c r="G7">
        <v>0.94339622641509424</v>
      </c>
      <c r="H7">
        <v>0.93457943925233644</v>
      </c>
      <c r="I7">
        <v>0.92592592592592582</v>
      </c>
      <c r="J7">
        <v>0.9174311926605504</v>
      </c>
      <c r="K7" s="14">
        <v>0.90909090909090906</v>
      </c>
      <c r="L7">
        <v>0.9009009009009008</v>
      </c>
      <c r="M7">
        <v>0.89285714285714279</v>
      </c>
      <c r="N7">
        <v>0.88495575221238942</v>
      </c>
      <c r="O7">
        <v>0.8771929824561403</v>
      </c>
      <c r="P7">
        <v>0.86956521739130443</v>
      </c>
      <c r="Q7">
        <v>0.86206896551724144</v>
      </c>
      <c r="R7">
        <v>0.85470085470085477</v>
      </c>
      <c r="S7">
        <v>0.84745762711864414</v>
      </c>
      <c r="T7">
        <v>0.84033613445378152</v>
      </c>
      <c r="U7">
        <v>0.83333333333333337</v>
      </c>
    </row>
    <row r="8" spans="4:21" x14ac:dyDescent="0.25">
      <c r="E8">
        <v>2</v>
      </c>
      <c r="F8">
        <v>0.90702947845804982</v>
      </c>
      <c r="G8">
        <v>0.88999644001423983</v>
      </c>
      <c r="H8">
        <v>0.87343872827321156</v>
      </c>
      <c r="I8">
        <v>0.85733882030178321</v>
      </c>
      <c r="J8">
        <v>0.84167999326655996</v>
      </c>
      <c r="K8" s="14">
        <v>0.82644628099173545</v>
      </c>
      <c r="L8">
        <v>0.8116224332440547</v>
      </c>
      <c r="M8">
        <v>0.79719387755102034</v>
      </c>
      <c r="N8">
        <v>0.78314668337379612</v>
      </c>
      <c r="O8">
        <v>0.76946752847029842</v>
      </c>
      <c r="P8">
        <v>0.7561436672967865</v>
      </c>
      <c r="Q8">
        <v>0.74316290130796681</v>
      </c>
      <c r="R8">
        <v>0.73051355102637161</v>
      </c>
      <c r="S8">
        <v>0.71818442976156283</v>
      </c>
      <c r="T8">
        <v>0.70616481886872395</v>
      </c>
      <c r="U8">
        <v>0.69444444444444442</v>
      </c>
    </row>
    <row r="9" spans="4:21" x14ac:dyDescent="0.25">
      <c r="E9">
        <v>3</v>
      </c>
      <c r="F9">
        <v>0.86383759853147601</v>
      </c>
      <c r="G9">
        <v>0.8396192830323016</v>
      </c>
      <c r="H9">
        <v>0.81629787689085187</v>
      </c>
      <c r="I9">
        <v>0.79383224102016958</v>
      </c>
      <c r="J9">
        <v>0.77218348006106419</v>
      </c>
      <c r="K9" s="14">
        <v>0.75131480090157754</v>
      </c>
      <c r="L9">
        <v>0.73119138130095018</v>
      </c>
      <c r="M9">
        <v>0.71178024781341087</v>
      </c>
      <c r="N9">
        <v>0.69305016227769578</v>
      </c>
      <c r="O9">
        <v>0.67497151620201612</v>
      </c>
      <c r="P9">
        <v>0.65751623243198831</v>
      </c>
      <c r="Q9">
        <v>0.64065767354135073</v>
      </c>
      <c r="R9">
        <v>0.62437055643279626</v>
      </c>
      <c r="S9">
        <v>0.6086308726792905</v>
      </c>
      <c r="T9">
        <v>0.59341581417539835</v>
      </c>
      <c r="U9">
        <v>0.57870370370370372</v>
      </c>
    </row>
    <row r="10" spans="4:21" x14ac:dyDescent="0.25">
      <c r="E10">
        <v>4</v>
      </c>
      <c r="F10">
        <v>0.82270247479188197</v>
      </c>
      <c r="G10">
        <v>0.79209366323802044</v>
      </c>
      <c r="H10">
        <v>0.7628952120475252</v>
      </c>
      <c r="I10">
        <v>0.73502985279645328</v>
      </c>
      <c r="J10">
        <v>0.7084252110651964</v>
      </c>
      <c r="K10" s="14">
        <v>0.68301345536507052</v>
      </c>
      <c r="L10">
        <v>0.65873097414500015</v>
      </c>
      <c r="M10">
        <v>0.63551807840483121</v>
      </c>
      <c r="N10">
        <v>0.61331872767937679</v>
      </c>
      <c r="O10">
        <v>0.59208027737018942</v>
      </c>
      <c r="P10">
        <v>0.57175324559303342</v>
      </c>
      <c r="Q10">
        <v>0.5522910978804747</v>
      </c>
      <c r="R10">
        <v>0.53365004823315931</v>
      </c>
      <c r="S10">
        <v>0.51578887515194116</v>
      </c>
      <c r="T10">
        <v>0.49866875140789779</v>
      </c>
      <c r="U10">
        <v>0.48225308641975312</v>
      </c>
    </row>
    <row r="11" spans="4:21" x14ac:dyDescent="0.25">
      <c r="E11">
        <v>5</v>
      </c>
      <c r="F11">
        <v>0.78352616646845896</v>
      </c>
      <c r="G11">
        <v>0.74725817286605689</v>
      </c>
      <c r="H11">
        <v>0.71298617948366838</v>
      </c>
      <c r="I11">
        <v>0.68058319703375303</v>
      </c>
      <c r="J11">
        <v>0.64993138629834524</v>
      </c>
      <c r="K11" s="14">
        <v>0.62092132305915493</v>
      </c>
      <c r="L11">
        <v>0.5934513280585586</v>
      </c>
      <c r="M11">
        <v>0.56742685571859919</v>
      </c>
      <c r="N11">
        <v>0.54275993599944861</v>
      </c>
      <c r="O11">
        <v>0.51936866435981521</v>
      </c>
      <c r="P11">
        <v>0.49717673529828987</v>
      </c>
      <c r="Q11">
        <v>0.47611301541420237</v>
      </c>
      <c r="R11">
        <v>0.45611115233603361</v>
      </c>
      <c r="S11">
        <v>0.43710921623045873</v>
      </c>
      <c r="T11">
        <v>0.41904937093100653</v>
      </c>
      <c r="U11">
        <v>0.4018775720164609</v>
      </c>
    </row>
    <row r="12" spans="4:21" x14ac:dyDescent="0.25">
      <c r="E12">
        <v>6</v>
      </c>
      <c r="F12">
        <v>0.74621539663662761</v>
      </c>
      <c r="G12">
        <v>0.70496054043967626</v>
      </c>
      <c r="H12">
        <v>0.66634222381651254</v>
      </c>
      <c r="I12">
        <v>0.63016962688310452</v>
      </c>
      <c r="J12">
        <v>0.5962673268792158</v>
      </c>
      <c r="K12" s="14">
        <v>0.56447393005377722</v>
      </c>
      <c r="L12">
        <v>0.53464083608879154</v>
      </c>
      <c r="M12">
        <v>0.50663112117732068</v>
      </c>
      <c r="N12">
        <v>0.48031852743314046</v>
      </c>
      <c r="O12">
        <v>0.45558654768404844</v>
      </c>
      <c r="P12">
        <v>0.43232759591155645</v>
      </c>
      <c r="Q12">
        <v>0.41044225466741585</v>
      </c>
      <c r="R12">
        <v>0.38983859174019969</v>
      </c>
      <c r="S12">
        <v>0.37043153917835481</v>
      </c>
      <c r="T12">
        <v>0.3521423285134509</v>
      </c>
      <c r="U12">
        <v>0.33489797668038412</v>
      </c>
    </row>
    <row r="13" spans="4:21" x14ac:dyDescent="0.25">
      <c r="E13">
        <v>7</v>
      </c>
      <c r="F13">
        <v>0.71068133013012147</v>
      </c>
      <c r="G13">
        <v>0.66505711362233599</v>
      </c>
      <c r="H13">
        <v>0.62274974188459109</v>
      </c>
      <c r="I13">
        <v>0.58349039526213387</v>
      </c>
      <c r="J13">
        <v>0.54703424484331731</v>
      </c>
      <c r="K13" s="14">
        <v>0.51315811823070645</v>
      </c>
      <c r="L13">
        <v>0.48165841089080319</v>
      </c>
      <c r="M13">
        <v>0.45234921533689343</v>
      </c>
      <c r="N13">
        <v>0.425060643746142</v>
      </c>
      <c r="O13">
        <v>0.39963732252986695</v>
      </c>
      <c r="P13">
        <v>0.37593703992309269</v>
      </c>
      <c r="Q13">
        <v>0.35382952988570338</v>
      </c>
      <c r="R13">
        <v>0.33319537755572626</v>
      </c>
      <c r="S13">
        <v>0.31392503320199561</v>
      </c>
      <c r="T13">
        <v>0.29591792312054699</v>
      </c>
      <c r="U13">
        <v>0.27908164723365342</v>
      </c>
    </row>
    <row r="14" spans="4:21" x14ac:dyDescent="0.25">
      <c r="E14">
        <v>8</v>
      </c>
      <c r="F14">
        <v>0.67683936202868722</v>
      </c>
      <c r="G14">
        <v>0.62741237134182648</v>
      </c>
      <c r="H14">
        <v>0.5820091045650384</v>
      </c>
      <c r="I14">
        <v>0.54026888450197574</v>
      </c>
      <c r="J14">
        <v>0.50186627967276809</v>
      </c>
      <c r="K14" s="14">
        <v>0.46650738020973315</v>
      </c>
      <c r="L14">
        <v>0.43392649629802077</v>
      </c>
      <c r="M14">
        <v>0.4038832279793691</v>
      </c>
      <c r="N14">
        <v>0.37615986172224958</v>
      </c>
      <c r="O14">
        <v>0.35055905485076044</v>
      </c>
      <c r="P14">
        <v>0.32690177384616753</v>
      </c>
      <c r="Q14">
        <v>0.30502545679802012</v>
      </c>
      <c r="R14">
        <v>0.28478237397925327</v>
      </c>
      <c r="S14">
        <v>0.26603816373050476</v>
      </c>
      <c r="T14">
        <v>0.24867052363071171</v>
      </c>
      <c r="U14">
        <v>0.23256803936137788</v>
      </c>
    </row>
    <row r="15" spans="4:21" x14ac:dyDescent="0.25">
      <c r="E15">
        <v>9</v>
      </c>
      <c r="F15">
        <v>0.64460891621779726</v>
      </c>
      <c r="G15">
        <v>0.59189846353002495</v>
      </c>
      <c r="H15">
        <v>0.54393374258414806</v>
      </c>
      <c r="I15">
        <v>0.50024896713145905</v>
      </c>
      <c r="J15">
        <v>0.46042777951630098</v>
      </c>
      <c r="K15">
        <v>0.42409761837248466</v>
      </c>
      <c r="L15">
        <v>0.39092477143965831</v>
      </c>
      <c r="M15">
        <v>0.36061002498157957</v>
      </c>
      <c r="N15">
        <v>0.33288483338252178</v>
      </c>
      <c r="O15">
        <v>0.3075079428515442</v>
      </c>
      <c r="P15">
        <v>0.28426241204014574</v>
      </c>
      <c r="Q15">
        <v>0.26295297999829326</v>
      </c>
      <c r="R15">
        <v>0.24340373844380622</v>
      </c>
      <c r="S15">
        <v>0.22545607095805489</v>
      </c>
      <c r="T15">
        <v>0.20896682658043003</v>
      </c>
      <c r="U15">
        <v>0.1938066994678149</v>
      </c>
    </row>
    <row r="16" spans="4:21" x14ac:dyDescent="0.25">
      <c r="E16">
        <v>10</v>
      </c>
      <c r="F16">
        <v>0.61391325354075932</v>
      </c>
      <c r="G16">
        <v>0.55839477691511785</v>
      </c>
      <c r="H16">
        <v>0.5083492921347178</v>
      </c>
      <c r="I16">
        <v>0.46319348808468425</v>
      </c>
      <c r="J16">
        <v>0.42241080689568894</v>
      </c>
      <c r="K16">
        <v>0.38554328942953148</v>
      </c>
      <c r="L16">
        <v>0.3521844787744669</v>
      </c>
      <c r="M16">
        <v>0.32197323659069599</v>
      </c>
      <c r="N16">
        <v>0.2945883481261255</v>
      </c>
      <c r="O16">
        <v>0.26974380951889843</v>
      </c>
      <c r="P16">
        <v>0.24718470612186585</v>
      </c>
      <c r="Q16">
        <v>0.22668360344680452</v>
      </c>
      <c r="R16">
        <v>0.20803738328530447</v>
      </c>
      <c r="S16">
        <v>0.19106446691360587</v>
      </c>
      <c r="T16">
        <v>0.17560237527767228</v>
      </c>
      <c r="U16">
        <v>0.16150558288984573</v>
      </c>
    </row>
    <row r="17" spans="5:21" x14ac:dyDescent="0.25">
      <c r="E17">
        <v>11</v>
      </c>
      <c r="F17">
        <v>0.5846792890864374</v>
      </c>
      <c r="G17">
        <v>0.52678752539162055</v>
      </c>
      <c r="H17">
        <v>0.47509279638758667</v>
      </c>
      <c r="I17">
        <v>0.42888285933767062</v>
      </c>
      <c r="J17">
        <v>0.38753285036301738</v>
      </c>
      <c r="K17">
        <v>0.3504938994813922</v>
      </c>
      <c r="L17">
        <v>0.31728331421123146</v>
      </c>
      <c r="M17">
        <v>0.28747610409883567</v>
      </c>
      <c r="N17">
        <v>0.26069765320896066</v>
      </c>
      <c r="O17">
        <v>0.23661737677096348</v>
      </c>
      <c r="P17">
        <v>0.21494322271466598</v>
      </c>
      <c r="Q17">
        <v>0.19541689952310734</v>
      </c>
      <c r="R17">
        <v>0.17780972930367903</v>
      </c>
      <c r="S17">
        <v>0.1619190397572931</v>
      </c>
      <c r="T17">
        <v>0.14756502124174142</v>
      </c>
      <c r="U17">
        <v>0.13458798574153813</v>
      </c>
    </row>
    <row r="18" spans="5:21" x14ac:dyDescent="0.25">
      <c r="E18">
        <v>12</v>
      </c>
      <c r="F18">
        <v>0.5568374181775595</v>
      </c>
      <c r="G18">
        <v>0.4969693635770005</v>
      </c>
      <c r="H18">
        <v>0.44401195924073528</v>
      </c>
      <c r="I18">
        <v>0.39711375864599124</v>
      </c>
      <c r="J18">
        <v>0.35553472510368567</v>
      </c>
      <c r="K18">
        <v>0.31863081771035656</v>
      </c>
      <c r="L18">
        <v>0.28584082361372198</v>
      </c>
      <c r="M18">
        <v>0.25667509294538904</v>
      </c>
      <c r="N18">
        <v>0.23070588779554044</v>
      </c>
      <c r="O18">
        <v>0.20755910243066969</v>
      </c>
      <c r="P18">
        <v>0.18690715018666609</v>
      </c>
      <c r="Q18">
        <v>0.16846284441647186</v>
      </c>
      <c r="R18">
        <v>0.15197412760998211</v>
      </c>
      <c r="S18">
        <v>0.13721952521804504</v>
      </c>
      <c r="T18">
        <v>0.12400421953087515</v>
      </c>
      <c r="U18">
        <v>0.11215665478461512</v>
      </c>
    </row>
    <row r="19" spans="5:21" x14ac:dyDescent="0.25">
      <c r="E19">
        <v>13</v>
      </c>
      <c r="F19">
        <v>0.53032135064529462</v>
      </c>
      <c r="G19">
        <v>0.46883902224245327</v>
      </c>
      <c r="H19">
        <v>0.41496444788853759</v>
      </c>
      <c r="I19">
        <v>0.36769792467221413</v>
      </c>
      <c r="J19">
        <v>0.32617864688411524</v>
      </c>
      <c r="K19">
        <v>0.28966437973668779</v>
      </c>
      <c r="L19">
        <v>0.25751425550785767</v>
      </c>
      <c r="M19">
        <v>0.22917419012981158</v>
      </c>
      <c r="N19">
        <v>0.20416450247392959</v>
      </c>
      <c r="O19">
        <v>0.18206938809707865</v>
      </c>
      <c r="P19">
        <v>0.16252795668405748</v>
      </c>
      <c r="Q19">
        <v>0.14522659001419991</v>
      </c>
      <c r="R19">
        <v>0.12989241676066848</v>
      </c>
      <c r="S19">
        <v>0.11628773323563139</v>
      </c>
      <c r="T19">
        <v>0.10420522649653374</v>
      </c>
      <c r="U19">
        <v>9.3463878987179255E-2</v>
      </c>
    </row>
    <row r="20" spans="5:21" x14ac:dyDescent="0.25">
      <c r="E20">
        <v>14</v>
      </c>
      <c r="F20">
        <v>0.50506795299551888</v>
      </c>
      <c r="G20">
        <v>0.44230096437967292</v>
      </c>
      <c r="H20">
        <v>0.3878172410173249</v>
      </c>
      <c r="I20">
        <v>0.34046104136316119</v>
      </c>
      <c r="J20">
        <v>0.29924646503129837</v>
      </c>
      <c r="K20">
        <v>0.26333125430607973</v>
      </c>
      <c r="L20">
        <v>0.23199482478185374</v>
      </c>
      <c r="M20">
        <v>0.20461981261590317</v>
      </c>
      <c r="N20">
        <v>0.18067655086188467</v>
      </c>
      <c r="O20">
        <v>0.15970998955884091</v>
      </c>
      <c r="P20">
        <v>0.14132865798613695</v>
      </c>
      <c r="Q20">
        <v>0.12519533621913784</v>
      </c>
      <c r="R20">
        <v>0.11101915962450297</v>
      </c>
      <c r="S20">
        <v>9.8548926470874057E-2</v>
      </c>
      <c r="T20">
        <v>8.7567417223977942E-2</v>
      </c>
      <c r="U20">
        <v>7.7886565822649384E-2</v>
      </c>
    </row>
    <row r="21" spans="5:21" x14ac:dyDescent="0.25">
      <c r="E21">
        <v>15</v>
      </c>
      <c r="F21">
        <v>0.48101709809097021</v>
      </c>
      <c r="G21">
        <v>0.41726506073554037</v>
      </c>
      <c r="H21">
        <v>0.36244601964235967</v>
      </c>
      <c r="I21">
        <v>0.31524170496588994</v>
      </c>
      <c r="J21">
        <v>0.27453804131311776</v>
      </c>
      <c r="K21">
        <v>0.23939204936916339</v>
      </c>
      <c r="L21">
        <v>0.2090043466503187</v>
      </c>
      <c r="M21">
        <v>0.18269626126419927</v>
      </c>
      <c r="N21">
        <v>0.15989075297511918</v>
      </c>
      <c r="O21">
        <v>0.1400964820691587</v>
      </c>
      <c r="P21">
        <v>0.1228944852053365</v>
      </c>
      <c r="Q21">
        <v>0.10792701398201539</v>
      </c>
      <c r="R21">
        <v>9.4888170619233325E-2</v>
      </c>
      <c r="S21">
        <v>8.351603938209666E-2</v>
      </c>
      <c r="T21">
        <v>7.3586064894099107E-2</v>
      </c>
      <c r="U21">
        <v>6.4905471518874491E-2</v>
      </c>
    </row>
    <row r="22" spans="5:21" x14ac:dyDescent="0.25">
      <c r="E22">
        <v>16</v>
      </c>
      <c r="F22">
        <v>0.45811152199140021</v>
      </c>
      <c r="G22">
        <v>0.39364628371277405</v>
      </c>
      <c r="H22">
        <v>0.33873459779659787</v>
      </c>
      <c r="I22">
        <v>0.29189046756100923</v>
      </c>
      <c r="J22">
        <v>0.2518697626725851</v>
      </c>
      <c r="K22">
        <v>0.21762913579014853</v>
      </c>
      <c r="L22">
        <v>0.18829220418947626</v>
      </c>
      <c r="M22">
        <v>0.16312166184303503</v>
      </c>
      <c r="N22">
        <v>0.14149624157090193</v>
      </c>
      <c r="O22">
        <v>0.12289165093785848</v>
      </c>
      <c r="P22">
        <v>0.10686476974377089</v>
      </c>
      <c r="Q22">
        <v>9.3040529294840857E-2</v>
      </c>
      <c r="R22">
        <v>8.1101000529259254E-2</v>
      </c>
      <c r="S22">
        <v>7.0776304561098874E-2</v>
      </c>
      <c r="T22">
        <v>6.1837029322772352E-2</v>
      </c>
      <c r="U22">
        <v>5.4087892932395409E-2</v>
      </c>
    </row>
    <row r="23" spans="5:21" x14ac:dyDescent="0.25">
      <c r="E23">
        <v>17</v>
      </c>
      <c r="F23">
        <v>0.43629668761085727</v>
      </c>
      <c r="G23">
        <v>0.37136441859695657</v>
      </c>
      <c r="H23">
        <v>0.31657439046411018</v>
      </c>
      <c r="I23">
        <v>0.27026895144537894</v>
      </c>
      <c r="J23">
        <v>0.23107317676383954</v>
      </c>
      <c r="K23">
        <v>0.19784466890013502</v>
      </c>
      <c r="L23">
        <v>0.16963261638691554</v>
      </c>
      <c r="M23">
        <v>0.14564434093128129</v>
      </c>
      <c r="N23">
        <v>0.12521791289460349</v>
      </c>
      <c r="O23">
        <v>0.107799693805139</v>
      </c>
      <c r="P23">
        <v>9.2925886733713825E-2</v>
      </c>
      <c r="Q23">
        <v>8.0207352840380053E-2</v>
      </c>
      <c r="R23">
        <v>6.9317094469452362E-2</v>
      </c>
      <c r="S23">
        <v>5.9979919119575315E-2</v>
      </c>
      <c r="T23">
        <v>5.1963890187203661E-2</v>
      </c>
      <c r="U23">
        <v>4.5073244110329508E-2</v>
      </c>
    </row>
    <row r="24" spans="5:21" x14ac:dyDescent="0.25">
      <c r="E24">
        <v>18</v>
      </c>
      <c r="F24">
        <v>0.41552065486748313</v>
      </c>
      <c r="G24">
        <v>0.35034379112920433</v>
      </c>
      <c r="H24">
        <v>0.29586391632159825</v>
      </c>
      <c r="I24">
        <v>0.25024902911609154</v>
      </c>
      <c r="J24">
        <v>0.21199374015031147</v>
      </c>
      <c r="K24">
        <v>0.17985878990921364</v>
      </c>
      <c r="L24">
        <v>0.15282217692514913</v>
      </c>
      <c r="M24">
        <v>0.13003959011721541</v>
      </c>
      <c r="N24">
        <v>0.1108123122961093</v>
      </c>
      <c r="O24">
        <v>9.4561134916788581E-2</v>
      </c>
      <c r="P24">
        <v>8.0805118898881603E-2</v>
      </c>
      <c r="Q24">
        <v>6.9144269689982801E-2</v>
      </c>
      <c r="R24">
        <v>5.9245379888420824E-2</v>
      </c>
      <c r="S24">
        <v>5.0830439931843489E-2</v>
      </c>
      <c r="T24">
        <v>4.3667134611095518E-2</v>
      </c>
      <c r="U24">
        <v>3.7561036758607926E-2</v>
      </c>
    </row>
    <row r="25" spans="5:21" x14ac:dyDescent="0.25">
      <c r="E25">
        <v>19</v>
      </c>
      <c r="F25">
        <v>0.39573395701665059</v>
      </c>
      <c r="G25">
        <v>0.3305130104992493</v>
      </c>
      <c r="H25">
        <v>0.27650833301083949</v>
      </c>
      <c r="I25">
        <v>0.23171206399638106</v>
      </c>
      <c r="J25">
        <v>0.19448966986267105</v>
      </c>
      <c r="K25">
        <v>0.16350799082655781</v>
      </c>
      <c r="L25">
        <v>0.13767763686950371</v>
      </c>
      <c r="M25">
        <v>0.1161067768903709</v>
      </c>
      <c r="N25">
        <v>9.8063993182397627E-2</v>
      </c>
      <c r="O25">
        <v>8.2948363962095248E-2</v>
      </c>
      <c r="P25">
        <v>7.0265320781636179E-2</v>
      </c>
      <c r="Q25">
        <v>5.9607129043088625E-2</v>
      </c>
      <c r="R25">
        <v>5.0637076827710105E-2</v>
      </c>
      <c r="S25">
        <v>4.3076644010036858E-2</v>
      </c>
      <c r="T25">
        <v>3.6695071101760936E-2</v>
      </c>
      <c r="U25">
        <v>3.1300863965506603E-2</v>
      </c>
    </row>
    <row r="26" spans="5:21" x14ac:dyDescent="0.25">
      <c r="E26">
        <v>20</v>
      </c>
      <c r="F26">
        <v>0.37688948287300061</v>
      </c>
      <c r="G26">
        <v>0.31180472688608429</v>
      </c>
      <c r="H26">
        <v>0.2584190028138687</v>
      </c>
      <c r="I26">
        <v>0.21454820740405653</v>
      </c>
      <c r="J26">
        <v>0.17843088978226704</v>
      </c>
      <c r="K26">
        <v>0.14864362802414349</v>
      </c>
      <c r="L26">
        <v>0.12403390708964297</v>
      </c>
      <c r="M26">
        <v>0.1036667650806883</v>
      </c>
      <c r="N26">
        <v>8.678229485167932E-2</v>
      </c>
      <c r="O26">
        <v>7.2761722773767745E-2</v>
      </c>
      <c r="P26">
        <v>6.1100278940553199E-2</v>
      </c>
      <c r="Q26">
        <v>5.138545607162813E-2</v>
      </c>
      <c r="R26">
        <v>4.3279552844196684E-2</v>
      </c>
      <c r="S26">
        <v>3.6505630516980393E-2</v>
      </c>
      <c r="T26">
        <v>3.0836194203160455E-2</v>
      </c>
      <c r="U26">
        <v>2.6084053304588836E-2</v>
      </c>
    </row>
    <row r="27" spans="5:21" x14ac:dyDescent="0.25">
      <c r="E27">
        <v>21</v>
      </c>
      <c r="F27">
        <v>0.35894236464095297</v>
      </c>
      <c r="G27">
        <v>0.29415540272272095</v>
      </c>
      <c r="H27">
        <v>0.24151308674193336</v>
      </c>
      <c r="I27">
        <v>0.19865574759634863</v>
      </c>
      <c r="J27">
        <v>0.16369806402042844</v>
      </c>
      <c r="K27">
        <v>0.13513057093103953</v>
      </c>
      <c r="L27">
        <v>0.11174225863931797</v>
      </c>
      <c r="M27">
        <v>9.2559611679185971E-2</v>
      </c>
      <c r="N27">
        <v>7.6798491019185247E-2</v>
      </c>
      <c r="O27">
        <v>6.3826072608568193E-2</v>
      </c>
      <c r="P27">
        <v>5.3130677339611479E-2</v>
      </c>
      <c r="Q27">
        <v>4.4297806958300108E-2</v>
      </c>
      <c r="R27">
        <v>3.6991070807005713E-2</v>
      </c>
      <c r="S27">
        <v>3.0936975014390168E-2</v>
      </c>
      <c r="T27">
        <v>2.5912768237949961E-2</v>
      </c>
      <c r="U27">
        <v>2.1736711087157363E-2</v>
      </c>
    </row>
    <row r="28" spans="5:21" x14ac:dyDescent="0.25">
      <c r="E28">
        <v>22</v>
      </c>
      <c r="F28">
        <v>0.3418498710866219</v>
      </c>
      <c r="G28">
        <v>0.27750509690822728</v>
      </c>
      <c r="H28">
        <v>0.22571316517937698</v>
      </c>
      <c r="I28">
        <v>0.18394050703365611</v>
      </c>
      <c r="J28">
        <v>0.15018171011048481</v>
      </c>
      <c r="K28">
        <v>0.12284597357367227</v>
      </c>
      <c r="L28">
        <v>0.10066870147686303</v>
      </c>
      <c r="M28">
        <v>8.2642510427844609E-2</v>
      </c>
      <c r="N28">
        <v>6.796326638865953E-2</v>
      </c>
      <c r="O28">
        <v>5.5987782989972097E-2</v>
      </c>
      <c r="P28">
        <v>4.6200588990966504E-2</v>
      </c>
      <c r="Q28">
        <v>3.8187764619224233E-2</v>
      </c>
      <c r="R28">
        <v>3.1616299835047622E-2</v>
      </c>
      <c r="S28">
        <v>2.6217775435923869E-2</v>
      </c>
      <c r="T28">
        <v>2.1775435494075599E-2</v>
      </c>
      <c r="U28">
        <v>1.8113925905964473E-2</v>
      </c>
    </row>
    <row r="29" spans="5:21" x14ac:dyDescent="0.25">
      <c r="E29">
        <v>23</v>
      </c>
      <c r="F29">
        <v>0.32557130579678267</v>
      </c>
      <c r="G29">
        <v>0.26179726123417668</v>
      </c>
      <c r="H29">
        <v>0.21094688334521211</v>
      </c>
      <c r="I29">
        <v>0.17031528429042234</v>
      </c>
      <c r="J29">
        <v>0.13778138542246313</v>
      </c>
      <c r="K29">
        <v>0.11167815779424752</v>
      </c>
      <c r="L29">
        <v>9.0692523853029769E-2</v>
      </c>
      <c r="M29">
        <v>7.3787955739146982E-2</v>
      </c>
      <c r="N29">
        <v>6.0144483529787192E-2</v>
      </c>
      <c r="O29">
        <v>4.9112090342080778E-2</v>
      </c>
      <c r="P29">
        <v>4.0174425209536097E-2</v>
      </c>
      <c r="Q29">
        <v>3.2920486740710547E-2</v>
      </c>
      <c r="R29">
        <v>2.7022478491493696E-2</v>
      </c>
      <c r="S29">
        <v>2.2218453759257517E-2</v>
      </c>
      <c r="T29">
        <v>1.8298685289139159E-2</v>
      </c>
      <c r="U29">
        <v>1.5094938254970394E-2</v>
      </c>
    </row>
    <row r="30" spans="5:21" x14ac:dyDescent="0.25">
      <c r="E30">
        <v>24</v>
      </c>
      <c r="F30">
        <v>0.31006791028265024</v>
      </c>
      <c r="G30">
        <v>0.24697854833412897</v>
      </c>
      <c r="H30">
        <v>0.19714661994879637</v>
      </c>
      <c r="I30">
        <v>0.1576993373059466</v>
      </c>
      <c r="J30">
        <v>0.12640494075455333</v>
      </c>
      <c r="K30">
        <v>0.10152559799477048</v>
      </c>
      <c r="L30">
        <v>8.1704976444170935E-2</v>
      </c>
      <c r="M30">
        <v>6.5882103338524081E-2</v>
      </c>
      <c r="N30">
        <v>5.3225206663528493E-2</v>
      </c>
      <c r="O30">
        <v>4.3080781001825233E-2</v>
      </c>
      <c r="P30">
        <v>3.493428279090096E-2</v>
      </c>
      <c r="Q30">
        <v>2.8379729948888405E-2</v>
      </c>
      <c r="R30">
        <v>2.3096135462815127E-2</v>
      </c>
      <c r="S30">
        <v>1.8829198101065692E-2</v>
      </c>
      <c r="T30">
        <v>1.5377046461461475E-2</v>
      </c>
      <c r="U30">
        <v>1.2579115212475329E-2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FF07B-6F48-45E7-9AD7-116DB07943B6}">
  <dimension ref="D4:U30"/>
  <sheetViews>
    <sheetView zoomScale="110" zoomScaleNormal="110" workbookViewId="0">
      <selection activeCell="E6" sqref="E6"/>
    </sheetView>
  </sheetViews>
  <sheetFormatPr defaultRowHeight="15" x14ac:dyDescent="0.25"/>
  <sheetData>
    <row r="4" spans="4:21" x14ac:dyDescent="0.25">
      <c r="D4">
        <v>0.1</v>
      </c>
    </row>
    <row r="5" spans="4:21" x14ac:dyDescent="0.25">
      <c r="D5">
        <v>1</v>
      </c>
    </row>
    <row r="6" spans="4:21" x14ac:dyDescent="0.25">
      <c r="E6" s="35">
        <f>PV($D$4,$D$5,-1,0,0)</f>
        <v>0.90909090909090984</v>
      </c>
      <c r="F6" s="10">
        <v>0.05</v>
      </c>
      <c r="G6" s="10">
        <v>0.06</v>
      </c>
      <c r="H6" s="10">
        <v>7.0000000000000007E-2</v>
      </c>
      <c r="I6" s="10">
        <v>0.08</v>
      </c>
      <c r="J6" s="10">
        <v>0.09</v>
      </c>
      <c r="K6" s="12">
        <v>0.1</v>
      </c>
      <c r="L6" s="10">
        <v>0.11</v>
      </c>
      <c r="M6" s="10">
        <v>0.12</v>
      </c>
      <c r="N6" s="10">
        <v>0.13</v>
      </c>
      <c r="O6" s="10">
        <v>0.14000000000000001</v>
      </c>
      <c r="P6" s="10">
        <v>0.15</v>
      </c>
      <c r="Q6" s="10">
        <v>0.16</v>
      </c>
      <c r="R6" s="10">
        <v>0.17</v>
      </c>
      <c r="S6" s="10">
        <v>0.18</v>
      </c>
      <c r="T6" s="10">
        <v>0.19</v>
      </c>
      <c r="U6" s="10">
        <v>0.2</v>
      </c>
    </row>
    <row r="7" spans="4:21" x14ac:dyDescent="0.25">
      <c r="E7">
        <v>1</v>
      </c>
      <c r="F7">
        <f t="dataTable" ref="F7:U30" dt2D="1" dtr="1" r1="D4" r2="D5"/>
        <v>0.95238095238095322</v>
      </c>
      <c r="G7">
        <v>0.94339622641509513</v>
      </c>
      <c r="H7">
        <v>0.93457943925233722</v>
      </c>
      <c r="I7">
        <v>0.92592592592592671</v>
      </c>
      <c r="J7">
        <v>0.91743119266055118</v>
      </c>
      <c r="K7">
        <v>0.90909090909090984</v>
      </c>
      <c r="L7">
        <v>0.90090090090090158</v>
      </c>
      <c r="M7">
        <v>0.89285714285714357</v>
      </c>
      <c r="N7">
        <v>0.88495575221238865</v>
      </c>
      <c r="O7">
        <v>0.87719298245614108</v>
      </c>
      <c r="P7">
        <v>0.86956521739130388</v>
      </c>
      <c r="Q7">
        <v>0.86206896551724099</v>
      </c>
      <c r="R7">
        <v>0.85470085470085433</v>
      </c>
      <c r="S7">
        <v>0.84745762711864381</v>
      </c>
      <c r="T7">
        <v>0.8403361344537813</v>
      </c>
      <c r="U7">
        <v>0.83333333333333315</v>
      </c>
    </row>
    <row r="8" spans="4:21" x14ac:dyDescent="0.25">
      <c r="E8">
        <v>2</v>
      </c>
      <c r="F8">
        <v>1.8594104308390029</v>
      </c>
      <c r="G8">
        <v>1.8333926664293365</v>
      </c>
      <c r="H8">
        <v>1.8080181675255482</v>
      </c>
      <c r="I8">
        <v>1.7832647462277103</v>
      </c>
      <c r="J8">
        <v>1.7591111859271116</v>
      </c>
      <c r="K8">
        <v>1.735537190082646</v>
      </c>
      <c r="L8">
        <v>1.7125233341449568</v>
      </c>
      <c r="M8">
        <v>1.6900510204081642</v>
      </c>
      <c r="N8">
        <v>1.6681024355861838</v>
      </c>
      <c r="O8">
        <v>1.6466605109264401</v>
      </c>
      <c r="P8">
        <v>1.6257088846880898</v>
      </c>
      <c r="Q8">
        <v>1.6052318668252077</v>
      </c>
      <c r="R8">
        <v>1.5852144057272255</v>
      </c>
      <c r="S8">
        <v>1.5656420568802065</v>
      </c>
      <c r="T8">
        <v>1.5465009533225051</v>
      </c>
      <c r="U8">
        <v>1.5277777777777777</v>
      </c>
    </row>
    <row r="9" spans="4:21" x14ac:dyDescent="0.25">
      <c r="E9">
        <v>3</v>
      </c>
      <c r="F9">
        <v>2.7232480293704802</v>
      </c>
      <c r="G9">
        <v>2.6730119494616398</v>
      </c>
      <c r="H9">
        <v>2.6243160444164007</v>
      </c>
      <c r="I9">
        <v>2.5770969872478804</v>
      </c>
      <c r="J9">
        <v>2.5312946659881761</v>
      </c>
      <c r="K9" s="13">
        <v>2.4868519909842246</v>
      </c>
      <c r="L9">
        <v>2.4437147154459073</v>
      </c>
      <c r="M9">
        <v>2.4018312682215761</v>
      </c>
      <c r="N9">
        <v>2.3611525978638785</v>
      </c>
      <c r="O9">
        <v>2.3216320271284565</v>
      </c>
      <c r="P9">
        <v>2.2832251171200775</v>
      </c>
      <c r="Q9">
        <v>2.2458895403665582</v>
      </c>
      <c r="R9">
        <v>2.2095849621600214</v>
      </c>
      <c r="S9">
        <v>2.1742729295594971</v>
      </c>
      <c r="T9">
        <v>2.1399167674979034</v>
      </c>
      <c r="U9">
        <v>2.1064814814814814</v>
      </c>
    </row>
    <row r="10" spans="4:21" x14ac:dyDescent="0.25">
      <c r="E10">
        <v>4</v>
      </c>
      <c r="F10">
        <v>3.5459505041623607</v>
      </c>
      <c r="G10">
        <v>3.4651056126996607</v>
      </c>
      <c r="H10">
        <v>3.387211256463925</v>
      </c>
      <c r="I10">
        <v>3.3121268400443342</v>
      </c>
      <c r="J10">
        <v>3.2397198770533731</v>
      </c>
      <c r="K10">
        <v>3.1698654463492946</v>
      </c>
      <c r="L10">
        <v>3.1024456895909083</v>
      </c>
      <c r="M10">
        <v>3.037349346626407</v>
      </c>
      <c r="N10">
        <v>2.9744713255432553</v>
      </c>
      <c r="O10">
        <v>2.9137123044986466</v>
      </c>
      <c r="P10">
        <v>2.8549783627131111</v>
      </c>
      <c r="Q10">
        <v>2.7981806382470329</v>
      </c>
      <c r="R10">
        <v>2.7432350103931804</v>
      </c>
      <c r="S10">
        <v>2.690061804711438</v>
      </c>
      <c r="T10">
        <v>2.6385855189058014</v>
      </c>
      <c r="U10">
        <v>2.5887345679012346</v>
      </c>
    </row>
    <row r="11" spans="4:21" x14ac:dyDescent="0.25">
      <c r="E11">
        <v>5</v>
      </c>
      <c r="F11">
        <v>4.3294766706308208</v>
      </c>
      <c r="G11">
        <v>4.212363785565719</v>
      </c>
      <c r="H11">
        <v>4.100197435947595</v>
      </c>
      <c r="I11">
        <v>3.9927100370780875</v>
      </c>
      <c r="J11">
        <v>3.8896512633517193</v>
      </c>
      <c r="K11">
        <v>3.7907867694084505</v>
      </c>
      <c r="L11">
        <v>3.6958970176494668</v>
      </c>
      <c r="M11">
        <v>3.6047762023450067</v>
      </c>
      <c r="N11">
        <v>3.5172312615427028</v>
      </c>
      <c r="O11">
        <v>3.4330809688584623</v>
      </c>
      <c r="P11">
        <v>3.352155098011401</v>
      </c>
      <c r="Q11">
        <v>3.274293653661235</v>
      </c>
      <c r="R11">
        <v>3.1993461627292139</v>
      </c>
      <c r="S11">
        <v>3.1271710209418959</v>
      </c>
      <c r="T11">
        <v>3.0576348898368075</v>
      </c>
      <c r="U11">
        <v>2.9906121399176953</v>
      </c>
    </row>
    <row r="12" spans="4:21" x14ac:dyDescent="0.25">
      <c r="E12">
        <v>6</v>
      </c>
      <c r="F12">
        <v>5.0756920672674468</v>
      </c>
      <c r="G12">
        <v>4.9173243260053949</v>
      </c>
      <c r="H12">
        <v>4.7665396597641063</v>
      </c>
      <c r="I12">
        <v>4.6228796639611929</v>
      </c>
      <c r="J12">
        <v>4.4859185902309351</v>
      </c>
      <c r="K12">
        <v>4.355260699462228</v>
      </c>
      <c r="L12">
        <v>4.2305378537382587</v>
      </c>
      <c r="M12">
        <v>4.1114073235223279</v>
      </c>
      <c r="N12">
        <v>3.9975497889758422</v>
      </c>
      <c r="O12">
        <v>3.8886675165425109</v>
      </c>
      <c r="P12">
        <v>3.784482693922957</v>
      </c>
      <c r="Q12">
        <v>3.6847359083286508</v>
      </c>
      <c r="R12">
        <v>3.5891847544694135</v>
      </c>
      <c r="S12">
        <v>3.4976025601202512</v>
      </c>
      <c r="T12">
        <v>3.4097772183502584</v>
      </c>
      <c r="U12">
        <v>3.3255101165980792</v>
      </c>
    </row>
    <row r="13" spans="4:21" x14ac:dyDescent="0.25">
      <c r="E13">
        <v>7</v>
      </c>
      <c r="F13">
        <v>5.7863733973975711</v>
      </c>
      <c r="G13">
        <v>5.5823814396277331</v>
      </c>
      <c r="H13">
        <v>5.3892894016486981</v>
      </c>
      <c r="I13">
        <v>5.2063700592233273</v>
      </c>
      <c r="J13">
        <v>5.0329528350742532</v>
      </c>
      <c r="K13">
        <v>4.8684188176929348</v>
      </c>
      <c r="L13">
        <v>4.7121962646290614</v>
      </c>
      <c r="M13">
        <v>4.5637565388592209</v>
      </c>
      <c r="N13">
        <v>4.4226104327219842</v>
      </c>
      <c r="O13">
        <v>4.2883048390723779</v>
      </c>
      <c r="P13">
        <v>4.1604197338460489</v>
      </c>
      <c r="Q13">
        <v>4.0385654382143539</v>
      </c>
      <c r="R13">
        <v>3.9223801320251392</v>
      </c>
      <c r="S13">
        <v>3.8115275933222468</v>
      </c>
      <c r="T13">
        <v>3.7056951414708053</v>
      </c>
      <c r="U13">
        <v>3.6045917638317326</v>
      </c>
    </row>
    <row r="14" spans="4:21" x14ac:dyDescent="0.25">
      <c r="E14">
        <v>8</v>
      </c>
      <c r="F14">
        <v>6.4632127594262556</v>
      </c>
      <c r="G14">
        <v>6.2097938109695594</v>
      </c>
      <c r="H14">
        <v>5.9712985062137358</v>
      </c>
      <c r="I14">
        <v>5.7466389437253032</v>
      </c>
      <c r="J14">
        <v>5.5348191147470214</v>
      </c>
      <c r="K14">
        <v>5.3349261979026679</v>
      </c>
      <c r="L14">
        <v>5.1461227609270832</v>
      </c>
      <c r="M14">
        <v>4.967639766838591</v>
      </c>
      <c r="N14">
        <v>4.7987702944442336</v>
      </c>
      <c r="O14">
        <v>4.6388638939231388</v>
      </c>
      <c r="P14">
        <v>4.4873215076922159</v>
      </c>
      <c r="Q14">
        <v>4.3435908950123743</v>
      </c>
      <c r="R14">
        <v>4.2071625060043925</v>
      </c>
      <c r="S14">
        <v>4.077565757052751</v>
      </c>
      <c r="T14">
        <v>3.9543656651015175</v>
      </c>
      <c r="U14">
        <v>3.83715980319311</v>
      </c>
    </row>
    <row r="15" spans="4:21" x14ac:dyDescent="0.25">
      <c r="E15">
        <v>9</v>
      </c>
      <c r="F15">
        <v>7.107821675644054</v>
      </c>
      <c r="G15">
        <v>6.8016922744995831</v>
      </c>
      <c r="H15">
        <v>6.5152322487978855</v>
      </c>
      <c r="I15">
        <v>6.2468879108567625</v>
      </c>
      <c r="J15">
        <v>5.9952468942633228</v>
      </c>
      <c r="K15">
        <v>5.7590238162751533</v>
      </c>
      <c r="L15">
        <v>5.537047532366743</v>
      </c>
      <c r="M15">
        <v>5.3282497918201708</v>
      </c>
      <c r="N15">
        <v>5.1316551278267557</v>
      </c>
      <c r="O15">
        <v>4.9463718367746834</v>
      </c>
      <c r="P15">
        <v>4.771583919732362</v>
      </c>
      <c r="Q15">
        <v>4.6065438750106678</v>
      </c>
      <c r="R15">
        <v>4.4505662444481979</v>
      </c>
      <c r="S15">
        <v>4.3030218280108059</v>
      </c>
      <c r="T15">
        <v>4.1633324916819472</v>
      </c>
      <c r="U15">
        <v>4.0309665026609256</v>
      </c>
    </row>
    <row r="16" spans="4:21" x14ac:dyDescent="0.25">
      <c r="E16">
        <v>10</v>
      </c>
      <c r="F16">
        <v>7.7217349291848132</v>
      </c>
      <c r="G16">
        <v>7.3600870514147019</v>
      </c>
      <c r="H16">
        <v>7.0235815409326028</v>
      </c>
      <c r="I16">
        <v>6.7100813989414467</v>
      </c>
      <c r="J16">
        <v>6.4176577011590128</v>
      </c>
      <c r="K16">
        <v>6.1445671057046853</v>
      </c>
      <c r="L16">
        <v>5.8892320111412095</v>
      </c>
      <c r="M16">
        <v>5.650223028410867</v>
      </c>
      <c r="N16">
        <v>5.4262434759528801</v>
      </c>
      <c r="O16">
        <v>5.2161156462935825</v>
      </c>
      <c r="P16">
        <v>5.0187686258542286</v>
      </c>
      <c r="Q16">
        <v>4.8332274784574718</v>
      </c>
      <c r="R16">
        <v>4.6586036277335028</v>
      </c>
      <c r="S16">
        <v>4.4940862949244123</v>
      </c>
      <c r="T16">
        <v>4.3389348669596197</v>
      </c>
      <c r="U16">
        <v>4.1924720855507713</v>
      </c>
    </row>
    <row r="17" spans="5:21" x14ac:dyDescent="0.25">
      <c r="E17">
        <v>11</v>
      </c>
      <c r="F17">
        <v>8.3064142182712519</v>
      </c>
      <c r="G17">
        <v>7.8868745768063242</v>
      </c>
      <c r="H17">
        <v>7.4986743373201898</v>
      </c>
      <c r="I17">
        <v>7.1389642582791168</v>
      </c>
      <c r="J17">
        <v>6.8051905515220295</v>
      </c>
      <c r="K17">
        <v>6.495061005186078</v>
      </c>
      <c r="L17">
        <v>6.2065153253524414</v>
      </c>
      <c r="M17">
        <v>5.937699132509703</v>
      </c>
      <c r="N17">
        <v>5.6869411291618404</v>
      </c>
      <c r="O17">
        <v>5.4527330230645461</v>
      </c>
      <c r="P17">
        <v>5.2337118485688938</v>
      </c>
      <c r="Q17">
        <v>5.0286443779805783</v>
      </c>
      <c r="R17">
        <v>4.8364133570371823</v>
      </c>
      <c r="S17">
        <v>4.656005334681705</v>
      </c>
      <c r="T17">
        <v>4.4864998882013607</v>
      </c>
      <c r="U17">
        <v>4.3270600712923084</v>
      </c>
    </row>
    <row r="18" spans="5:21" x14ac:dyDescent="0.25">
      <c r="E18">
        <v>12</v>
      </c>
      <c r="F18">
        <v>8.8632516364488101</v>
      </c>
      <c r="G18">
        <v>8.3838439403833256</v>
      </c>
      <c r="H18">
        <v>7.9426862965609235</v>
      </c>
      <c r="I18">
        <v>7.5360780169251091</v>
      </c>
      <c r="J18">
        <v>7.1607252766257155</v>
      </c>
      <c r="K18">
        <v>6.813691822896434</v>
      </c>
      <c r="L18">
        <v>6.4923561489661639</v>
      </c>
      <c r="M18">
        <v>6.1943742254550918</v>
      </c>
      <c r="N18">
        <v>5.9176470169573809</v>
      </c>
      <c r="O18">
        <v>5.6602921254952161</v>
      </c>
      <c r="P18">
        <v>5.4206189987555593</v>
      </c>
      <c r="Q18">
        <v>5.1971072223970509</v>
      </c>
      <c r="R18">
        <v>4.9883874846471645</v>
      </c>
      <c r="S18">
        <v>4.79322485989975</v>
      </c>
      <c r="T18">
        <v>4.6105041077322362</v>
      </c>
      <c r="U18">
        <v>4.439216726076924</v>
      </c>
    </row>
    <row r="19" spans="5:21" x14ac:dyDescent="0.25">
      <c r="E19">
        <v>13</v>
      </c>
      <c r="F19">
        <v>9.3935729870941067</v>
      </c>
      <c r="G19">
        <v>8.8526829626257797</v>
      </c>
      <c r="H19">
        <v>8.3576507444494617</v>
      </c>
      <c r="I19">
        <v>7.9037759415973232</v>
      </c>
      <c r="J19">
        <v>7.4869039235098311</v>
      </c>
      <c r="K19">
        <v>7.1033562026331216</v>
      </c>
      <c r="L19">
        <v>6.7498704044740219</v>
      </c>
      <c r="M19">
        <v>6.4235484155849036</v>
      </c>
      <c r="N19">
        <v>6.1218115194313105</v>
      </c>
      <c r="O19">
        <v>5.8423615135922944</v>
      </c>
      <c r="P19">
        <v>5.5831469554396174</v>
      </c>
      <c r="Q19">
        <v>5.3423338124112512</v>
      </c>
      <c r="R19">
        <v>5.1182799014078322</v>
      </c>
      <c r="S19">
        <v>4.909512593135382</v>
      </c>
      <c r="T19">
        <v>4.71470933422877</v>
      </c>
      <c r="U19">
        <v>4.5326806050641038</v>
      </c>
    </row>
    <row r="20" spans="5:21" x14ac:dyDescent="0.25">
      <c r="E20">
        <v>14</v>
      </c>
      <c r="F20">
        <v>9.8986409400896225</v>
      </c>
      <c r="G20">
        <v>9.2949839270054522</v>
      </c>
      <c r="H20">
        <v>8.7454679854667869</v>
      </c>
      <c r="I20">
        <v>8.2442369829604853</v>
      </c>
      <c r="J20">
        <v>7.7861503885411292</v>
      </c>
      <c r="K20">
        <v>7.3666874569392027</v>
      </c>
      <c r="L20">
        <v>6.9818652292558756</v>
      </c>
      <c r="M20">
        <v>6.6281682282008072</v>
      </c>
      <c r="N20">
        <v>6.3024880702931947</v>
      </c>
      <c r="O20">
        <v>6.0020715031511358</v>
      </c>
      <c r="P20">
        <v>5.7244756134257537</v>
      </c>
      <c r="Q20">
        <v>5.4675291486303879</v>
      </c>
      <c r="R20">
        <v>5.2292990610323358</v>
      </c>
      <c r="S20">
        <v>5.0080615196062555</v>
      </c>
      <c r="T20">
        <v>4.802276751452748</v>
      </c>
      <c r="U20">
        <v>4.6105671708867533</v>
      </c>
    </row>
    <row r="21" spans="5:21" x14ac:dyDescent="0.25">
      <c r="E21">
        <v>15</v>
      </c>
      <c r="F21">
        <v>10.379658038180596</v>
      </c>
      <c r="G21">
        <v>9.7122489877409954</v>
      </c>
      <c r="H21">
        <v>9.1079140051091478</v>
      </c>
      <c r="I21">
        <v>8.5594786879263758</v>
      </c>
      <c r="J21">
        <v>8.0606884298542472</v>
      </c>
      <c r="K21">
        <v>7.6060795063083662</v>
      </c>
      <c r="L21">
        <v>7.190869575906194</v>
      </c>
      <c r="M21">
        <v>6.8108644894650059</v>
      </c>
      <c r="N21">
        <v>6.4623788232683141</v>
      </c>
      <c r="O21">
        <v>6.1421679852202953</v>
      </c>
      <c r="P21">
        <v>5.8473700986310906</v>
      </c>
      <c r="Q21">
        <v>5.5754561626124035</v>
      </c>
      <c r="R21">
        <v>5.3241872316515684</v>
      </c>
      <c r="S21">
        <v>5.0915775589883525</v>
      </c>
      <c r="T21">
        <v>4.8758628163468467</v>
      </c>
      <c r="U21">
        <v>4.6754726424056274</v>
      </c>
    </row>
    <row r="22" spans="5:21" x14ac:dyDescent="0.25">
      <c r="E22">
        <v>16</v>
      </c>
      <c r="F22">
        <v>10.837769560171996</v>
      </c>
      <c r="G22">
        <v>10.105895271453766</v>
      </c>
      <c r="H22">
        <v>9.4466486029057446</v>
      </c>
      <c r="I22">
        <v>8.8513691554873848</v>
      </c>
      <c r="J22">
        <v>8.3125581925268328</v>
      </c>
      <c r="K22">
        <v>7.8237086420985147</v>
      </c>
      <c r="L22">
        <v>7.3791617800956706</v>
      </c>
      <c r="M22">
        <v>6.9739861513080417</v>
      </c>
      <c r="N22">
        <v>6.6038750648392162</v>
      </c>
      <c r="O22">
        <v>6.2650596361581528</v>
      </c>
      <c r="P22">
        <v>5.9542348683748605</v>
      </c>
      <c r="Q22">
        <v>5.6684966919072446</v>
      </c>
      <c r="R22">
        <v>5.405288232180828</v>
      </c>
      <c r="S22">
        <v>5.162353863549451</v>
      </c>
      <c r="T22">
        <v>4.9376998456696191</v>
      </c>
      <c r="U22">
        <v>4.729560535338023</v>
      </c>
    </row>
    <row r="23" spans="5:21" x14ac:dyDescent="0.25">
      <c r="E23">
        <v>17</v>
      </c>
      <c r="F23">
        <v>11.274066247782853</v>
      </c>
      <c r="G23">
        <v>10.477259690050724</v>
      </c>
      <c r="H23">
        <v>9.7632229933698547</v>
      </c>
      <c r="I23">
        <v>9.1216381069327639</v>
      </c>
      <c r="J23">
        <v>8.5436313692906722</v>
      </c>
      <c r="K23">
        <v>8.0215533109986499</v>
      </c>
      <c r="L23">
        <v>7.5487943964825854</v>
      </c>
      <c r="M23">
        <v>7.119630492239323</v>
      </c>
      <c r="N23">
        <v>6.7290929777338198</v>
      </c>
      <c r="O23">
        <v>6.3728593299632923</v>
      </c>
      <c r="P23">
        <v>6.0471607551085755</v>
      </c>
      <c r="Q23">
        <v>5.7487040447476243</v>
      </c>
      <c r="R23">
        <v>5.4746053266502797</v>
      </c>
      <c r="S23">
        <v>5.2223337826690264</v>
      </c>
      <c r="T23">
        <v>4.9896637358568228</v>
      </c>
      <c r="U23">
        <v>4.7746337794483518</v>
      </c>
    </row>
    <row r="24" spans="5:21" x14ac:dyDescent="0.25">
      <c r="E24">
        <v>18</v>
      </c>
      <c r="F24">
        <v>11.689586902650337</v>
      </c>
      <c r="G24">
        <v>10.82760348117993</v>
      </c>
      <c r="H24">
        <v>10.059086909691453</v>
      </c>
      <c r="I24">
        <v>9.3718871360488549</v>
      </c>
      <c r="J24">
        <v>8.7556251094409845</v>
      </c>
      <c r="K24">
        <v>8.2014121009078629</v>
      </c>
      <c r="L24">
        <v>7.7016165734077351</v>
      </c>
      <c r="M24">
        <v>7.2496700823565385</v>
      </c>
      <c r="N24">
        <v>6.8399052900299289</v>
      </c>
      <c r="O24">
        <v>6.4674204648800817</v>
      </c>
      <c r="P24">
        <v>6.1279658740074563</v>
      </c>
      <c r="Q24">
        <v>5.8178483144376072</v>
      </c>
      <c r="R24">
        <v>5.5338507065387006</v>
      </c>
      <c r="S24">
        <v>5.2731642226008697</v>
      </c>
      <c r="T24">
        <v>5.0333308704679185</v>
      </c>
      <c r="U24">
        <v>4.8121948162069597</v>
      </c>
    </row>
    <row r="25" spans="5:21" x14ac:dyDescent="0.25">
      <c r="E25">
        <v>19</v>
      </c>
      <c r="F25">
        <v>12.085320859666988</v>
      </c>
      <c r="G25">
        <v>11.158116491679177</v>
      </c>
      <c r="H25">
        <v>10.335595242702292</v>
      </c>
      <c r="I25">
        <v>9.6035992000452381</v>
      </c>
      <c r="J25">
        <v>8.9501147793036555</v>
      </c>
      <c r="K25">
        <v>8.3649200917344206</v>
      </c>
      <c r="L25">
        <v>7.8392942102772389</v>
      </c>
      <c r="M25">
        <v>7.3657768592469095</v>
      </c>
      <c r="N25">
        <v>6.9379692832123263</v>
      </c>
      <c r="O25">
        <v>6.5503688288421769</v>
      </c>
      <c r="P25">
        <v>6.1982311947890922</v>
      </c>
      <c r="Q25">
        <v>5.877455443480696</v>
      </c>
      <c r="R25">
        <v>5.5844877833664111</v>
      </c>
      <c r="S25">
        <v>5.3162408666109071</v>
      </c>
      <c r="T25">
        <v>5.0700259415696793</v>
      </c>
      <c r="U25">
        <v>4.8434956801724667</v>
      </c>
    </row>
    <row r="26" spans="5:21" x14ac:dyDescent="0.25">
      <c r="E26">
        <v>20</v>
      </c>
      <c r="F26">
        <v>12.462210342539986</v>
      </c>
      <c r="G26">
        <v>11.469921218565263</v>
      </c>
      <c r="H26">
        <v>10.594014245516162</v>
      </c>
      <c r="I26">
        <v>9.8181474074492936</v>
      </c>
      <c r="J26">
        <v>9.1285456690859217</v>
      </c>
      <c r="K26">
        <v>8.5135637197585652</v>
      </c>
      <c r="L26">
        <v>7.9633281173668822</v>
      </c>
      <c r="M26">
        <v>7.4694436243275968</v>
      </c>
      <c r="N26">
        <v>7.0247515780640049</v>
      </c>
      <c r="O26">
        <v>6.6231305516159438</v>
      </c>
      <c r="P26">
        <v>6.2593314737296453</v>
      </c>
      <c r="Q26">
        <v>5.9288408995523234</v>
      </c>
      <c r="R26">
        <v>5.6277673362106073</v>
      </c>
      <c r="S26">
        <v>5.3527464971278862</v>
      </c>
      <c r="T26">
        <v>5.1008621357728394</v>
      </c>
      <c r="U26">
        <v>4.869579733477055</v>
      </c>
    </row>
    <row r="27" spans="5:21" x14ac:dyDescent="0.25">
      <c r="E27">
        <v>21</v>
      </c>
      <c r="F27">
        <v>12.821152707180941</v>
      </c>
      <c r="G27">
        <v>11.764076621287986</v>
      </c>
      <c r="H27">
        <v>10.835527332258094</v>
      </c>
      <c r="I27">
        <v>10.016803155045642</v>
      </c>
      <c r="J27">
        <v>9.2922437331063499</v>
      </c>
      <c r="K27">
        <v>8.6486942906896047</v>
      </c>
      <c r="L27">
        <v>8.0750703760062006</v>
      </c>
      <c r="M27">
        <v>7.5620032360067837</v>
      </c>
      <c r="N27">
        <v>7.1015500690831894</v>
      </c>
      <c r="O27">
        <v>6.6869566242245124</v>
      </c>
      <c r="P27">
        <v>6.3124621510692567</v>
      </c>
      <c r="Q27">
        <v>5.9731387065106247</v>
      </c>
      <c r="R27">
        <v>5.6647584070176134</v>
      </c>
      <c r="S27">
        <v>5.3836834721422768</v>
      </c>
      <c r="T27">
        <v>5.1267749040107891</v>
      </c>
      <c r="U27">
        <v>4.8913164445642128</v>
      </c>
    </row>
    <row r="28" spans="5:21" x14ac:dyDescent="0.25">
      <c r="E28">
        <v>22</v>
      </c>
      <c r="F28">
        <v>13.163002578267562</v>
      </c>
      <c r="G28">
        <v>12.041581718196213</v>
      </c>
      <c r="H28">
        <v>11.061240497437471</v>
      </c>
      <c r="I28">
        <v>10.200743662079299</v>
      </c>
      <c r="J28">
        <v>9.4424254432168357</v>
      </c>
      <c r="K28">
        <v>8.771540264263276</v>
      </c>
      <c r="L28">
        <v>8.1757390774830636</v>
      </c>
      <c r="M28">
        <v>7.6446457464346294</v>
      </c>
      <c r="N28">
        <v>7.1695133354718497</v>
      </c>
      <c r="O28">
        <v>6.742944407214484</v>
      </c>
      <c r="P28">
        <v>6.3586627400602236</v>
      </c>
      <c r="Q28">
        <v>6.0113264711298484</v>
      </c>
      <c r="R28">
        <v>5.6963747068526605</v>
      </c>
      <c r="S28">
        <v>5.4099012475782011</v>
      </c>
      <c r="T28">
        <v>5.1485503395048653</v>
      </c>
      <c r="U28">
        <v>4.9094303704701767</v>
      </c>
    </row>
    <row r="29" spans="5:21" x14ac:dyDescent="0.25">
      <c r="E29">
        <v>23</v>
      </c>
      <c r="F29">
        <v>13.488573884064344</v>
      </c>
      <c r="G29">
        <v>12.30337897943039</v>
      </c>
      <c r="H29">
        <v>11.272187380782682</v>
      </c>
      <c r="I29">
        <v>10.37105894636972</v>
      </c>
      <c r="J29">
        <v>9.5802068286392998</v>
      </c>
      <c r="K29">
        <v>8.8832184220575243</v>
      </c>
      <c r="L29">
        <v>8.2664316013360928</v>
      </c>
      <c r="M29">
        <v>7.7184337021737752</v>
      </c>
      <c r="N29">
        <v>7.2296578190016367</v>
      </c>
      <c r="O29">
        <v>6.7920564975565663</v>
      </c>
      <c r="P29">
        <v>6.39883716526976</v>
      </c>
      <c r="Q29">
        <v>6.0442469578705591</v>
      </c>
      <c r="R29">
        <v>5.7233971853441545</v>
      </c>
      <c r="S29">
        <v>5.4321197013374585</v>
      </c>
      <c r="T29">
        <v>5.1668490247940051</v>
      </c>
      <c r="U29">
        <v>4.9245253087251477</v>
      </c>
    </row>
    <row r="30" spans="5:21" x14ac:dyDescent="0.25">
      <c r="E30">
        <v>24</v>
      </c>
      <c r="F30">
        <v>13.798641794346993</v>
      </c>
      <c r="G30">
        <v>12.550357527764518</v>
      </c>
      <c r="H30">
        <v>11.469334000731479</v>
      </c>
      <c r="I30">
        <v>10.528758283675666</v>
      </c>
      <c r="J30">
        <v>9.7066117693938523</v>
      </c>
      <c r="K30">
        <v>8.984744020052295</v>
      </c>
      <c r="L30">
        <v>8.3481365777802647</v>
      </c>
      <c r="M30">
        <v>7.7843158055122998</v>
      </c>
      <c r="N30">
        <v>7.282883025665166</v>
      </c>
      <c r="O30">
        <v>6.8351372785583902</v>
      </c>
      <c r="P30">
        <v>6.4337714480606607</v>
      </c>
      <c r="Q30">
        <v>6.0726266878194473</v>
      </c>
      <c r="R30">
        <v>5.7464933208069695</v>
      </c>
      <c r="S30">
        <v>5.450948899438524</v>
      </c>
      <c r="T30">
        <v>5.1822260712554655</v>
      </c>
      <c r="U30">
        <v>4.9371044239376225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05535-80B6-41B5-8454-69A99E2ECB31}">
  <dimension ref="D2:U30"/>
  <sheetViews>
    <sheetView zoomScale="154" zoomScaleNormal="154" workbookViewId="0">
      <selection activeCell="E6" sqref="E6"/>
    </sheetView>
  </sheetViews>
  <sheetFormatPr defaultRowHeight="15" x14ac:dyDescent="0.25"/>
  <sheetData>
    <row r="2" spans="4:21" x14ac:dyDescent="0.25">
      <c r="J2" cm="1">
        <f t="array" ref="J2">_xlfn.XLOOKUP($E10,$E$6:$E$30,$K$6:$K$30,null,0)</f>
        <v>1.4641000000000004</v>
      </c>
    </row>
    <row r="4" spans="4:21" x14ac:dyDescent="0.25">
      <c r="D4" s="10">
        <v>0.1</v>
      </c>
    </row>
    <row r="5" spans="4:21" x14ac:dyDescent="0.25">
      <c r="D5">
        <v>1</v>
      </c>
    </row>
    <row r="6" spans="4:21" x14ac:dyDescent="0.25">
      <c r="E6" s="36">
        <f>FV($D$4,$D$5,0,-1,0)</f>
        <v>1.1000000000000001</v>
      </c>
      <c r="F6" s="10">
        <v>0.05</v>
      </c>
      <c r="G6" s="10">
        <v>0.06</v>
      </c>
      <c r="H6" s="10">
        <v>7.0000000000000007E-2</v>
      </c>
      <c r="I6" s="10">
        <v>0.08</v>
      </c>
      <c r="J6" s="10">
        <v>0.09</v>
      </c>
      <c r="K6" s="12">
        <v>0.1</v>
      </c>
      <c r="L6" s="10">
        <v>0.11</v>
      </c>
      <c r="M6" s="10">
        <v>0.12</v>
      </c>
      <c r="N6" s="10">
        <v>0.13</v>
      </c>
      <c r="O6" s="10">
        <v>0.14000000000000001</v>
      </c>
      <c r="P6" s="10">
        <v>0.15</v>
      </c>
      <c r="Q6" s="10">
        <v>0.16</v>
      </c>
      <c r="R6" s="10">
        <v>0.17</v>
      </c>
      <c r="S6" s="10">
        <v>0.18</v>
      </c>
      <c r="T6" s="10">
        <v>0.19</v>
      </c>
      <c r="U6" s="10">
        <v>0.2</v>
      </c>
    </row>
    <row r="7" spans="4:21" x14ac:dyDescent="0.25">
      <c r="E7">
        <v>1</v>
      </c>
      <c r="F7">
        <f t="dataTable" ref="F7:U30" dt2D="1" dtr="1" r1="D4" r2="D5"/>
        <v>1.05</v>
      </c>
      <c r="G7">
        <v>1.06</v>
      </c>
      <c r="H7">
        <v>1.07</v>
      </c>
      <c r="I7">
        <v>1.08</v>
      </c>
      <c r="J7">
        <v>1.0900000000000001</v>
      </c>
      <c r="K7" s="14">
        <v>1.1000000000000001</v>
      </c>
      <c r="L7">
        <v>1.1100000000000001</v>
      </c>
      <c r="M7">
        <v>1.1200000000000001</v>
      </c>
      <c r="N7">
        <v>1.1299999999999999</v>
      </c>
      <c r="O7">
        <v>1.1400000000000001</v>
      </c>
      <c r="P7">
        <v>1.1499999999999999</v>
      </c>
      <c r="Q7">
        <v>1.1599999999999999</v>
      </c>
      <c r="R7">
        <v>1.17</v>
      </c>
      <c r="S7">
        <v>1.18</v>
      </c>
      <c r="T7">
        <v>1.19</v>
      </c>
      <c r="U7">
        <v>1.2</v>
      </c>
    </row>
    <row r="8" spans="4:21" x14ac:dyDescent="0.25">
      <c r="E8">
        <v>2</v>
      </c>
      <c r="F8">
        <v>1.1025</v>
      </c>
      <c r="G8">
        <v>1.1236000000000002</v>
      </c>
      <c r="H8">
        <v>1.1449</v>
      </c>
      <c r="I8">
        <v>1.1664000000000001</v>
      </c>
      <c r="J8">
        <v>1.1881000000000002</v>
      </c>
      <c r="K8" s="14">
        <v>1.2100000000000002</v>
      </c>
      <c r="L8">
        <v>1.2321000000000002</v>
      </c>
      <c r="M8">
        <v>1.2544000000000002</v>
      </c>
      <c r="N8">
        <v>1.2768999999999997</v>
      </c>
      <c r="O8">
        <v>1.2996000000000003</v>
      </c>
      <c r="P8">
        <v>1.3224999999999998</v>
      </c>
      <c r="Q8">
        <v>1.3455999999999999</v>
      </c>
      <c r="R8">
        <v>1.3688999999999998</v>
      </c>
      <c r="S8">
        <v>1.3923999999999999</v>
      </c>
      <c r="T8">
        <v>1.4160999999999999</v>
      </c>
      <c r="U8">
        <v>1.44</v>
      </c>
    </row>
    <row r="9" spans="4:21" x14ac:dyDescent="0.25">
      <c r="E9">
        <v>3</v>
      </c>
      <c r="F9">
        <v>1.1576250000000001</v>
      </c>
      <c r="G9">
        <v>1.1910160000000003</v>
      </c>
      <c r="H9">
        <v>1.2250430000000001</v>
      </c>
      <c r="I9">
        <v>1.2597120000000002</v>
      </c>
      <c r="J9">
        <v>1.2950290000000002</v>
      </c>
      <c r="K9" s="14">
        <v>1.3310000000000004</v>
      </c>
      <c r="L9">
        <v>1.3676310000000003</v>
      </c>
      <c r="M9">
        <v>1.4049280000000004</v>
      </c>
      <c r="N9">
        <v>1.4428969999999994</v>
      </c>
      <c r="O9">
        <v>1.4815440000000004</v>
      </c>
      <c r="P9">
        <v>1.5208749999999995</v>
      </c>
      <c r="Q9">
        <v>1.5608959999999998</v>
      </c>
      <c r="R9">
        <v>1.6016129999999997</v>
      </c>
      <c r="S9">
        <v>1.6430319999999998</v>
      </c>
      <c r="T9">
        <v>1.6851589999999999</v>
      </c>
      <c r="U9">
        <v>1.728</v>
      </c>
    </row>
    <row r="10" spans="4:21" x14ac:dyDescent="0.25">
      <c r="E10">
        <v>4</v>
      </c>
      <c r="F10">
        <v>1.21550625</v>
      </c>
      <c r="G10">
        <v>1.2624769600000003</v>
      </c>
      <c r="H10">
        <v>1.31079601</v>
      </c>
      <c r="I10">
        <v>1.3604889600000003</v>
      </c>
      <c r="J10">
        <v>1.4115816100000003</v>
      </c>
      <c r="K10" s="14">
        <v>1.4641000000000004</v>
      </c>
      <c r="L10">
        <v>1.5180704100000004</v>
      </c>
      <c r="M10">
        <v>1.5735193600000004</v>
      </c>
      <c r="N10">
        <v>1.6304736099999992</v>
      </c>
      <c r="O10">
        <v>1.6889601600000008</v>
      </c>
      <c r="P10">
        <v>1.7490062499999994</v>
      </c>
      <c r="Q10">
        <v>1.8106393599999997</v>
      </c>
      <c r="R10">
        <v>1.8738872099999995</v>
      </c>
      <c r="S10">
        <v>1.9387777599999996</v>
      </c>
      <c r="T10">
        <v>2.0053392099999998</v>
      </c>
      <c r="U10">
        <v>2.0735999999999999</v>
      </c>
    </row>
    <row r="11" spans="4:21" x14ac:dyDescent="0.25">
      <c r="E11">
        <v>5</v>
      </c>
      <c r="F11">
        <v>1.2762815625000001</v>
      </c>
      <c r="G11">
        <v>1.3382255776000005</v>
      </c>
      <c r="H11">
        <v>1.4025517307000002</v>
      </c>
      <c r="I11">
        <v>1.4693280768000003</v>
      </c>
      <c r="J11">
        <v>1.5386239549000005</v>
      </c>
      <c r="K11" s="14">
        <v>1.6105100000000006</v>
      </c>
      <c r="L11">
        <v>1.6850581551000006</v>
      </c>
      <c r="M11">
        <v>1.7623416832000005</v>
      </c>
      <c r="N11">
        <v>1.8424351792999989</v>
      </c>
      <c r="O11">
        <v>1.9254145824000011</v>
      </c>
      <c r="P11">
        <v>2.0113571874999994</v>
      </c>
      <c r="Q11">
        <v>2.1003416575999996</v>
      </c>
      <c r="R11">
        <v>2.1924480356999991</v>
      </c>
      <c r="S11">
        <v>2.2877577567999992</v>
      </c>
      <c r="T11">
        <v>2.3863536598999997</v>
      </c>
      <c r="U11">
        <v>2.4883199999999999</v>
      </c>
    </row>
    <row r="12" spans="4:21" x14ac:dyDescent="0.25">
      <c r="E12">
        <v>6</v>
      </c>
      <c r="F12">
        <v>1.340095640625</v>
      </c>
      <c r="G12">
        <v>1.4185191122560006</v>
      </c>
      <c r="H12">
        <v>1.5007303518490001</v>
      </c>
      <c r="I12">
        <v>1.5868743229440005</v>
      </c>
      <c r="J12">
        <v>1.6771001108410006</v>
      </c>
      <c r="K12" s="14">
        <v>1.7715610000000008</v>
      </c>
      <c r="L12">
        <v>1.8704145521610007</v>
      </c>
      <c r="M12">
        <v>1.9738226851840008</v>
      </c>
      <c r="N12">
        <v>2.0819517526089983</v>
      </c>
      <c r="O12">
        <v>2.1949726239360015</v>
      </c>
      <c r="P12">
        <v>2.3130607656249991</v>
      </c>
      <c r="Q12">
        <v>2.4363963228159995</v>
      </c>
      <c r="R12">
        <v>2.5651642017689991</v>
      </c>
      <c r="S12">
        <v>2.6995541530239993</v>
      </c>
      <c r="T12">
        <v>2.8397608552809994</v>
      </c>
      <c r="U12">
        <v>2.9859839999999997</v>
      </c>
    </row>
    <row r="13" spans="4:21" x14ac:dyDescent="0.25">
      <c r="E13">
        <v>7</v>
      </c>
      <c r="F13">
        <v>1.4071004226562502</v>
      </c>
      <c r="G13">
        <v>1.5036302589913608</v>
      </c>
      <c r="H13">
        <v>1.6057814764784302</v>
      </c>
      <c r="I13">
        <v>1.7138242687795207</v>
      </c>
      <c r="J13">
        <v>1.8280391208166906</v>
      </c>
      <c r="K13" s="14">
        <v>1.9487171000000012</v>
      </c>
      <c r="L13">
        <v>2.0761601528987108</v>
      </c>
      <c r="M13">
        <v>2.210681407406081</v>
      </c>
      <c r="N13">
        <v>2.352605480448168</v>
      </c>
      <c r="O13">
        <v>2.502268791287042</v>
      </c>
      <c r="P13">
        <v>2.6600198804687483</v>
      </c>
      <c r="Q13">
        <v>2.8262197344665592</v>
      </c>
      <c r="R13">
        <v>3.0012421160697285</v>
      </c>
      <c r="S13">
        <v>3.185473900568319</v>
      </c>
      <c r="T13">
        <v>3.3793154177843894</v>
      </c>
      <c r="U13">
        <v>3.5831807999999996</v>
      </c>
    </row>
    <row r="14" spans="4:21" x14ac:dyDescent="0.25">
      <c r="E14">
        <v>8</v>
      </c>
      <c r="F14">
        <v>1.4774554437890626</v>
      </c>
      <c r="G14">
        <v>1.5938480745308423</v>
      </c>
      <c r="H14">
        <v>1.7181861798319202</v>
      </c>
      <c r="I14">
        <v>1.8509302102818823</v>
      </c>
      <c r="J14">
        <v>1.9925626416901929</v>
      </c>
      <c r="K14" s="14">
        <v>2.1435888100000011</v>
      </c>
      <c r="L14">
        <v>2.3045377697175695</v>
      </c>
      <c r="M14">
        <v>2.4759631762948109</v>
      </c>
      <c r="N14">
        <v>2.6584441929064297</v>
      </c>
      <c r="O14">
        <v>2.8525864220672283</v>
      </c>
      <c r="P14">
        <v>3.0590228625390603</v>
      </c>
      <c r="Q14">
        <v>3.2784148919812086</v>
      </c>
      <c r="R14">
        <v>3.511453275801582</v>
      </c>
      <c r="S14">
        <v>3.758859202670616</v>
      </c>
      <c r="T14">
        <v>4.0213853471634238</v>
      </c>
      <c r="U14">
        <v>4.2998169599999994</v>
      </c>
    </row>
    <row r="15" spans="4:21" x14ac:dyDescent="0.25">
      <c r="E15">
        <v>9</v>
      </c>
      <c r="F15">
        <v>1.5513282159785158</v>
      </c>
      <c r="G15">
        <v>1.6894789590026928</v>
      </c>
      <c r="H15">
        <v>1.8384592124201549</v>
      </c>
      <c r="I15">
        <v>1.9990046271044331</v>
      </c>
      <c r="J15">
        <v>2.1718932794423105</v>
      </c>
      <c r="K15">
        <v>2.3579476910000015</v>
      </c>
      <c r="L15">
        <v>2.5580369243865024</v>
      </c>
      <c r="M15">
        <v>2.7730787574501883</v>
      </c>
      <c r="N15">
        <v>3.0040419379842653</v>
      </c>
      <c r="O15">
        <v>3.2519485211566406</v>
      </c>
      <c r="P15">
        <v>3.5178762919199191</v>
      </c>
      <c r="Q15">
        <v>3.8029612746982018</v>
      </c>
      <c r="R15">
        <v>4.1084003326878502</v>
      </c>
      <c r="S15">
        <v>4.4354538591513268</v>
      </c>
      <c r="T15">
        <v>4.7854485631244739</v>
      </c>
      <c r="U15">
        <v>5.1597803519999994</v>
      </c>
    </row>
    <row r="16" spans="4:21" x14ac:dyDescent="0.25">
      <c r="E16">
        <v>10</v>
      </c>
      <c r="F16">
        <v>1.6288946267774416</v>
      </c>
      <c r="G16">
        <v>1.7908476965428546</v>
      </c>
      <c r="H16">
        <v>1.9671513572895656</v>
      </c>
      <c r="I16">
        <v>2.1589249972727877</v>
      </c>
      <c r="J16">
        <v>2.3673636745921187</v>
      </c>
      <c r="K16">
        <v>2.5937424601000019</v>
      </c>
      <c r="L16">
        <v>2.839420986069018</v>
      </c>
      <c r="M16">
        <v>3.1058482083442112</v>
      </c>
      <c r="N16">
        <v>3.3945673899222193</v>
      </c>
      <c r="O16">
        <v>3.7072213141185708</v>
      </c>
      <c r="P16">
        <v>4.0455577357079067</v>
      </c>
      <c r="Q16">
        <v>4.4114350786499141</v>
      </c>
      <c r="R16">
        <v>4.8068283892447852</v>
      </c>
      <c r="S16">
        <v>5.2338355537985652</v>
      </c>
      <c r="T16">
        <v>5.6946837901181242</v>
      </c>
      <c r="U16">
        <v>6.1917364223999991</v>
      </c>
    </row>
    <row r="17" spans="5:21" x14ac:dyDescent="0.25">
      <c r="E17">
        <v>11</v>
      </c>
      <c r="F17">
        <v>1.7103393581163138</v>
      </c>
      <c r="G17">
        <v>1.8982985583354262</v>
      </c>
      <c r="H17">
        <v>2.1048519522998355</v>
      </c>
      <c r="I17">
        <v>2.3316389970546108</v>
      </c>
      <c r="J17">
        <v>2.5804264053054093</v>
      </c>
      <c r="K17">
        <v>2.8531167061100025</v>
      </c>
      <c r="L17">
        <v>3.1517572945366101</v>
      </c>
      <c r="M17">
        <v>3.4785499933455171</v>
      </c>
      <c r="N17">
        <v>3.8358611506121072</v>
      </c>
      <c r="O17">
        <v>4.2262322980951712</v>
      </c>
      <c r="P17">
        <v>4.6523913960640924</v>
      </c>
      <c r="Q17">
        <v>5.1172646912338999</v>
      </c>
      <c r="R17">
        <v>5.6239892154163984</v>
      </c>
      <c r="S17">
        <v>6.1759259534823068</v>
      </c>
      <c r="T17">
        <v>6.7766737102405674</v>
      </c>
      <c r="U17">
        <v>7.4300837068799988</v>
      </c>
    </row>
    <row r="18" spans="5:21" x14ac:dyDescent="0.25">
      <c r="E18">
        <v>12</v>
      </c>
      <c r="F18">
        <v>1.7958563260221292</v>
      </c>
      <c r="G18">
        <v>2.0121964718355518</v>
      </c>
      <c r="H18">
        <v>2.2521915889608235</v>
      </c>
      <c r="I18">
        <v>2.5181701168189798</v>
      </c>
      <c r="J18">
        <v>2.812664781782896</v>
      </c>
      <c r="K18">
        <v>3.1384283767210026</v>
      </c>
      <c r="L18">
        <v>3.4984505969356374</v>
      </c>
      <c r="M18">
        <v>3.8959759925469788</v>
      </c>
      <c r="N18">
        <v>4.3345231001916806</v>
      </c>
      <c r="O18">
        <v>4.8179048198284962</v>
      </c>
      <c r="P18">
        <v>5.3502501054737053</v>
      </c>
      <c r="Q18">
        <v>5.9360270418313235</v>
      </c>
      <c r="R18">
        <v>6.5800673820371847</v>
      </c>
      <c r="S18">
        <v>7.287592625109121</v>
      </c>
      <c r="T18">
        <v>8.0642417151862755</v>
      </c>
      <c r="U18">
        <v>8.9161004482559978</v>
      </c>
    </row>
    <row r="19" spans="5:21" x14ac:dyDescent="0.25">
      <c r="E19">
        <v>13</v>
      </c>
      <c r="F19">
        <v>1.885649142323236</v>
      </c>
      <c r="G19">
        <v>2.1329282601456852</v>
      </c>
      <c r="H19">
        <v>2.4098450001880813</v>
      </c>
      <c r="I19">
        <v>2.7196237261644982</v>
      </c>
      <c r="J19">
        <v>3.0658046121433573</v>
      </c>
      <c r="K19">
        <v>3.4522712143931029</v>
      </c>
      <c r="L19">
        <v>3.8832801625985578</v>
      </c>
      <c r="M19">
        <v>4.363493111652617</v>
      </c>
      <c r="N19">
        <v>4.8980111032165992</v>
      </c>
      <c r="O19">
        <v>5.492411494604486</v>
      </c>
      <c r="P19">
        <v>6.1527876212947614</v>
      </c>
      <c r="Q19">
        <v>6.8857913685243348</v>
      </c>
      <c r="R19">
        <v>7.6986788369835057</v>
      </c>
      <c r="S19">
        <v>8.5993592976287623</v>
      </c>
      <c r="T19">
        <v>9.5964476410716664</v>
      </c>
      <c r="U19">
        <v>10.699320537907198</v>
      </c>
    </row>
    <row r="20" spans="5:21" x14ac:dyDescent="0.25">
      <c r="E20">
        <v>14</v>
      </c>
      <c r="F20">
        <v>1.9799315994393973</v>
      </c>
      <c r="G20">
        <v>2.2609039557544262</v>
      </c>
      <c r="H20">
        <v>2.5785341502012469</v>
      </c>
      <c r="I20">
        <v>2.9371936242576586</v>
      </c>
      <c r="J20">
        <v>3.3417270272362596</v>
      </c>
      <c r="K20">
        <v>3.7974983358324139</v>
      </c>
      <c r="L20">
        <v>4.3104409804843993</v>
      </c>
      <c r="M20">
        <v>4.8871122850509314</v>
      </c>
      <c r="N20">
        <v>5.5347525466347554</v>
      </c>
      <c r="O20">
        <v>6.2613491038491143</v>
      </c>
      <c r="P20">
        <v>7.0757057644889754</v>
      </c>
      <c r="Q20">
        <v>7.9875179874882285</v>
      </c>
      <c r="R20">
        <v>9.007454239270702</v>
      </c>
      <c r="S20">
        <v>10.14724397120194</v>
      </c>
      <c r="T20">
        <v>11.419772692875283</v>
      </c>
      <c r="U20">
        <v>12.839184645488636</v>
      </c>
    </row>
    <row r="21" spans="5:21" x14ac:dyDescent="0.25">
      <c r="E21">
        <v>15</v>
      </c>
      <c r="F21">
        <v>2.0789281794113679</v>
      </c>
      <c r="G21">
        <v>2.3965581930996924</v>
      </c>
      <c r="H21">
        <v>2.7590315407153345</v>
      </c>
      <c r="I21">
        <v>3.1721691141982715</v>
      </c>
      <c r="J21">
        <v>3.6424824596875229</v>
      </c>
      <c r="K21">
        <v>4.1772481694156554</v>
      </c>
      <c r="L21">
        <v>4.7845894883376827</v>
      </c>
      <c r="M21">
        <v>5.4735657592570428</v>
      </c>
      <c r="N21">
        <v>6.2542703776972735</v>
      </c>
      <c r="O21">
        <v>7.137937978387991</v>
      </c>
      <c r="P21">
        <v>8.1370616291623197</v>
      </c>
      <c r="Q21">
        <v>9.2655208654863443</v>
      </c>
      <c r="R21">
        <v>10.53872145994672</v>
      </c>
      <c r="S21">
        <v>11.973747886018289</v>
      </c>
      <c r="T21">
        <v>13.589529504521588</v>
      </c>
      <c r="U21">
        <v>15.407021574586365</v>
      </c>
    </row>
    <row r="22" spans="5:21" x14ac:dyDescent="0.25">
      <c r="E22">
        <v>16</v>
      </c>
      <c r="F22">
        <v>2.182874588381936</v>
      </c>
      <c r="G22">
        <v>2.5403516846856733</v>
      </c>
      <c r="H22">
        <v>2.9521637485654075</v>
      </c>
      <c r="I22">
        <v>3.4259426433341331</v>
      </c>
      <c r="J22">
        <v>3.9703058810594003</v>
      </c>
      <c r="K22">
        <v>4.5949729863572211</v>
      </c>
      <c r="L22">
        <v>5.3108943320548292</v>
      </c>
      <c r="M22">
        <v>6.1303936503678891</v>
      </c>
      <c r="N22">
        <v>7.0673255267979185</v>
      </c>
      <c r="O22">
        <v>8.1372492953623112</v>
      </c>
      <c r="P22">
        <v>9.3576208735366659</v>
      </c>
      <c r="Q22">
        <v>10.748004203964159</v>
      </c>
      <c r="R22">
        <v>12.330304108137661</v>
      </c>
      <c r="S22">
        <v>14.129022505501579</v>
      </c>
      <c r="T22">
        <v>16.17154011038069</v>
      </c>
      <c r="U22">
        <v>18.488425889503635</v>
      </c>
    </row>
    <row r="23" spans="5:21" x14ac:dyDescent="0.25">
      <c r="E23">
        <v>17</v>
      </c>
      <c r="F23">
        <v>2.2920183178010332</v>
      </c>
      <c r="G23">
        <v>2.692772785766814</v>
      </c>
      <c r="H23">
        <v>3.1588152109649861</v>
      </c>
      <c r="I23">
        <v>3.7000180548008639</v>
      </c>
      <c r="J23">
        <v>4.3276334103547462</v>
      </c>
      <c r="K23">
        <v>5.0544702849929433</v>
      </c>
      <c r="L23">
        <v>5.8950927085808607</v>
      </c>
      <c r="M23">
        <v>6.8660408884120363</v>
      </c>
      <c r="N23">
        <v>7.9860778452816472</v>
      </c>
      <c r="O23">
        <v>9.2764641967130359</v>
      </c>
      <c r="P23">
        <v>10.761264004567165</v>
      </c>
      <c r="Q23">
        <v>12.467684876598424</v>
      </c>
      <c r="R23">
        <v>14.426455806521062</v>
      </c>
      <c r="S23">
        <v>16.672246556491864</v>
      </c>
      <c r="T23">
        <v>19.244132731353019</v>
      </c>
      <c r="U23">
        <v>22.186111067404362</v>
      </c>
    </row>
    <row r="24" spans="5:21" x14ac:dyDescent="0.25">
      <c r="E24">
        <v>18</v>
      </c>
      <c r="F24">
        <v>2.4066192336910848</v>
      </c>
      <c r="G24">
        <v>2.8543391529128228</v>
      </c>
      <c r="H24">
        <v>3.3799322757325352</v>
      </c>
      <c r="I24">
        <v>3.9960194991849334</v>
      </c>
      <c r="J24">
        <v>4.7171204172866741</v>
      </c>
      <c r="K24">
        <v>5.5599173134922379</v>
      </c>
      <c r="L24">
        <v>6.5435529065247557</v>
      </c>
      <c r="M24">
        <v>7.6899657950214815</v>
      </c>
      <c r="N24">
        <v>9.02426796516826</v>
      </c>
      <c r="O24">
        <v>10.575169184252863</v>
      </c>
      <c r="P24">
        <v>12.375453605252238</v>
      </c>
      <c r="Q24">
        <v>14.462514456854171</v>
      </c>
      <c r="R24">
        <v>16.878953293629642</v>
      </c>
      <c r="S24">
        <v>19.673250936660398</v>
      </c>
      <c r="T24">
        <v>22.900517950310093</v>
      </c>
      <c r="U24">
        <v>26.623333280885234</v>
      </c>
    </row>
    <row r="25" spans="5:21" x14ac:dyDescent="0.25">
      <c r="E25">
        <v>19</v>
      </c>
      <c r="F25">
        <v>2.526950195375639</v>
      </c>
      <c r="G25">
        <v>3.0255995020875925</v>
      </c>
      <c r="H25">
        <v>3.6165275350338129</v>
      </c>
      <c r="I25">
        <v>4.3157010591197285</v>
      </c>
      <c r="J25">
        <v>5.1416612548424752</v>
      </c>
      <c r="K25">
        <v>6.1159090448414632</v>
      </c>
      <c r="L25">
        <v>7.2633437262424794</v>
      </c>
      <c r="M25">
        <v>8.61276169042406</v>
      </c>
      <c r="N25">
        <v>10.197422800640132</v>
      </c>
      <c r="O25">
        <v>12.055692870048263</v>
      </c>
      <c r="P25">
        <v>14.231771646040073</v>
      </c>
      <c r="Q25">
        <v>16.776516769950838</v>
      </c>
      <c r="R25">
        <v>19.748375353546681</v>
      </c>
      <c r="S25">
        <v>23.214436105259267</v>
      </c>
      <c r="T25">
        <v>27.251616360869011</v>
      </c>
      <c r="U25">
        <v>31.947999937062281</v>
      </c>
    </row>
    <row r="26" spans="5:21" x14ac:dyDescent="0.25">
      <c r="E26">
        <v>20</v>
      </c>
      <c r="F26">
        <v>2.6532977051444209</v>
      </c>
      <c r="G26">
        <v>3.207135472212848</v>
      </c>
      <c r="H26">
        <v>3.8696844624861795</v>
      </c>
      <c r="I26">
        <v>4.6609571438493065</v>
      </c>
      <c r="J26">
        <v>5.6044107677782975</v>
      </c>
      <c r="K26">
        <v>6.7274999493256091</v>
      </c>
      <c r="L26">
        <v>8.0623115361291529</v>
      </c>
      <c r="M26">
        <v>9.6462930932749469</v>
      </c>
      <c r="N26">
        <v>11.523087764723348</v>
      </c>
      <c r="O26">
        <v>13.743489871855022</v>
      </c>
      <c r="P26">
        <v>16.366537392946082</v>
      </c>
      <c r="Q26">
        <v>19.46075945314297</v>
      </c>
      <c r="R26">
        <v>23.105599163649611</v>
      </c>
      <c r="S26">
        <v>27.393034604205933</v>
      </c>
      <c r="T26">
        <v>32.42942346943412</v>
      </c>
      <c r="U26">
        <v>38.337599924474738</v>
      </c>
    </row>
    <row r="27" spans="5:21" x14ac:dyDescent="0.25">
      <c r="E27">
        <v>21</v>
      </c>
      <c r="F27">
        <v>2.7859625904016418</v>
      </c>
      <c r="G27">
        <v>3.3995636005456196</v>
      </c>
      <c r="H27">
        <v>4.1405623748602123</v>
      </c>
      <c r="I27">
        <v>5.0338337153572512</v>
      </c>
      <c r="J27">
        <v>6.1088077368783456</v>
      </c>
      <c r="K27">
        <v>7.4002499442581708</v>
      </c>
      <c r="L27">
        <v>8.9491658051033607</v>
      </c>
      <c r="M27">
        <v>10.803848264467941</v>
      </c>
      <c r="N27">
        <v>13.021089174137382</v>
      </c>
      <c r="O27">
        <v>15.667578453914727</v>
      </c>
      <c r="P27">
        <v>18.821518001887995</v>
      </c>
      <c r="Q27">
        <v>22.574480965645847</v>
      </c>
      <c r="R27">
        <v>27.033551021470043</v>
      </c>
      <c r="S27">
        <v>32.323780832962996</v>
      </c>
      <c r="T27">
        <v>38.591013928626602</v>
      </c>
      <c r="U27">
        <v>46.005119909369682</v>
      </c>
    </row>
    <row r="28" spans="5:21" x14ac:dyDescent="0.25">
      <c r="E28">
        <v>22</v>
      </c>
      <c r="F28">
        <v>2.9252607199217238</v>
      </c>
      <c r="G28">
        <v>3.6035374165783569</v>
      </c>
      <c r="H28">
        <v>4.4304017411004271</v>
      </c>
      <c r="I28">
        <v>5.4365404125858321</v>
      </c>
      <c r="J28">
        <v>6.6586004331973969</v>
      </c>
      <c r="K28">
        <v>8.140274938683989</v>
      </c>
      <c r="L28">
        <v>9.9335740436647306</v>
      </c>
      <c r="M28">
        <v>12.100310056204096</v>
      </c>
      <c r="N28">
        <v>14.713830766775239</v>
      </c>
      <c r="O28">
        <v>17.861039437462789</v>
      </c>
      <c r="P28">
        <v>21.644745702171193</v>
      </c>
      <c r="Q28">
        <v>26.186397920149183</v>
      </c>
      <c r="R28">
        <v>31.62925469511995</v>
      </c>
      <c r="S28">
        <v>38.142061382896337</v>
      </c>
      <c r="T28">
        <v>45.923306575065652</v>
      </c>
      <c r="U28">
        <v>55.206143891243613</v>
      </c>
    </row>
    <row r="29" spans="5:21" x14ac:dyDescent="0.25">
      <c r="E29">
        <v>23</v>
      </c>
      <c r="F29">
        <v>3.0715237559178106</v>
      </c>
      <c r="G29">
        <v>3.8197496615730588</v>
      </c>
      <c r="H29">
        <v>4.740529862977457</v>
      </c>
      <c r="I29">
        <v>5.8714636455926987</v>
      </c>
      <c r="J29">
        <v>7.2578744721851622</v>
      </c>
      <c r="K29">
        <v>8.9543024325523888</v>
      </c>
      <c r="L29">
        <v>11.02626718846785</v>
      </c>
      <c r="M29">
        <v>13.552347262948587</v>
      </c>
      <c r="N29">
        <v>16.626628766456019</v>
      </c>
      <c r="O29">
        <v>20.361584958707585</v>
      </c>
      <c r="P29">
        <v>24.891457557496867</v>
      </c>
      <c r="Q29">
        <v>30.376221587373049</v>
      </c>
      <c r="R29">
        <v>37.006227993290338</v>
      </c>
      <c r="S29">
        <v>45.007632431817676</v>
      </c>
      <c r="T29">
        <v>54.64873482432813</v>
      </c>
      <c r="U29">
        <v>66.247372669492336</v>
      </c>
    </row>
    <row r="30" spans="5:21" x14ac:dyDescent="0.25">
      <c r="E30">
        <v>24</v>
      </c>
      <c r="F30">
        <v>3.2250999437137007</v>
      </c>
      <c r="G30">
        <v>4.0489346412674418</v>
      </c>
      <c r="H30">
        <v>5.0723669533858793</v>
      </c>
      <c r="I30">
        <v>6.3411807372401148</v>
      </c>
      <c r="J30">
        <v>7.9110831746818278</v>
      </c>
      <c r="K30">
        <v>9.8497326758076262</v>
      </c>
      <c r="L30">
        <v>12.239156579199317</v>
      </c>
      <c r="M30">
        <v>15.178628934502418</v>
      </c>
      <c r="N30">
        <v>18.788090506095301</v>
      </c>
      <c r="O30">
        <v>23.212206852926652</v>
      </c>
      <c r="P30">
        <v>28.625176191121394</v>
      </c>
      <c r="Q30">
        <v>35.236417041352738</v>
      </c>
      <c r="R30">
        <v>43.297286752149688</v>
      </c>
      <c r="S30">
        <v>53.109006269544857</v>
      </c>
      <c r="T30">
        <v>65.031994440950484</v>
      </c>
      <c r="U30">
        <v>79.4968472033908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6BF8D-0A65-4880-A74D-A7FFB0C2921D}">
  <dimension ref="D4:U30"/>
  <sheetViews>
    <sheetView zoomScale="110" zoomScaleNormal="110" workbookViewId="0">
      <selection activeCell="E6" sqref="E6"/>
    </sheetView>
  </sheetViews>
  <sheetFormatPr defaultRowHeight="15" x14ac:dyDescent="0.25"/>
  <sheetData>
    <row r="4" spans="4:21" x14ac:dyDescent="0.25">
      <c r="D4">
        <v>0.1</v>
      </c>
    </row>
    <row r="5" spans="4:21" x14ac:dyDescent="0.25">
      <c r="D5">
        <v>1</v>
      </c>
    </row>
    <row r="6" spans="4:21" x14ac:dyDescent="0.25">
      <c r="E6" s="11">
        <f>FV($D$4,$D$5,-1,0,0)</f>
        <v>1.0000000000000009</v>
      </c>
      <c r="F6" s="10">
        <v>0.05</v>
      </c>
      <c r="G6" s="10">
        <v>0.06</v>
      </c>
      <c r="H6" s="10">
        <v>7.0000000000000007E-2</v>
      </c>
      <c r="I6" s="10">
        <v>0.08</v>
      </c>
      <c r="J6" s="10">
        <v>0.09</v>
      </c>
      <c r="K6" s="12">
        <v>0.1</v>
      </c>
      <c r="L6" s="10">
        <v>0.11</v>
      </c>
      <c r="M6" s="10">
        <v>0.12</v>
      </c>
      <c r="N6" s="10">
        <v>0.13</v>
      </c>
      <c r="O6" s="10">
        <v>0.14000000000000001</v>
      </c>
      <c r="P6" s="10">
        <v>0.15</v>
      </c>
      <c r="Q6" s="10">
        <v>0.16</v>
      </c>
      <c r="R6" s="10">
        <v>0.17</v>
      </c>
      <c r="S6" s="10">
        <v>0.18</v>
      </c>
      <c r="T6" s="10">
        <v>0.19</v>
      </c>
      <c r="U6" s="10">
        <v>0.2</v>
      </c>
    </row>
    <row r="7" spans="4:21" x14ac:dyDescent="0.25">
      <c r="E7">
        <v>1</v>
      </c>
      <c r="F7" s="38">
        <f t="dataTable" ref="F7:U30" dt2D="1" dtr="1" r1="D4" r2="D5"/>
        <v>1.0000000000000009</v>
      </c>
      <c r="G7" s="38">
        <v>1.0000000000000009</v>
      </c>
      <c r="H7" s="38">
        <v>1.0000000000000009</v>
      </c>
      <c r="I7" s="38">
        <v>1.0000000000000009</v>
      </c>
      <c r="J7" s="38">
        <v>1.0000000000000009</v>
      </c>
      <c r="K7" s="38">
        <v>1.0000000000000009</v>
      </c>
      <c r="L7" s="38">
        <v>1.0000000000000009</v>
      </c>
      <c r="M7" s="38">
        <v>1.0000000000000009</v>
      </c>
      <c r="N7" s="38">
        <v>0.99999999999999911</v>
      </c>
      <c r="O7" s="38">
        <v>1.0000000000000009</v>
      </c>
      <c r="P7" s="38">
        <v>0.99999999999999944</v>
      </c>
      <c r="Q7" s="38">
        <v>0.99999999999999944</v>
      </c>
      <c r="R7" s="38">
        <v>0.99999999999999956</v>
      </c>
      <c r="S7" s="38">
        <v>0.99999999999999967</v>
      </c>
      <c r="T7" s="38">
        <v>0.99999999999999967</v>
      </c>
      <c r="U7" s="38">
        <v>0.99999999999999978</v>
      </c>
    </row>
    <row r="8" spans="4:21" x14ac:dyDescent="0.25">
      <c r="E8">
        <v>2</v>
      </c>
      <c r="F8" s="38">
        <v>2.0500000000000007</v>
      </c>
      <c r="G8" s="38">
        <v>2.0600000000000027</v>
      </c>
      <c r="H8" s="38">
        <v>2.0700000000000003</v>
      </c>
      <c r="I8" s="38">
        <v>2.0800000000000014</v>
      </c>
      <c r="J8" s="38">
        <v>2.0900000000000016</v>
      </c>
      <c r="K8" s="38">
        <v>2.1000000000000019</v>
      </c>
      <c r="L8" s="38">
        <v>2.1100000000000017</v>
      </c>
      <c r="M8" s="38">
        <v>2.1200000000000014</v>
      </c>
      <c r="N8" s="38">
        <v>2.1299999999999977</v>
      </c>
      <c r="O8" s="38">
        <v>2.1400000000000019</v>
      </c>
      <c r="P8" s="38">
        <v>2.1499999999999986</v>
      </c>
      <c r="Q8" s="38">
        <v>2.1599999999999993</v>
      </c>
      <c r="R8" s="38">
        <v>2.1699999999999986</v>
      </c>
      <c r="S8" s="38">
        <v>2.1799999999999993</v>
      </c>
      <c r="T8" s="38">
        <v>2.1899999999999995</v>
      </c>
      <c r="U8" s="38">
        <v>2.1999999999999997</v>
      </c>
    </row>
    <row r="9" spans="4:21" x14ac:dyDescent="0.25">
      <c r="E9">
        <v>3</v>
      </c>
      <c r="F9" s="38">
        <v>3.1525000000000025</v>
      </c>
      <c r="G9" s="38">
        <v>3.1836000000000051</v>
      </c>
      <c r="H9" s="38">
        <v>3.214900000000001</v>
      </c>
      <c r="I9" s="38">
        <v>3.2464000000000022</v>
      </c>
      <c r="J9" s="38">
        <v>3.2781000000000025</v>
      </c>
      <c r="K9" s="39">
        <v>3.3100000000000041</v>
      </c>
      <c r="L9" s="38">
        <v>3.3421000000000025</v>
      </c>
      <c r="M9" s="38">
        <v>3.3744000000000036</v>
      </c>
      <c r="N9" s="38">
        <v>3.4068999999999954</v>
      </c>
      <c r="O9" s="38">
        <v>3.4396000000000027</v>
      </c>
      <c r="P9" s="38">
        <v>3.472499999999997</v>
      </c>
      <c r="Q9" s="38">
        <v>3.5055999999999989</v>
      </c>
      <c r="R9" s="38">
        <v>3.5388999999999982</v>
      </c>
      <c r="S9" s="38">
        <v>3.5723999999999991</v>
      </c>
      <c r="T9" s="38">
        <v>3.6060999999999992</v>
      </c>
      <c r="U9" s="38">
        <v>3.6399999999999997</v>
      </c>
    </row>
    <row r="10" spans="4:21" x14ac:dyDescent="0.25">
      <c r="E10">
        <v>4</v>
      </c>
      <c r="F10" s="38">
        <v>4.3101250000000002</v>
      </c>
      <c r="G10" s="38">
        <v>4.3746160000000058</v>
      </c>
      <c r="H10" s="38">
        <v>4.4399429999999995</v>
      </c>
      <c r="I10" s="38">
        <v>4.5061120000000034</v>
      </c>
      <c r="J10" s="38">
        <v>4.5731290000000033</v>
      </c>
      <c r="K10" s="38">
        <v>4.6410000000000036</v>
      </c>
      <c r="L10" s="38">
        <v>4.7097310000000041</v>
      </c>
      <c r="M10" s="38">
        <v>4.7793280000000031</v>
      </c>
      <c r="N10" s="38">
        <v>4.8497969999999944</v>
      </c>
      <c r="O10" s="38">
        <v>4.9211440000000053</v>
      </c>
      <c r="P10" s="38">
        <v>4.9933749999999968</v>
      </c>
      <c r="Q10" s="38">
        <v>5.0664959999999981</v>
      </c>
      <c r="R10" s="38">
        <v>5.1405129999999968</v>
      </c>
      <c r="S10" s="38">
        <v>5.2154319999999981</v>
      </c>
      <c r="T10" s="38">
        <v>5.2912589999999993</v>
      </c>
      <c r="U10" s="38">
        <v>5.3679999999999994</v>
      </c>
    </row>
    <row r="11" spans="4:21" x14ac:dyDescent="0.25">
      <c r="E11">
        <v>5</v>
      </c>
      <c r="F11" s="38">
        <v>5.5256312500000027</v>
      </c>
      <c r="G11" s="38">
        <v>5.6370929600000084</v>
      </c>
      <c r="H11" s="38">
        <v>5.750739010000002</v>
      </c>
      <c r="I11" s="38">
        <v>5.866600960000004</v>
      </c>
      <c r="J11" s="38">
        <v>5.9847106100000058</v>
      </c>
      <c r="K11" s="38">
        <v>6.1051000000000055</v>
      </c>
      <c r="L11" s="38">
        <v>6.227801410000005</v>
      </c>
      <c r="M11" s="38">
        <v>6.3528473600000046</v>
      </c>
      <c r="N11" s="38">
        <v>6.4802706099999909</v>
      </c>
      <c r="O11" s="38">
        <v>6.6101041600000068</v>
      </c>
      <c r="P11" s="38">
        <v>6.7423812499999958</v>
      </c>
      <c r="Q11" s="38">
        <v>6.8771353599999969</v>
      </c>
      <c r="R11" s="38">
        <v>7.0144002099999945</v>
      </c>
      <c r="S11" s="38">
        <v>7.1542097599999952</v>
      </c>
      <c r="T11" s="38">
        <v>7.2965982099999982</v>
      </c>
      <c r="U11" s="38">
        <v>7.4415999999999993</v>
      </c>
    </row>
    <row r="12" spans="4:21" x14ac:dyDescent="0.25">
      <c r="E12">
        <v>6</v>
      </c>
      <c r="F12" s="38">
        <v>6.8019128124999995</v>
      </c>
      <c r="G12" s="38">
        <v>6.9753185376000095</v>
      </c>
      <c r="H12" s="38">
        <v>7.1532907407000001</v>
      </c>
      <c r="I12" s="38">
        <v>7.3359290368000067</v>
      </c>
      <c r="J12" s="38">
        <v>7.523334564900007</v>
      </c>
      <c r="K12" s="38">
        <v>7.7156100000000079</v>
      </c>
      <c r="L12" s="38">
        <v>7.9128595651000069</v>
      </c>
      <c r="M12" s="38">
        <v>8.115189043200008</v>
      </c>
      <c r="N12" s="38">
        <v>8.3227057892999863</v>
      </c>
      <c r="O12" s="38">
        <v>8.5355187424000096</v>
      </c>
      <c r="P12" s="38">
        <v>8.7537384374999938</v>
      </c>
      <c r="Q12" s="38">
        <v>8.9774770175999965</v>
      </c>
      <c r="R12" s="38">
        <v>9.2068482456999945</v>
      </c>
      <c r="S12" s="38">
        <v>9.4419675167999966</v>
      </c>
      <c r="T12" s="38">
        <v>9.6829518698999966</v>
      </c>
      <c r="U12" s="38">
        <v>9.9299199999999974</v>
      </c>
    </row>
    <row r="13" spans="4:21" x14ac:dyDescent="0.25">
      <c r="E13">
        <v>7</v>
      </c>
      <c r="F13" s="38">
        <v>8.1420084531250048</v>
      </c>
      <c r="G13" s="38">
        <v>8.3938376498560139</v>
      </c>
      <c r="H13" s="38">
        <v>8.6540210925490015</v>
      </c>
      <c r="I13" s="38">
        <v>8.9228033597440088</v>
      </c>
      <c r="J13" s="38">
        <v>9.2004346757410076</v>
      </c>
      <c r="K13" s="38">
        <v>9.4871710000000107</v>
      </c>
      <c r="L13" s="38">
        <v>9.7832741172610067</v>
      </c>
      <c r="M13" s="38">
        <v>10.089011728384008</v>
      </c>
      <c r="N13" s="38">
        <v>10.404657541908984</v>
      </c>
      <c r="O13" s="38">
        <v>10.730491366336013</v>
      </c>
      <c r="P13" s="38">
        <v>11.066799203124988</v>
      </c>
      <c r="Q13" s="38">
        <v>11.413873340415995</v>
      </c>
      <c r="R13" s="38">
        <v>11.77201244746899</v>
      </c>
      <c r="S13" s="38">
        <v>12.141521669823995</v>
      </c>
      <c r="T13" s="38">
        <v>12.522712725180996</v>
      </c>
      <c r="U13" s="38">
        <v>12.915903999999998</v>
      </c>
    </row>
    <row r="14" spans="4:21" x14ac:dyDescent="0.25">
      <c r="E14">
        <v>8</v>
      </c>
      <c r="F14" s="38">
        <v>9.5491088757812506</v>
      </c>
      <c r="G14" s="38">
        <v>9.8974679088473732</v>
      </c>
      <c r="H14" s="38">
        <v>10.25980256902743</v>
      </c>
      <c r="I14" s="38">
        <v>10.636627628523529</v>
      </c>
      <c r="J14" s="38">
        <v>11.0284737965577</v>
      </c>
      <c r="K14" s="38">
        <v>11.43588810000001</v>
      </c>
      <c r="L14" s="38">
        <v>11.859434270159722</v>
      </c>
      <c r="M14" s="38">
        <v>12.299693135790092</v>
      </c>
      <c r="N14" s="38">
        <v>12.757263022357151</v>
      </c>
      <c r="O14" s="38">
        <v>13.232760157623058</v>
      </c>
      <c r="P14" s="38">
        <v>13.726819083593735</v>
      </c>
      <c r="Q14" s="38">
        <v>14.240093074882553</v>
      </c>
      <c r="R14" s="38">
        <v>14.773254563538716</v>
      </c>
      <c r="S14" s="38">
        <v>15.326995570392311</v>
      </c>
      <c r="T14" s="38">
        <v>15.902028142965388</v>
      </c>
      <c r="U14" s="38">
        <v>16.499084799999995</v>
      </c>
    </row>
    <row r="15" spans="4:21" x14ac:dyDescent="0.25">
      <c r="E15">
        <v>9</v>
      </c>
      <c r="F15" s="38">
        <v>11.026564319570316</v>
      </c>
      <c r="G15" s="38">
        <v>11.491315983378215</v>
      </c>
      <c r="H15" s="38">
        <v>11.977988748859355</v>
      </c>
      <c r="I15" s="38">
        <v>12.487557838805413</v>
      </c>
      <c r="J15" s="38">
        <v>13.021036438247895</v>
      </c>
      <c r="K15" s="38">
        <v>13.579476910000015</v>
      </c>
      <c r="L15" s="38">
        <v>14.163972039877295</v>
      </c>
      <c r="M15" s="38">
        <v>14.775656312084903</v>
      </c>
      <c r="N15" s="38">
        <v>15.415707215263579</v>
      </c>
      <c r="O15" s="38">
        <v>16.085346579690288</v>
      </c>
      <c r="P15" s="38">
        <v>16.785841946132795</v>
      </c>
      <c r="Q15" s="38">
        <v>17.518507966863762</v>
      </c>
      <c r="R15" s="38">
        <v>18.284707839340292</v>
      </c>
      <c r="S15" s="38">
        <v>19.085854773062927</v>
      </c>
      <c r="T15" s="38">
        <v>19.923413490128809</v>
      </c>
      <c r="U15" s="38">
        <v>20.798901759999996</v>
      </c>
    </row>
    <row r="16" spans="4:21" x14ac:dyDescent="0.25">
      <c r="E16">
        <v>10</v>
      </c>
      <c r="F16" s="38">
        <v>12.57789253554883</v>
      </c>
      <c r="G16" s="38">
        <v>13.18079494238091</v>
      </c>
      <c r="H16" s="38">
        <v>13.816447961279508</v>
      </c>
      <c r="I16" s="38">
        <v>14.486562465909847</v>
      </c>
      <c r="J16" s="38">
        <v>15.192929717690209</v>
      </c>
      <c r="K16" s="38">
        <v>15.937424601000018</v>
      </c>
      <c r="L16" s="38">
        <v>16.7220089642638</v>
      </c>
      <c r="M16" s="38">
        <v>17.548735069535095</v>
      </c>
      <c r="N16" s="38">
        <v>18.419749153247839</v>
      </c>
      <c r="O16" s="38">
        <v>19.337295100846934</v>
      </c>
      <c r="P16" s="38">
        <v>20.303718238052713</v>
      </c>
      <c r="Q16" s="38">
        <v>21.321469241561964</v>
      </c>
      <c r="R16" s="38">
        <v>22.393108172028146</v>
      </c>
      <c r="S16" s="38">
        <v>23.521308632214254</v>
      </c>
      <c r="T16" s="38">
        <v>24.708862053253284</v>
      </c>
      <c r="U16" s="38">
        <v>25.958682111999995</v>
      </c>
    </row>
    <row r="17" spans="5:21" x14ac:dyDescent="0.25">
      <c r="E17">
        <v>11</v>
      </c>
      <c r="F17" s="38">
        <v>14.206787162326275</v>
      </c>
      <c r="G17" s="38">
        <v>14.97164263892377</v>
      </c>
      <c r="H17" s="38">
        <v>15.783599318569076</v>
      </c>
      <c r="I17" s="38">
        <v>16.645487463182633</v>
      </c>
      <c r="J17" s="38">
        <v>17.560293392282325</v>
      </c>
      <c r="K17" s="38">
        <v>18.531167061100025</v>
      </c>
      <c r="L17" s="38">
        <v>19.561429950332819</v>
      </c>
      <c r="M17" s="38">
        <v>20.654583277879311</v>
      </c>
      <c r="N17" s="38">
        <v>21.814316543170055</v>
      </c>
      <c r="O17" s="38">
        <v>23.044516414965507</v>
      </c>
      <c r="P17" s="38">
        <v>24.349275973760616</v>
      </c>
      <c r="Q17" s="38">
        <v>25.732904320211873</v>
      </c>
      <c r="R17" s="38">
        <v>27.199936561272931</v>
      </c>
      <c r="S17" s="38">
        <v>28.755144186012817</v>
      </c>
      <c r="T17" s="38">
        <v>30.403545843371408</v>
      </c>
      <c r="U17" s="38">
        <v>32.150418534399989</v>
      </c>
    </row>
    <row r="18" spans="5:21" x14ac:dyDescent="0.25">
      <c r="E18">
        <v>12</v>
      </c>
      <c r="F18" s="38">
        <v>15.917126520442583</v>
      </c>
      <c r="G18" s="38">
        <v>16.869941197259198</v>
      </c>
      <c r="H18" s="38">
        <v>17.888451270868906</v>
      </c>
      <c r="I18" s="38">
        <v>18.977126460237248</v>
      </c>
      <c r="J18" s="38">
        <v>20.140719797587735</v>
      </c>
      <c r="K18" s="38">
        <v>21.384283767210025</v>
      </c>
      <c r="L18" s="38">
        <v>22.713187244869431</v>
      </c>
      <c r="M18" s="38">
        <v>24.133133271224825</v>
      </c>
      <c r="N18" s="38">
        <v>25.650177693782158</v>
      </c>
      <c r="O18" s="38">
        <v>27.270748713060684</v>
      </c>
      <c r="P18" s="38">
        <v>29.001667369824702</v>
      </c>
      <c r="Q18" s="38">
        <v>30.850169011445772</v>
      </c>
      <c r="R18" s="38">
        <v>32.823925776689322</v>
      </c>
      <c r="S18" s="38">
        <v>34.93107013949512</v>
      </c>
      <c r="T18" s="38">
        <v>37.180219553611977</v>
      </c>
      <c r="U18" s="38">
        <v>39.580502241279987</v>
      </c>
    </row>
    <row r="19" spans="5:21" x14ac:dyDescent="0.25">
      <c r="E19">
        <v>13</v>
      </c>
      <c r="F19" s="38">
        <v>17.712982846464719</v>
      </c>
      <c r="G19" s="38">
        <v>18.882137669094753</v>
      </c>
      <c r="H19" s="38">
        <v>20.140642859829732</v>
      </c>
      <c r="I19" s="38">
        <v>21.495296577056227</v>
      </c>
      <c r="J19" s="38">
        <v>22.953384579370638</v>
      </c>
      <c r="K19" s="38">
        <v>24.522712143931027</v>
      </c>
      <c r="L19" s="38">
        <v>26.211637841805072</v>
      </c>
      <c r="M19" s="38">
        <v>28.029109263771808</v>
      </c>
      <c r="N19" s="38">
        <v>29.98470079397384</v>
      </c>
      <c r="O19" s="38">
        <v>32.088653532889182</v>
      </c>
      <c r="P19" s="38">
        <v>34.351917475298414</v>
      </c>
      <c r="Q19" s="38">
        <v>36.786196053277095</v>
      </c>
      <c r="R19" s="38">
        <v>39.4039931587265</v>
      </c>
      <c r="S19" s="38">
        <v>42.21866276460424</v>
      </c>
      <c r="T19" s="38">
        <v>45.244461268798247</v>
      </c>
      <c r="U19" s="38">
        <v>48.49660268953599</v>
      </c>
    </row>
    <row r="20" spans="5:21" x14ac:dyDescent="0.25">
      <c r="E20">
        <v>14</v>
      </c>
      <c r="F20" s="38">
        <v>19.598631988787947</v>
      </c>
      <c r="G20" s="38">
        <v>21.015065929240436</v>
      </c>
      <c r="H20" s="38">
        <v>22.55048786001781</v>
      </c>
      <c r="I20" s="38">
        <v>24.214920303220733</v>
      </c>
      <c r="J20" s="38">
        <v>26.019189191513995</v>
      </c>
      <c r="K20" s="38">
        <v>27.974983358324138</v>
      </c>
      <c r="L20" s="38">
        <v>30.094918004403631</v>
      </c>
      <c r="M20" s="38">
        <v>32.392602375424431</v>
      </c>
      <c r="N20" s="38">
        <v>34.882711897190426</v>
      </c>
      <c r="O20" s="38">
        <v>37.581065027493672</v>
      </c>
      <c r="P20" s="38">
        <v>40.50470509659317</v>
      </c>
      <c r="Q20" s="38">
        <v>43.671987421801425</v>
      </c>
      <c r="R20" s="38">
        <v>47.102671995710011</v>
      </c>
      <c r="S20" s="38">
        <v>50.818022062232998</v>
      </c>
      <c r="T20" s="38">
        <v>54.84090890986991</v>
      </c>
      <c r="U20" s="38">
        <v>59.195923227443181</v>
      </c>
    </row>
    <row r="21" spans="5:21" x14ac:dyDescent="0.25">
      <c r="E21">
        <v>15</v>
      </c>
      <c r="F21" s="38">
        <v>21.578563588227357</v>
      </c>
      <c r="G21" s="38">
        <v>23.275969884994876</v>
      </c>
      <c r="H21" s="38">
        <v>25.129022010219064</v>
      </c>
      <c r="I21" s="38">
        <v>27.152113927478393</v>
      </c>
      <c r="J21" s="38">
        <v>29.360916218750255</v>
      </c>
      <c r="K21" s="38">
        <v>31.772481694156554</v>
      </c>
      <c r="L21" s="38">
        <v>34.405358984888025</v>
      </c>
      <c r="M21" s="38">
        <v>37.279714660475356</v>
      </c>
      <c r="N21" s="38">
        <v>40.417464443825182</v>
      </c>
      <c r="O21" s="38">
        <v>43.842414131342792</v>
      </c>
      <c r="P21" s="38">
        <v>47.580410861082136</v>
      </c>
      <c r="Q21" s="38">
        <v>51.65950540928965</v>
      </c>
      <c r="R21" s="38">
        <v>56.110126234980697</v>
      </c>
      <c r="S21" s="38">
        <v>60.965266033434943</v>
      </c>
      <c r="T21" s="38">
        <v>66.260681602745194</v>
      </c>
      <c r="U21" s="38">
        <v>72.035107872931817</v>
      </c>
    </row>
    <row r="22" spans="5:21" x14ac:dyDescent="0.25">
      <c r="E22">
        <v>16</v>
      </c>
      <c r="F22" s="38">
        <v>23.657491767638721</v>
      </c>
      <c r="G22" s="38">
        <v>25.672528078094555</v>
      </c>
      <c r="H22" s="38">
        <v>27.888053550934391</v>
      </c>
      <c r="I22" s="38">
        <v>30.324283041676665</v>
      </c>
      <c r="J22" s="38">
        <v>33.003398678437783</v>
      </c>
      <c r="K22" s="38">
        <v>35.949729863572209</v>
      </c>
      <c r="L22" s="38">
        <v>39.189948473225719</v>
      </c>
      <c r="M22" s="38">
        <v>42.753280419732413</v>
      </c>
      <c r="N22" s="38">
        <v>46.671734821522449</v>
      </c>
      <c r="O22" s="38">
        <v>50.980352109730788</v>
      </c>
      <c r="P22" s="38">
        <v>55.71747249024444</v>
      </c>
      <c r="Q22" s="38">
        <v>60.925026274775995</v>
      </c>
      <c r="R22" s="38">
        <v>66.648847694927412</v>
      </c>
      <c r="S22" s="38">
        <v>72.939013919453217</v>
      </c>
      <c r="T22" s="38">
        <v>79.850211107266787</v>
      </c>
      <c r="U22" s="38">
        <v>87.44212944751817</v>
      </c>
    </row>
    <row r="23" spans="5:21" x14ac:dyDescent="0.25">
      <c r="E23">
        <v>17</v>
      </c>
      <c r="F23" s="38">
        <v>25.840366356020663</v>
      </c>
      <c r="G23" s="38">
        <v>28.212879762780233</v>
      </c>
      <c r="H23" s="38">
        <v>30.840217299499798</v>
      </c>
      <c r="I23" s="38">
        <v>33.750225685010797</v>
      </c>
      <c r="J23" s="38">
        <v>36.973704559497179</v>
      </c>
      <c r="K23" s="38">
        <v>40.544702849929429</v>
      </c>
      <c r="L23" s="38">
        <v>44.500842805280548</v>
      </c>
      <c r="M23" s="38">
        <v>48.883674070100305</v>
      </c>
      <c r="N23" s="38">
        <v>53.739060348320365</v>
      </c>
      <c r="O23" s="38">
        <v>59.117601405093104</v>
      </c>
      <c r="P23" s="38">
        <v>65.075093363781107</v>
      </c>
      <c r="Q23" s="38">
        <v>71.673030478740145</v>
      </c>
      <c r="R23" s="38">
        <v>78.979151803065065</v>
      </c>
      <c r="S23" s="38">
        <v>87.068036424954798</v>
      </c>
      <c r="T23" s="38">
        <v>96.021751217647477</v>
      </c>
      <c r="U23" s="38">
        <v>105.9305553370218</v>
      </c>
    </row>
    <row r="24" spans="5:21" x14ac:dyDescent="0.25">
      <c r="E24">
        <v>18</v>
      </c>
      <c r="F24" s="38">
        <v>28.132384673821694</v>
      </c>
      <c r="G24" s="38">
        <v>30.905652548547049</v>
      </c>
      <c r="H24" s="38">
        <v>33.999032510464787</v>
      </c>
      <c r="I24" s="38">
        <v>37.450243739811668</v>
      </c>
      <c r="J24" s="38">
        <v>41.301337969851936</v>
      </c>
      <c r="K24" s="38">
        <v>45.599173134922374</v>
      </c>
      <c r="L24" s="38">
        <v>50.395935513861417</v>
      </c>
      <c r="M24" s="38">
        <v>55.749714958512349</v>
      </c>
      <c r="N24" s="38">
        <v>61.725138193602</v>
      </c>
      <c r="O24" s="38">
        <v>68.394065601806162</v>
      </c>
      <c r="P24" s="38">
        <v>75.83635736834826</v>
      </c>
      <c r="Q24" s="38">
        <v>84.140715355338571</v>
      </c>
      <c r="R24" s="38">
        <v>93.405607609586127</v>
      </c>
      <c r="S24" s="38">
        <v>103.74028298144667</v>
      </c>
      <c r="T24" s="38">
        <v>115.26588394900048</v>
      </c>
      <c r="U24" s="38">
        <v>128.11666640442616</v>
      </c>
    </row>
    <row r="25" spans="5:21" x14ac:dyDescent="0.25">
      <c r="E25">
        <v>19</v>
      </c>
      <c r="F25" s="38">
        <v>30.539003907512779</v>
      </c>
      <c r="G25" s="38">
        <v>33.759991701459874</v>
      </c>
      <c r="H25" s="38">
        <v>37.378964786197322</v>
      </c>
      <c r="I25" s="38">
        <v>41.446263238996607</v>
      </c>
      <c r="J25" s="38">
        <v>46.018458387138615</v>
      </c>
      <c r="K25" s="38">
        <v>51.159090448414631</v>
      </c>
      <c r="L25" s="38">
        <v>56.939488420386176</v>
      </c>
      <c r="M25" s="38">
        <v>63.439680753533835</v>
      </c>
      <c r="N25" s="38">
        <v>70.749406158770242</v>
      </c>
      <c r="O25" s="38">
        <v>78.969234786059019</v>
      </c>
      <c r="P25" s="38">
        <v>88.211810973600493</v>
      </c>
      <c r="Q25" s="38">
        <v>98.603229812192737</v>
      </c>
      <c r="R25" s="38">
        <v>110.28456090321576</v>
      </c>
      <c r="S25" s="38">
        <v>123.41353391810705</v>
      </c>
      <c r="T25" s="38">
        <v>138.16640189931059</v>
      </c>
      <c r="U25" s="38">
        <v>154.7399996853114</v>
      </c>
    </row>
    <row r="26" spans="5:21" x14ac:dyDescent="0.25">
      <c r="E26">
        <v>20</v>
      </c>
      <c r="F26" s="38">
        <v>33.065954102888412</v>
      </c>
      <c r="G26" s="38">
        <v>36.785591203547469</v>
      </c>
      <c r="H26" s="38">
        <v>40.995492321231133</v>
      </c>
      <c r="I26" s="38">
        <v>45.761964298116332</v>
      </c>
      <c r="J26" s="38">
        <v>51.160119641981083</v>
      </c>
      <c r="K26" s="38">
        <v>57.27499949325609</v>
      </c>
      <c r="L26" s="38">
        <v>64.202832146628666</v>
      </c>
      <c r="M26" s="38">
        <v>72.052442443957887</v>
      </c>
      <c r="N26" s="38">
        <v>80.946828959410368</v>
      </c>
      <c r="O26" s="38">
        <v>91.024927656107295</v>
      </c>
      <c r="P26" s="38">
        <v>102.44358261964055</v>
      </c>
      <c r="Q26" s="38">
        <v>115.37974658214355</v>
      </c>
      <c r="R26" s="38">
        <v>130.03293625676241</v>
      </c>
      <c r="S26" s="38">
        <v>146.62797002336629</v>
      </c>
      <c r="T26" s="38">
        <v>165.41801826017957</v>
      </c>
      <c r="U26" s="38">
        <v>186.68799962237367</v>
      </c>
    </row>
    <row r="27" spans="5:21" x14ac:dyDescent="0.25">
      <c r="E27">
        <v>21</v>
      </c>
      <c r="F27" s="38">
        <v>35.719251808032837</v>
      </c>
      <c r="G27" s="38">
        <v>39.992726675760331</v>
      </c>
      <c r="H27" s="38">
        <v>44.865176783717317</v>
      </c>
      <c r="I27" s="38">
        <v>50.422921441965642</v>
      </c>
      <c r="J27" s="38">
        <v>56.764530409759395</v>
      </c>
      <c r="K27" s="38">
        <v>64.002499442581708</v>
      </c>
      <c r="L27" s="38">
        <v>72.265143682757824</v>
      </c>
      <c r="M27" s="38">
        <v>81.698735537232849</v>
      </c>
      <c r="N27" s="38">
        <v>92.469916724133697</v>
      </c>
      <c r="O27" s="38">
        <v>104.76841752796233</v>
      </c>
      <c r="P27" s="38">
        <v>118.81012001258664</v>
      </c>
      <c r="Q27" s="38">
        <v>134.84050603528655</v>
      </c>
      <c r="R27" s="38">
        <v>153.13853542041201</v>
      </c>
      <c r="S27" s="38">
        <v>174.02100462757221</v>
      </c>
      <c r="T27" s="38">
        <v>197.84744172961368</v>
      </c>
      <c r="U27" s="38">
        <v>225.02559954684841</v>
      </c>
    </row>
    <row r="28" spans="5:21" x14ac:dyDescent="0.25">
      <c r="E28">
        <v>22</v>
      </c>
      <c r="F28" s="38">
        <v>38.505214398434475</v>
      </c>
      <c r="G28" s="38">
        <v>43.39229027630595</v>
      </c>
      <c r="H28" s="38">
        <v>49.005739158577526</v>
      </c>
      <c r="I28" s="38">
        <v>55.456755157322903</v>
      </c>
      <c r="J28" s="38">
        <v>62.873338146637742</v>
      </c>
      <c r="K28" s="38">
        <v>71.402749386839886</v>
      </c>
      <c r="L28" s="38">
        <v>81.214309487861186</v>
      </c>
      <c r="M28" s="38">
        <v>92.502583801700808</v>
      </c>
      <c r="N28" s="38">
        <v>105.49100589827107</v>
      </c>
      <c r="O28" s="38">
        <v>120.43599598187706</v>
      </c>
      <c r="P28" s="38">
        <v>137.63163801447462</v>
      </c>
      <c r="Q28" s="38">
        <v>157.4149870009324</v>
      </c>
      <c r="R28" s="38">
        <v>180.17208644188204</v>
      </c>
      <c r="S28" s="38">
        <v>206.34478546053521</v>
      </c>
      <c r="T28" s="38">
        <v>236.43845565824026</v>
      </c>
      <c r="U28" s="38">
        <v>271.03071945621804</v>
      </c>
    </row>
    <row r="29" spans="5:21" x14ac:dyDescent="0.25">
      <c r="E29">
        <v>23</v>
      </c>
      <c r="F29" s="38">
        <v>41.430475118356206</v>
      </c>
      <c r="G29" s="38">
        <v>46.995827692884319</v>
      </c>
      <c r="H29" s="38">
        <v>53.436140899677952</v>
      </c>
      <c r="I29" s="38">
        <v>60.89329556990873</v>
      </c>
      <c r="J29" s="38">
        <v>69.531938579835142</v>
      </c>
      <c r="K29" s="38">
        <v>79.543024325523888</v>
      </c>
      <c r="L29" s="38">
        <v>91.147883531525906</v>
      </c>
      <c r="M29" s="38">
        <v>104.60289385790489</v>
      </c>
      <c r="N29" s="38">
        <v>120.2048366650463</v>
      </c>
      <c r="O29" s="38">
        <v>138.29703541933989</v>
      </c>
      <c r="P29" s="38">
        <v>159.2763837166458</v>
      </c>
      <c r="Q29" s="38">
        <v>183.60138492108155</v>
      </c>
      <c r="R29" s="38">
        <v>211.80134113700197</v>
      </c>
      <c r="S29" s="38">
        <v>244.48684684343155</v>
      </c>
      <c r="T29" s="38">
        <v>282.36176223330597</v>
      </c>
      <c r="U29" s="38">
        <v>326.23686334746168</v>
      </c>
    </row>
    <row r="30" spans="5:21" x14ac:dyDescent="0.25">
      <c r="E30">
        <v>24</v>
      </c>
      <c r="F30" s="38">
        <v>44.501998874274008</v>
      </c>
      <c r="G30" s="38">
        <v>50.815577354457368</v>
      </c>
      <c r="H30" s="38">
        <v>58.176670762655412</v>
      </c>
      <c r="I30" s="38">
        <v>66.764759215501428</v>
      </c>
      <c r="J30" s="38">
        <v>76.789813052020307</v>
      </c>
      <c r="K30" s="38">
        <v>88.497326758076255</v>
      </c>
      <c r="L30" s="38">
        <v>102.17415071999379</v>
      </c>
      <c r="M30" s="38">
        <v>118.15524112085349</v>
      </c>
      <c r="N30" s="38">
        <v>136.83146543150232</v>
      </c>
      <c r="O30" s="38">
        <v>158.65862037804749</v>
      </c>
      <c r="P30" s="38">
        <v>184.16784127414263</v>
      </c>
      <c r="Q30" s="38">
        <v>213.97760650845461</v>
      </c>
      <c r="R30" s="38">
        <v>248.80756913029225</v>
      </c>
      <c r="S30" s="38">
        <v>289.4944792752492</v>
      </c>
      <c r="T30" s="38">
        <v>337.0104970576341</v>
      </c>
      <c r="U30" s="38">
        <v>392.48423601695396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B6061-0938-4A02-BB99-A874368972CD}">
  <dimension ref="B2:B67"/>
  <sheetViews>
    <sheetView topLeftCell="B31" workbookViewId="0">
      <selection activeCell="E6" sqref="E6"/>
    </sheetView>
  </sheetViews>
  <sheetFormatPr defaultRowHeight="15" x14ac:dyDescent="0.25"/>
  <cols>
    <col min="2" max="2" width="29.5703125" customWidth="1"/>
  </cols>
  <sheetData>
    <row r="2" spans="2:2" x14ac:dyDescent="0.25">
      <c r="B2" t="s">
        <v>33</v>
      </c>
    </row>
    <row r="3" spans="2:2" x14ac:dyDescent="0.25">
      <c r="B3" t="s">
        <v>39</v>
      </c>
    </row>
    <row r="4" spans="2:2" x14ac:dyDescent="0.25">
      <c r="B4" t="s">
        <v>45</v>
      </c>
    </row>
    <row r="5" spans="2:2" x14ac:dyDescent="0.25">
      <c r="B5" t="s">
        <v>51</v>
      </c>
    </row>
    <row r="6" spans="2:2" x14ac:dyDescent="0.25">
      <c r="B6" t="s">
        <v>34</v>
      </c>
    </row>
    <row r="7" spans="2:2" x14ac:dyDescent="0.25">
      <c r="B7" t="s">
        <v>40</v>
      </c>
    </row>
    <row r="8" spans="2:2" x14ac:dyDescent="0.25">
      <c r="B8" t="s">
        <v>46</v>
      </c>
    </row>
    <row r="9" spans="2:2" x14ac:dyDescent="0.25">
      <c r="B9" t="s">
        <v>52</v>
      </c>
    </row>
    <row r="10" spans="2:2" x14ac:dyDescent="0.25">
      <c r="B10" t="s">
        <v>57</v>
      </c>
    </row>
    <row r="11" spans="2:2" x14ac:dyDescent="0.25">
      <c r="B11" t="s">
        <v>62</v>
      </c>
    </row>
    <row r="12" spans="2:2" x14ac:dyDescent="0.25">
      <c r="B12" t="s">
        <v>35</v>
      </c>
    </row>
    <row r="13" spans="2:2" x14ac:dyDescent="0.25">
      <c r="B13" t="s">
        <v>41</v>
      </c>
    </row>
    <row r="14" spans="2:2" x14ac:dyDescent="0.25">
      <c r="B14" t="s">
        <v>47</v>
      </c>
    </row>
    <row r="15" spans="2:2" x14ac:dyDescent="0.25">
      <c r="B15" t="s">
        <v>53</v>
      </c>
    </row>
    <row r="16" spans="2:2" x14ac:dyDescent="0.25">
      <c r="B16" t="s">
        <v>58</v>
      </c>
    </row>
    <row r="17" spans="2:2" x14ac:dyDescent="0.25">
      <c r="B17" t="s">
        <v>63</v>
      </c>
    </row>
    <row r="18" spans="2:2" x14ac:dyDescent="0.25">
      <c r="B18" t="s">
        <v>67</v>
      </c>
    </row>
    <row r="19" spans="2:2" x14ac:dyDescent="0.25">
      <c r="B19" t="s">
        <v>71</v>
      </c>
    </row>
    <row r="20" spans="2:2" x14ac:dyDescent="0.25">
      <c r="B20" t="s">
        <v>36</v>
      </c>
    </row>
    <row r="21" spans="2:2" x14ac:dyDescent="0.25">
      <c r="B21" t="s">
        <v>42</v>
      </c>
    </row>
    <row r="22" spans="2:2" x14ac:dyDescent="0.25">
      <c r="B22" t="s">
        <v>48</v>
      </c>
    </row>
    <row r="23" spans="2:2" x14ac:dyDescent="0.25">
      <c r="B23" t="s">
        <v>54</v>
      </c>
    </row>
    <row r="24" spans="2:2" x14ac:dyDescent="0.25">
      <c r="B24" t="s">
        <v>59</v>
      </c>
    </row>
    <row r="25" spans="2:2" x14ac:dyDescent="0.25">
      <c r="B25" t="s">
        <v>64</v>
      </c>
    </row>
    <row r="26" spans="2:2" x14ac:dyDescent="0.25">
      <c r="B26" t="s">
        <v>68</v>
      </c>
    </row>
    <row r="27" spans="2:2" x14ac:dyDescent="0.25">
      <c r="B27" t="s">
        <v>72</v>
      </c>
    </row>
    <row r="28" spans="2:2" x14ac:dyDescent="0.25">
      <c r="B28" t="s">
        <v>75</v>
      </c>
    </row>
    <row r="29" spans="2:2" x14ac:dyDescent="0.25">
      <c r="B29" t="s">
        <v>78</v>
      </c>
    </row>
    <row r="30" spans="2:2" x14ac:dyDescent="0.25">
      <c r="B30" t="s">
        <v>81</v>
      </c>
    </row>
    <row r="31" spans="2:2" x14ac:dyDescent="0.25">
      <c r="B31" t="s">
        <v>37</v>
      </c>
    </row>
    <row r="32" spans="2:2" x14ac:dyDescent="0.25">
      <c r="B32" t="s">
        <v>43</v>
      </c>
    </row>
    <row r="33" spans="2:2" x14ac:dyDescent="0.25">
      <c r="B33" t="s">
        <v>49</v>
      </c>
    </row>
    <row r="34" spans="2:2" x14ac:dyDescent="0.25">
      <c r="B34" t="s">
        <v>55</v>
      </c>
    </row>
    <row r="35" spans="2:2" x14ac:dyDescent="0.25">
      <c r="B35" t="s">
        <v>60</v>
      </c>
    </row>
    <row r="36" spans="2:2" x14ac:dyDescent="0.25">
      <c r="B36" t="s">
        <v>65</v>
      </c>
    </row>
    <row r="37" spans="2:2" x14ac:dyDescent="0.25">
      <c r="B37" t="s">
        <v>69</v>
      </c>
    </row>
    <row r="38" spans="2:2" x14ac:dyDescent="0.25">
      <c r="B38" t="s">
        <v>73</v>
      </c>
    </row>
    <row r="39" spans="2:2" x14ac:dyDescent="0.25">
      <c r="B39" t="s">
        <v>76</v>
      </c>
    </row>
    <row r="40" spans="2:2" x14ac:dyDescent="0.25">
      <c r="B40" t="s">
        <v>79</v>
      </c>
    </row>
    <row r="41" spans="2:2" x14ac:dyDescent="0.25">
      <c r="B41" t="s">
        <v>82</v>
      </c>
    </row>
    <row r="42" spans="2:2" x14ac:dyDescent="0.25">
      <c r="B42" t="s">
        <v>84</v>
      </c>
    </row>
    <row r="43" spans="2:2" x14ac:dyDescent="0.25">
      <c r="B43" t="s">
        <v>86</v>
      </c>
    </row>
    <row r="44" spans="2:2" x14ac:dyDescent="0.25">
      <c r="B44" t="s">
        <v>88</v>
      </c>
    </row>
    <row r="45" spans="2:2" x14ac:dyDescent="0.25">
      <c r="B45" t="s">
        <v>90</v>
      </c>
    </row>
    <row r="46" spans="2:2" x14ac:dyDescent="0.25">
      <c r="B46" t="s">
        <v>92</v>
      </c>
    </row>
    <row r="47" spans="2:2" x14ac:dyDescent="0.25">
      <c r="B47" t="s">
        <v>38</v>
      </c>
    </row>
    <row r="48" spans="2:2" x14ac:dyDescent="0.25">
      <c r="B48" t="s">
        <v>44</v>
      </c>
    </row>
    <row r="49" spans="2:2" x14ac:dyDescent="0.25">
      <c r="B49" t="s">
        <v>50</v>
      </c>
    </row>
    <row r="50" spans="2:2" x14ac:dyDescent="0.25">
      <c r="B50" t="s">
        <v>56</v>
      </c>
    </row>
    <row r="51" spans="2:2" x14ac:dyDescent="0.25">
      <c r="B51" t="s">
        <v>61</v>
      </c>
    </row>
    <row r="52" spans="2:2" x14ac:dyDescent="0.25">
      <c r="B52" t="s">
        <v>66</v>
      </c>
    </row>
    <row r="53" spans="2:2" x14ac:dyDescent="0.25">
      <c r="B53" t="s">
        <v>70</v>
      </c>
    </row>
    <row r="54" spans="2:2" x14ac:dyDescent="0.25">
      <c r="B54" t="s">
        <v>74</v>
      </c>
    </row>
    <row r="55" spans="2:2" x14ac:dyDescent="0.25">
      <c r="B55" t="s">
        <v>77</v>
      </c>
    </row>
    <row r="56" spans="2:2" x14ac:dyDescent="0.25">
      <c r="B56" t="s">
        <v>80</v>
      </c>
    </row>
    <row r="57" spans="2:2" x14ac:dyDescent="0.25">
      <c r="B57" t="s">
        <v>83</v>
      </c>
    </row>
    <row r="58" spans="2:2" x14ac:dyDescent="0.25">
      <c r="B58" t="s">
        <v>85</v>
      </c>
    </row>
    <row r="59" spans="2:2" x14ac:dyDescent="0.25">
      <c r="B59" t="s">
        <v>87</v>
      </c>
    </row>
    <row r="60" spans="2:2" x14ac:dyDescent="0.25">
      <c r="B60" t="s">
        <v>89</v>
      </c>
    </row>
    <row r="61" spans="2:2" x14ac:dyDescent="0.25">
      <c r="B61" t="s">
        <v>91</v>
      </c>
    </row>
    <row r="62" spans="2:2" x14ac:dyDescent="0.25">
      <c r="B62" t="s">
        <v>93</v>
      </c>
    </row>
    <row r="63" spans="2:2" x14ac:dyDescent="0.25">
      <c r="B63" t="s">
        <v>94</v>
      </c>
    </row>
    <row r="64" spans="2:2" x14ac:dyDescent="0.25">
      <c r="B64" t="s">
        <v>95</v>
      </c>
    </row>
    <row r="65" spans="2:2" x14ac:dyDescent="0.25">
      <c r="B65" t="s">
        <v>96</v>
      </c>
    </row>
    <row r="66" spans="2:2" x14ac:dyDescent="0.25">
      <c r="B66" t="s">
        <v>97</v>
      </c>
    </row>
    <row r="67" spans="2:2" x14ac:dyDescent="0.25">
      <c r="B67" t="s">
        <v>98</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0C00F-18C9-4594-A228-687BDE9D99FE}">
  <dimension ref="B2:W7"/>
  <sheetViews>
    <sheetView workbookViewId="0">
      <selection activeCell="E6" sqref="E6"/>
    </sheetView>
  </sheetViews>
  <sheetFormatPr defaultRowHeight="15" x14ac:dyDescent="0.25"/>
  <sheetData>
    <row r="2" spans="2:23" x14ac:dyDescent="0.25">
      <c r="B2" s="2" t="s">
        <v>20</v>
      </c>
      <c r="C2">
        <v>0.33329999999999999</v>
      </c>
      <c r="D2">
        <v>0.44450000000000001</v>
      </c>
      <c r="E2">
        <v>0.14810000000000001</v>
      </c>
      <c r="F2">
        <v>7.4099999999999999E-2</v>
      </c>
    </row>
    <row r="3" spans="2:23" x14ac:dyDescent="0.25">
      <c r="B3" s="2" t="s">
        <v>21</v>
      </c>
      <c r="C3">
        <v>0.2</v>
      </c>
      <c r="D3">
        <v>0.32</v>
      </c>
      <c r="E3">
        <v>0.192</v>
      </c>
      <c r="F3">
        <v>0.1152</v>
      </c>
      <c r="G3">
        <v>0.1152</v>
      </c>
      <c r="H3">
        <v>5.7599999999999998E-2</v>
      </c>
    </row>
    <row r="4" spans="2:23" x14ac:dyDescent="0.25">
      <c r="B4" s="2" t="s">
        <v>22</v>
      </c>
      <c r="C4">
        <v>0.1429</v>
      </c>
      <c r="D4">
        <v>0.24489999999999998</v>
      </c>
      <c r="E4">
        <v>0.17489999999999997</v>
      </c>
      <c r="F4">
        <v>0.1249</v>
      </c>
      <c r="G4">
        <v>8.929999999999999E-2</v>
      </c>
      <c r="H4">
        <v>8.9200000000000002E-2</v>
      </c>
      <c r="I4">
        <v>8.929999999999999E-2</v>
      </c>
      <c r="J4">
        <v>4.4600000000000001E-2</v>
      </c>
    </row>
    <row r="5" spans="2:23" x14ac:dyDescent="0.25">
      <c r="B5" s="2" t="s">
        <v>23</v>
      </c>
      <c r="C5">
        <v>0.1</v>
      </c>
      <c r="D5">
        <v>0.18</v>
      </c>
      <c r="E5">
        <v>0.14400000000000002</v>
      </c>
      <c r="F5">
        <v>0.1152</v>
      </c>
      <c r="G5">
        <v>9.2200000000000004E-2</v>
      </c>
      <c r="H5">
        <v>7.3700000000000002E-2</v>
      </c>
      <c r="I5">
        <v>6.5500000000000003E-2</v>
      </c>
      <c r="J5">
        <v>6.5500000000000003E-2</v>
      </c>
      <c r="K5">
        <v>6.5599999999999992E-2</v>
      </c>
      <c r="L5">
        <v>6.5500000000000003E-2</v>
      </c>
      <c r="M5">
        <v>3.2799999999999996E-2</v>
      </c>
    </row>
    <row r="6" spans="2:23" x14ac:dyDescent="0.25">
      <c r="B6" s="2" t="s">
        <v>24</v>
      </c>
      <c r="C6">
        <v>0.05</v>
      </c>
      <c r="D6">
        <v>9.5000000000000001E-2</v>
      </c>
      <c r="E6">
        <v>8.5500000000000007E-2</v>
      </c>
      <c r="F6">
        <v>7.6999999999999999E-2</v>
      </c>
      <c r="G6">
        <v>6.93E-2</v>
      </c>
      <c r="H6">
        <v>6.2300000000000001E-2</v>
      </c>
      <c r="I6">
        <v>5.9000000000000004E-2</v>
      </c>
      <c r="J6">
        <v>5.9000000000000004E-2</v>
      </c>
      <c r="K6">
        <v>5.91E-2</v>
      </c>
      <c r="L6">
        <v>5.9000000000000004E-2</v>
      </c>
      <c r="M6">
        <v>5.91E-2</v>
      </c>
      <c r="N6">
        <v>5.9000000000000004E-2</v>
      </c>
      <c r="O6">
        <v>5.91E-2</v>
      </c>
      <c r="P6">
        <v>5.9000000000000004E-2</v>
      </c>
      <c r="Q6">
        <v>5.91E-2</v>
      </c>
      <c r="R6">
        <v>2.9500000000000002E-2</v>
      </c>
    </row>
    <row r="7" spans="2:23" x14ac:dyDescent="0.25">
      <c r="B7" s="2" t="s">
        <v>25</v>
      </c>
      <c r="C7">
        <v>3.7499999999999999E-2</v>
      </c>
      <c r="D7">
        <v>7.2190000000000004E-2</v>
      </c>
      <c r="E7">
        <v>6.6769999999999996E-2</v>
      </c>
      <c r="F7">
        <v>6.1769999999999999E-2</v>
      </c>
      <c r="G7">
        <v>5.713E-2</v>
      </c>
      <c r="H7">
        <v>5.2850000000000001E-2</v>
      </c>
      <c r="I7">
        <v>4.888E-2</v>
      </c>
      <c r="J7">
        <v>4.5220000000000003E-2</v>
      </c>
      <c r="K7">
        <v>4.462E-2</v>
      </c>
      <c r="L7">
        <v>4.4610000000000004E-2</v>
      </c>
      <c r="M7">
        <v>4.462E-2</v>
      </c>
      <c r="N7">
        <v>4.4610000000000004E-2</v>
      </c>
      <c r="O7">
        <v>4.462E-2</v>
      </c>
      <c r="P7">
        <v>4.4610000000000004E-2</v>
      </c>
      <c r="Q7">
        <v>4.462E-2</v>
      </c>
      <c r="R7">
        <v>4.4610000000000004E-2</v>
      </c>
      <c r="S7">
        <v>4.462E-2</v>
      </c>
      <c r="T7">
        <v>4.4610000000000004E-2</v>
      </c>
      <c r="U7">
        <v>4.462E-2</v>
      </c>
      <c r="V7">
        <v>4.4610000000000004E-2</v>
      </c>
      <c r="W7">
        <v>2.231E-2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320F2-196C-487D-A120-E06F7EE66F3D}">
  <dimension ref="A2:O22"/>
  <sheetViews>
    <sheetView workbookViewId="0">
      <selection activeCell="E6" sqref="E6"/>
    </sheetView>
  </sheetViews>
  <sheetFormatPr defaultRowHeight="15" x14ac:dyDescent="0.25"/>
  <cols>
    <col min="2" max="2" width="13.7109375" customWidth="1"/>
    <col min="3" max="3" width="30.7109375" customWidth="1"/>
    <col min="4" max="4" width="16" customWidth="1"/>
    <col min="5" max="5" width="13.42578125" bestFit="1" customWidth="1"/>
    <col min="6" max="6" width="13.7109375" customWidth="1"/>
    <col min="7" max="7" width="12.5703125" customWidth="1"/>
    <col min="8" max="8" width="13.5703125" customWidth="1"/>
    <col min="9" max="9" width="11.28515625" customWidth="1"/>
    <col min="10" max="10" width="15.140625" customWidth="1"/>
    <col min="11" max="11" width="13.42578125" bestFit="1" customWidth="1"/>
    <col min="13" max="13" width="12.5703125" bestFit="1" customWidth="1"/>
    <col min="14" max="14" width="11" customWidth="1"/>
    <col min="15" max="15" width="9.7109375" bestFit="1" customWidth="1"/>
  </cols>
  <sheetData>
    <row r="2" spans="1:15" ht="34.5" customHeight="1" x14ac:dyDescent="0.25">
      <c r="A2" s="1" t="s">
        <v>10</v>
      </c>
      <c r="C2" s="3"/>
      <c r="E2" s="3" t="s">
        <v>1</v>
      </c>
      <c r="F2" s="3" t="s">
        <v>2</v>
      </c>
      <c r="G2" s="3" t="s">
        <v>3</v>
      </c>
      <c r="H2" s="4" t="s">
        <v>4</v>
      </c>
      <c r="I2" s="4" t="s">
        <v>5</v>
      </c>
      <c r="J2" s="4" t="s">
        <v>6</v>
      </c>
    </row>
    <row r="3" spans="1:15" ht="30" x14ac:dyDescent="0.25">
      <c r="C3" t="s">
        <v>0</v>
      </c>
      <c r="M3" s="3" t="s">
        <v>15</v>
      </c>
      <c r="N3" s="4" t="s">
        <v>26</v>
      </c>
      <c r="O3" s="4" t="s">
        <v>27</v>
      </c>
    </row>
    <row r="4" spans="1:15" x14ac:dyDescent="0.25">
      <c r="C4" s="8" t="s">
        <v>7</v>
      </c>
      <c r="E4" t="s">
        <v>8</v>
      </c>
      <c r="F4" s="7">
        <f>$N$4</f>
        <v>-400000</v>
      </c>
      <c r="G4">
        <v>0</v>
      </c>
      <c r="H4" s="16">
        <f xml:space="preserve"> IF(G4=0,F4,F4*G4)</f>
        <v>-400000</v>
      </c>
      <c r="I4" s="19">
        <v>1</v>
      </c>
      <c r="J4" s="7">
        <f>H4*I4</f>
        <v>-400000</v>
      </c>
      <c r="M4" s="18">
        <v>610000</v>
      </c>
      <c r="N4" s="18">
        <v>-400000</v>
      </c>
      <c r="O4" s="18">
        <v>-70000</v>
      </c>
    </row>
    <row r="5" spans="1:15" x14ac:dyDescent="0.25">
      <c r="A5">
        <v>3</v>
      </c>
      <c r="C5" s="8" t="s">
        <v>9</v>
      </c>
      <c r="E5" s="9" t="str">
        <f>"1-3"</f>
        <v>1-3</v>
      </c>
      <c r="F5" s="7">
        <f>$O$4</f>
        <v>-70000</v>
      </c>
      <c r="G5">
        <v>0</v>
      </c>
      <c r="H5" s="16">
        <f xml:space="preserve"> IF(G5=0,F5,F5*G5)</f>
        <v>-70000</v>
      </c>
      <c r="I5" s="19">
        <v>2.4870000000000001</v>
      </c>
      <c r="J5" s="7">
        <f>H5*I5</f>
        <v>-174090</v>
      </c>
    </row>
    <row r="6" spans="1:15" x14ac:dyDescent="0.25">
      <c r="C6" t="s">
        <v>11</v>
      </c>
      <c r="E6" s="7" t="s">
        <v>8</v>
      </c>
      <c r="F6" s="7">
        <v>-1800</v>
      </c>
      <c r="G6">
        <v>0</v>
      </c>
      <c r="H6" s="16">
        <f t="shared" ref="H6:H7" si="0" xml:space="preserve"> IF(G6=0,F6,F6*G6)</f>
        <v>-1800</v>
      </c>
      <c r="I6" s="19">
        <v>1</v>
      </c>
      <c r="J6" s="7">
        <f t="shared" ref="J6:J7" si="1">H6*I6</f>
        <v>-1800</v>
      </c>
    </row>
    <row r="7" spans="1:15" x14ac:dyDescent="0.25">
      <c r="A7">
        <v>15</v>
      </c>
      <c r="C7" t="s">
        <v>12</v>
      </c>
      <c r="E7" s="9" t="str">
        <f>"1-15"</f>
        <v>1-15</v>
      </c>
      <c r="F7" s="7">
        <v>95000</v>
      </c>
      <c r="G7">
        <f>(1-0.3)</f>
        <v>0.7</v>
      </c>
      <c r="H7" s="16">
        <f t="shared" si="0"/>
        <v>66500</v>
      </c>
      <c r="I7" s="19">
        <v>7.6059999999999999</v>
      </c>
      <c r="J7" s="7">
        <f t="shared" si="1"/>
        <v>505799</v>
      </c>
    </row>
    <row r="8" spans="1:15" x14ac:dyDescent="0.25">
      <c r="C8" t="s">
        <v>13</v>
      </c>
      <c r="F8" s="7"/>
      <c r="H8" s="6"/>
      <c r="K8" s="15">
        <f>SUM(J4:J7)</f>
        <v>-70091</v>
      </c>
    </row>
    <row r="9" spans="1:15" x14ac:dyDescent="0.25">
      <c r="H9" s="6"/>
    </row>
    <row r="10" spans="1:15" ht="28.5" customHeight="1" x14ac:dyDescent="0.25">
      <c r="A10" s="3" t="s">
        <v>14</v>
      </c>
      <c r="B10" s="3" t="s">
        <v>15</v>
      </c>
      <c r="C10" s="4" t="s">
        <v>17</v>
      </c>
      <c r="D10" s="4" t="s">
        <v>16</v>
      </c>
    </row>
    <row r="11" spans="1:15" x14ac:dyDescent="0.25">
      <c r="A11">
        <v>1</v>
      </c>
      <c r="B11" s="16">
        <f>$M$4</f>
        <v>610000</v>
      </c>
      <c r="C11">
        <v>14.3</v>
      </c>
      <c r="D11" s="17">
        <f>$B11*($C11/100)</f>
        <v>87230.000000000015</v>
      </c>
      <c r="E11">
        <v>1</v>
      </c>
      <c r="F11" s="17">
        <f>D11</f>
        <v>87230.000000000015</v>
      </c>
      <c r="G11">
        <v>0.3</v>
      </c>
      <c r="H11" s="15">
        <f>F11*G11</f>
        <v>26169.000000000004</v>
      </c>
      <c r="I11" s="20">
        <v>0.90900000000000003</v>
      </c>
      <c r="J11" s="17">
        <f>H11*I11</f>
        <v>23787.621000000003</v>
      </c>
    </row>
    <row r="12" spans="1:15" x14ac:dyDescent="0.25">
      <c r="A12">
        <v>2</v>
      </c>
      <c r="B12" s="16">
        <f t="shared" ref="B12:B18" si="2">$M$4</f>
        <v>610000</v>
      </c>
      <c r="C12">
        <v>24.5</v>
      </c>
      <c r="D12" s="17">
        <f t="shared" ref="D12:D18" si="3">$B12*($C12/100)</f>
        <v>149450</v>
      </c>
      <c r="E12">
        <v>2</v>
      </c>
      <c r="F12" s="17">
        <f t="shared" ref="F12:F18" si="4">D12</f>
        <v>149450</v>
      </c>
      <c r="G12">
        <v>0.3</v>
      </c>
      <c r="H12" s="15">
        <f t="shared" ref="H12:H18" si="5">F12*G12</f>
        <v>44835</v>
      </c>
      <c r="I12" s="20">
        <v>0.82599999999999996</v>
      </c>
      <c r="J12" s="17">
        <f t="shared" ref="J12:J21" si="6">H12*I12</f>
        <v>37033.71</v>
      </c>
    </row>
    <row r="13" spans="1:15" x14ac:dyDescent="0.25">
      <c r="A13">
        <v>3</v>
      </c>
      <c r="B13" s="16">
        <f t="shared" si="2"/>
        <v>610000</v>
      </c>
      <c r="C13">
        <v>17.5</v>
      </c>
      <c r="D13" s="17">
        <f t="shared" si="3"/>
        <v>106750</v>
      </c>
      <c r="E13">
        <v>3</v>
      </c>
      <c r="F13" s="17">
        <f t="shared" si="4"/>
        <v>106750</v>
      </c>
      <c r="G13">
        <v>0.3</v>
      </c>
      <c r="H13" s="15">
        <f t="shared" si="5"/>
        <v>32025</v>
      </c>
      <c r="I13" s="20">
        <v>0.751</v>
      </c>
      <c r="J13" s="17">
        <f t="shared" si="6"/>
        <v>24050.775000000001</v>
      </c>
    </row>
    <row r="14" spans="1:15" x14ac:dyDescent="0.25">
      <c r="A14">
        <v>4</v>
      </c>
      <c r="B14" s="16">
        <f t="shared" si="2"/>
        <v>610000</v>
      </c>
      <c r="C14">
        <v>12.5</v>
      </c>
      <c r="D14" s="17">
        <f t="shared" si="3"/>
        <v>76250</v>
      </c>
      <c r="E14">
        <v>4</v>
      </c>
      <c r="F14" s="17">
        <f t="shared" si="4"/>
        <v>76250</v>
      </c>
      <c r="G14">
        <v>0.3</v>
      </c>
      <c r="H14" s="15">
        <f t="shared" si="5"/>
        <v>22875</v>
      </c>
      <c r="I14" s="20">
        <v>0.68300000000000005</v>
      </c>
      <c r="J14" s="17">
        <f t="shared" si="6"/>
        <v>15623.625000000002</v>
      </c>
    </row>
    <row r="15" spans="1:15" x14ac:dyDescent="0.25">
      <c r="A15">
        <v>5</v>
      </c>
      <c r="B15" s="16">
        <f t="shared" si="2"/>
        <v>610000</v>
      </c>
      <c r="C15">
        <v>8.9</v>
      </c>
      <c r="D15" s="17">
        <f t="shared" si="3"/>
        <v>54290.000000000007</v>
      </c>
      <c r="E15">
        <v>5</v>
      </c>
      <c r="F15" s="17">
        <f t="shared" si="4"/>
        <v>54290.000000000007</v>
      </c>
      <c r="G15">
        <v>0.3</v>
      </c>
      <c r="H15" s="15">
        <f t="shared" si="5"/>
        <v>16287.000000000002</v>
      </c>
      <c r="I15" s="20">
        <v>0.621</v>
      </c>
      <c r="J15" s="17">
        <f t="shared" si="6"/>
        <v>10114.227000000001</v>
      </c>
    </row>
    <row r="16" spans="1:15" x14ac:dyDescent="0.25">
      <c r="A16">
        <v>6</v>
      </c>
      <c r="B16" s="16">
        <f t="shared" si="2"/>
        <v>610000</v>
      </c>
      <c r="C16">
        <v>8.9</v>
      </c>
      <c r="D16" s="17">
        <f t="shared" si="3"/>
        <v>54290.000000000007</v>
      </c>
      <c r="E16">
        <v>6</v>
      </c>
      <c r="F16" s="17">
        <f t="shared" si="4"/>
        <v>54290.000000000007</v>
      </c>
      <c r="G16">
        <v>0.3</v>
      </c>
      <c r="H16" s="15">
        <f t="shared" si="5"/>
        <v>16287.000000000002</v>
      </c>
      <c r="I16" s="20">
        <v>0.56399999999999995</v>
      </c>
      <c r="J16" s="17">
        <f t="shared" si="6"/>
        <v>9185.8680000000004</v>
      </c>
    </row>
    <row r="17" spans="1:11" x14ac:dyDescent="0.25">
      <c r="A17">
        <v>7</v>
      </c>
      <c r="B17" s="16">
        <f t="shared" si="2"/>
        <v>610000</v>
      </c>
      <c r="C17">
        <v>8.9</v>
      </c>
      <c r="D17" s="17">
        <f t="shared" si="3"/>
        <v>54290.000000000007</v>
      </c>
      <c r="E17">
        <v>7</v>
      </c>
      <c r="F17" s="17">
        <f t="shared" si="4"/>
        <v>54290.000000000007</v>
      </c>
      <c r="G17">
        <v>0.3</v>
      </c>
      <c r="H17" s="15">
        <f t="shared" si="5"/>
        <v>16287.000000000002</v>
      </c>
      <c r="I17" s="20">
        <v>0.51300000000000001</v>
      </c>
      <c r="J17" s="17">
        <f t="shared" si="6"/>
        <v>8355.2310000000016</v>
      </c>
    </row>
    <row r="18" spans="1:11" x14ac:dyDescent="0.25">
      <c r="A18">
        <v>8</v>
      </c>
      <c r="B18" s="16">
        <f t="shared" si="2"/>
        <v>610000</v>
      </c>
      <c r="C18">
        <v>4.5</v>
      </c>
      <c r="D18" s="17">
        <f t="shared" si="3"/>
        <v>27450</v>
      </c>
      <c r="E18">
        <v>8</v>
      </c>
      <c r="F18" s="17">
        <f t="shared" si="4"/>
        <v>27450</v>
      </c>
      <c r="G18">
        <v>0.3</v>
      </c>
      <c r="H18" s="15">
        <f t="shared" si="5"/>
        <v>8235</v>
      </c>
      <c r="I18" s="20">
        <v>0.46700000000000003</v>
      </c>
      <c r="J18" s="17">
        <f t="shared" si="6"/>
        <v>3845.7450000000003</v>
      </c>
    </row>
    <row r="19" spans="1:11" ht="21" customHeight="1" x14ac:dyDescent="0.25">
      <c r="A19" s="91" t="s">
        <v>28</v>
      </c>
      <c r="B19" s="91"/>
      <c r="C19" s="91"/>
      <c r="D19" s="91"/>
      <c r="E19">
        <v>9</v>
      </c>
      <c r="F19" s="17">
        <v>-35000</v>
      </c>
      <c r="G19">
        <f>(1-0.3)</f>
        <v>0.7</v>
      </c>
      <c r="H19" s="17">
        <f xml:space="preserve"> IF(G19=0,F19,F19*G19)</f>
        <v>-24500</v>
      </c>
      <c r="I19" s="20">
        <v>0.42399999999999999</v>
      </c>
      <c r="J19" s="17">
        <f t="shared" si="6"/>
        <v>-10388</v>
      </c>
    </row>
    <row r="20" spans="1:11" x14ac:dyDescent="0.25">
      <c r="A20" s="91" t="s">
        <v>29</v>
      </c>
      <c r="B20" s="91"/>
      <c r="C20" s="91"/>
      <c r="D20" s="91"/>
      <c r="E20">
        <v>15</v>
      </c>
      <c r="F20" s="17">
        <v>1800</v>
      </c>
      <c r="G20">
        <v>0</v>
      </c>
      <c r="H20" s="17">
        <f t="shared" ref="H20:H21" si="7" xml:space="preserve"> IF(G20=0,F20,F20*G20)</f>
        <v>1800</v>
      </c>
      <c r="I20" s="20">
        <v>0.23899999999999999</v>
      </c>
      <c r="J20" s="17">
        <f t="shared" si="6"/>
        <v>430.2</v>
      </c>
    </row>
    <row r="21" spans="1:11" x14ac:dyDescent="0.25">
      <c r="A21" s="91" t="s">
        <v>30</v>
      </c>
      <c r="B21" s="91"/>
      <c r="C21" s="91"/>
      <c r="D21" s="91"/>
      <c r="E21">
        <v>15</v>
      </c>
      <c r="F21" s="17">
        <v>50000</v>
      </c>
      <c r="G21">
        <f>(1-0.3)</f>
        <v>0.7</v>
      </c>
      <c r="H21" s="17">
        <f t="shared" si="7"/>
        <v>35000</v>
      </c>
      <c r="I21" s="20">
        <v>0.23899999999999999</v>
      </c>
      <c r="J21" s="17">
        <f t="shared" si="6"/>
        <v>8365</v>
      </c>
      <c r="K21" s="15">
        <f>SUM(J11:J21)</f>
        <v>130404.00199999999</v>
      </c>
    </row>
    <row r="22" spans="1:11" x14ac:dyDescent="0.25">
      <c r="A22" s="91" t="s">
        <v>31</v>
      </c>
      <c r="B22" s="91"/>
      <c r="C22" s="91"/>
      <c r="D22" s="91"/>
      <c r="F22" s="17"/>
      <c r="J22" s="17">
        <f>SUM($J$4:$J$7)-SUM($J$11:$J$21)</f>
        <v>-200495.00199999998</v>
      </c>
      <c r="K22" s="15">
        <f>K8+K21</f>
        <v>60313.001999999993</v>
      </c>
    </row>
  </sheetData>
  <mergeCells count="4">
    <mergeCell ref="A19:D19"/>
    <mergeCell ref="A20:D20"/>
    <mergeCell ref="A21:D21"/>
    <mergeCell ref="A22:D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4C25A-1833-4C7F-9B55-3BF8EBB44FB4}">
  <dimension ref="B1:Q28"/>
  <sheetViews>
    <sheetView workbookViewId="0">
      <selection activeCell="E6" sqref="E6"/>
    </sheetView>
  </sheetViews>
  <sheetFormatPr defaultRowHeight="15" x14ac:dyDescent="0.25"/>
  <cols>
    <col min="1" max="1" width="26.42578125" customWidth="1"/>
    <col min="4" max="4" width="28.5703125" customWidth="1"/>
    <col min="5" max="6" width="18.5703125" customWidth="1"/>
    <col min="7" max="7" width="10.85546875" customWidth="1"/>
    <col min="8" max="8" width="6.5703125" customWidth="1"/>
    <col min="9" max="9" width="10.7109375" customWidth="1"/>
    <col min="11" max="11" width="13.28515625" customWidth="1"/>
    <col min="12" max="12" width="12.85546875" customWidth="1"/>
    <col min="14" max="14" width="16.7109375" customWidth="1"/>
  </cols>
  <sheetData>
    <row r="1" spans="2:17" ht="15.75" thickBot="1" x14ac:dyDescent="0.3"/>
    <row r="2" spans="2:17" ht="16.5" thickBot="1" x14ac:dyDescent="0.3">
      <c r="B2" s="16">
        <v>50000</v>
      </c>
      <c r="I2" s="92" t="s">
        <v>108</v>
      </c>
      <c r="J2" s="93"/>
      <c r="K2" s="93"/>
      <c r="L2" s="94"/>
    </row>
    <row r="3" spans="2:17" ht="18.75" x14ac:dyDescent="0.3">
      <c r="B3" s="5">
        <f>1/COUNT($H$4:$H$8)</f>
        <v>0.2</v>
      </c>
      <c r="D3" s="24" t="s">
        <v>104</v>
      </c>
      <c r="E3" s="25">
        <v>500000</v>
      </c>
      <c r="F3" s="25"/>
      <c r="G3" s="16" t="s">
        <v>115</v>
      </c>
      <c r="H3" t="s">
        <v>14</v>
      </c>
      <c r="I3" t="s">
        <v>114</v>
      </c>
      <c r="J3" t="s">
        <v>100</v>
      </c>
      <c r="K3" t="s">
        <v>99</v>
      </c>
      <c r="L3" t="s">
        <v>105</v>
      </c>
    </row>
    <row r="4" spans="2:17" ht="18.75" x14ac:dyDescent="0.3">
      <c r="D4" s="24" t="s">
        <v>107</v>
      </c>
      <c r="E4" s="25">
        <v>50000</v>
      </c>
      <c r="F4" s="25"/>
      <c r="G4" s="26">
        <v>20000</v>
      </c>
      <c r="H4">
        <v>1</v>
      </c>
      <c r="I4" s="7">
        <f>$E$5/$G$9</f>
        <v>4.5</v>
      </c>
      <c r="J4" s="10">
        <f>1/5</f>
        <v>0.2</v>
      </c>
      <c r="K4" s="10">
        <f>2*J4</f>
        <v>0.4</v>
      </c>
      <c r="L4" s="23">
        <f>5/15</f>
        <v>0.33333333333333331</v>
      </c>
    </row>
    <row r="5" spans="2:17" ht="18.75" x14ac:dyDescent="0.3">
      <c r="D5" s="24" t="s">
        <v>112</v>
      </c>
      <c r="E5" s="25">
        <f>E3-E4</f>
        <v>450000</v>
      </c>
      <c r="G5" s="26">
        <v>25000</v>
      </c>
      <c r="H5">
        <v>2</v>
      </c>
      <c r="I5" s="7">
        <f t="shared" ref="I5:I8" si="0">$E$5/$G$9</f>
        <v>4.5</v>
      </c>
      <c r="J5" s="10">
        <f t="shared" ref="J5:J8" si="1">1/5</f>
        <v>0.2</v>
      </c>
      <c r="K5" s="10">
        <f t="shared" ref="K5:K8" si="2">2*J5</f>
        <v>0.4</v>
      </c>
      <c r="L5" s="23">
        <f>4/15</f>
        <v>0.26666666666666666</v>
      </c>
    </row>
    <row r="6" spans="2:17" x14ac:dyDescent="0.25">
      <c r="G6" s="26">
        <v>15000</v>
      </c>
      <c r="H6">
        <v>3</v>
      </c>
      <c r="I6" s="7">
        <f t="shared" si="0"/>
        <v>4.5</v>
      </c>
      <c r="J6" s="10">
        <f t="shared" si="1"/>
        <v>0.2</v>
      </c>
      <c r="K6" s="10">
        <f t="shared" si="2"/>
        <v>0.4</v>
      </c>
      <c r="L6" s="23">
        <f>3/15</f>
        <v>0.2</v>
      </c>
    </row>
    <row r="7" spans="2:17" x14ac:dyDescent="0.25">
      <c r="G7" s="26">
        <v>30000</v>
      </c>
      <c r="H7">
        <v>4</v>
      </c>
      <c r="I7" s="7">
        <f t="shared" si="0"/>
        <v>4.5</v>
      </c>
      <c r="J7" s="10">
        <f t="shared" si="1"/>
        <v>0.2</v>
      </c>
      <c r="K7" s="10">
        <f t="shared" si="2"/>
        <v>0.4</v>
      </c>
      <c r="L7" s="23">
        <f>2/15</f>
        <v>0.13333333333333333</v>
      </c>
    </row>
    <row r="8" spans="2:17" x14ac:dyDescent="0.25">
      <c r="D8" t="s">
        <v>101</v>
      </c>
      <c r="G8" s="26">
        <v>10000</v>
      </c>
      <c r="H8">
        <v>5</v>
      </c>
      <c r="I8" s="7">
        <f t="shared" si="0"/>
        <v>4.5</v>
      </c>
      <c r="J8" s="10">
        <f t="shared" si="1"/>
        <v>0.2</v>
      </c>
      <c r="K8" s="10">
        <f t="shared" si="2"/>
        <v>0.4</v>
      </c>
      <c r="L8" s="23">
        <f>1/15</f>
        <v>6.6666666666666666E-2</v>
      </c>
      <c r="Q8">
        <f>5*(5+1)/2</f>
        <v>15</v>
      </c>
    </row>
    <row r="9" spans="2:17" x14ac:dyDescent="0.25">
      <c r="D9" t="s">
        <v>102</v>
      </c>
      <c r="F9" t="s">
        <v>116</v>
      </c>
      <c r="G9" s="27">
        <f>SUM(G4:G8)</f>
        <v>100000</v>
      </c>
      <c r="J9" s="17"/>
    </row>
    <row r="10" spans="2:17" ht="15.75" thickBot="1" x14ac:dyDescent="0.3">
      <c r="D10" t="s">
        <v>103</v>
      </c>
    </row>
    <row r="11" spans="2:17" ht="16.5" thickBot="1" x14ac:dyDescent="0.3">
      <c r="D11" t="s">
        <v>106</v>
      </c>
      <c r="I11" s="92" t="s">
        <v>110</v>
      </c>
      <c r="J11" s="93"/>
      <c r="K11" s="93"/>
      <c r="L11" s="94"/>
    </row>
    <row r="12" spans="2:17" ht="29.25" customHeight="1" x14ac:dyDescent="0.25">
      <c r="D12" t="s">
        <v>113</v>
      </c>
      <c r="H12" t="s">
        <v>14</v>
      </c>
      <c r="I12" t="s">
        <v>114</v>
      </c>
      <c r="J12" t="s">
        <v>100</v>
      </c>
      <c r="K12" t="s">
        <v>99</v>
      </c>
      <c r="L12" t="s">
        <v>105</v>
      </c>
      <c r="N12" s="1" t="s">
        <v>111</v>
      </c>
    </row>
    <row r="13" spans="2:17" x14ac:dyDescent="0.25">
      <c r="H13">
        <v>1</v>
      </c>
      <c r="I13" s="16">
        <f>$G4*$I4</f>
        <v>90000</v>
      </c>
      <c r="J13" s="17">
        <f>($E$3 - $E$4)/5</f>
        <v>90000</v>
      </c>
      <c r="K13" s="17">
        <f>$N13*$K4</f>
        <v>200000</v>
      </c>
      <c r="L13" s="17">
        <f>($E$3 - $E$4)*$L4</f>
        <v>150000</v>
      </c>
      <c r="N13" s="17">
        <f>$E$3</f>
        <v>500000</v>
      </c>
    </row>
    <row r="14" spans="2:17" x14ac:dyDescent="0.25">
      <c r="H14">
        <v>2</v>
      </c>
      <c r="I14" s="16">
        <f t="shared" ref="I14:I17" si="3">$G5*$I5</f>
        <v>112500</v>
      </c>
      <c r="J14" s="17">
        <f t="shared" ref="J14:J17" si="4">($E$3 - $E$4)/5</f>
        <v>90000</v>
      </c>
      <c r="K14" s="17">
        <f t="shared" ref="K14:K17" si="5">$N14*$K5</f>
        <v>120000</v>
      </c>
      <c r="L14" s="17">
        <f>($E$3 - $E$4)*$L5</f>
        <v>120000</v>
      </c>
      <c r="N14" s="17">
        <f>N13-K13</f>
        <v>300000</v>
      </c>
    </row>
    <row r="15" spans="2:17" x14ac:dyDescent="0.25">
      <c r="H15">
        <v>3</v>
      </c>
      <c r="I15" s="16">
        <f t="shared" si="3"/>
        <v>67500</v>
      </c>
      <c r="J15" s="17">
        <f t="shared" si="4"/>
        <v>90000</v>
      </c>
      <c r="K15" s="17">
        <f t="shared" si="5"/>
        <v>72000</v>
      </c>
      <c r="L15" s="17">
        <f>($E$3 - $E$4)*$L6</f>
        <v>90000</v>
      </c>
      <c r="N15" s="17">
        <f t="shared" ref="N15:N17" si="6">N14-K14</f>
        <v>180000</v>
      </c>
    </row>
    <row r="16" spans="2:17" x14ac:dyDescent="0.25">
      <c r="H16">
        <v>4</v>
      </c>
      <c r="I16" s="16">
        <f t="shared" si="3"/>
        <v>135000</v>
      </c>
      <c r="J16" s="17">
        <f t="shared" si="4"/>
        <v>90000</v>
      </c>
      <c r="K16" s="17">
        <f t="shared" si="5"/>
        <v>43200</v>
      </c>
      <c r="L16" s="17">
        <f>($E$3 - $E$4)*$L7</f>
        <v>60000</v>
      </c>
      <c r="N16" s="17">
        <f t="shared" si="6"/>
        <v>108000</v>
      </c>
    </row>
    <row r="17" spans="8:16" x14ac:dyDescent="0.25">
      <c r="H17">
        <v>5</v>
      </c>
      <c r="I17" s="16">
        <f t="shared" si="3"/>
        <v>45000</v>
      </c>
      <c r="J17" s="17">
        <f t="shared" si="4"/>
        <v>90000</v>
      </c>
      <c r="K17" s="17">
        <f t="shared" si="5"/>
        <v>25920</v>
      </c>
      <c r="L17" s="17">
        <f>($E$3 - $E$4)*$L8</f>
        <v>30000</v>
      </c>
      <c r="N17" s="17">
        <f t="shared" si="6"/>
        <v>64800</v>
      </c>
    </row>
    <row r="18" spans="8:16" x14ac:dyDescent="0.25">
      <c r="K18" s="17">
        <f>SUM(K13:K17)</f>
        <v>461120</v>
      </c>
    </row>
    <row r="19" spans="8:16" x14ac:dyDescent="0.25">
      <c r="K19" s="17">
        <f>(N17-K17) -E4</f>
        <v>-11120</v>
      </c>
      <c r="P19" t="s">
        <v>109</v>
      </c>
    </row>
    <row r="21" spans="8:16" x14ac:dyDescent="0.25">
      <c r="K21" s="17">
        <v>30800</v>
      </c>
    </row>
    <row r="22" spans="8:16" x14ac:dyDescent="0.25">
      <c r="K22">
        <v>18480</v>
      </c>
    </row>
    <row r="23" spans="8:16" x14ac:dyDescent="0.25">
      <c r="K23">
        <v>11088</v>
      </c>
    </row>
    <row r="24" spans="8:16" x14ac:dyDescent="0.25">
      <c r="K24" s="17">
        <v>6652.8</v>
      </c>
    </row>
    <row r="25" spans="8:16" x14ac:dyDescent="0.25">
      <c r="K25" s="17">
        <v>3991.6800000000003</v>
      </c>
    </row>
    <row r="26" spans="8:16" x14ac:dyDescent="0.25">
      <c r="I26" s="17">
        <f>E5-K26</f>
        <v>378987.52000000002</v>
      </c>
      <c r="K26" s="17">
        <f>SUM(K21:K25)</f>
        <v>71012.48000000001</v>
      </c>
    </row>
    <row r="27" spans="8:16" x14ac:dyDescent="0.25">
      <c r="K27" s="17"/>
    </row>
    <row r="28" spans="8:16" x14ac:dyDescent="0.25">
      <c r="K28" s="17"/>
    </row>
  </sheetData>
  <mergeCells count="2">
    <mergeCell ref="I2:L2"/>
    <mergeCell ref="I11:L11"/>
  </mergeCells>
  <phoneticPr fontId="4"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CE27-5AC2-47C3-A006-E6A3C22DEF3C}">
  <dimension ref="C2:C15"/>
  <sheetViews>
    <sheetView showGridLines="0" tabSelected="1" zoomScale="110" zoomScaleNormal="110" workbookViewId="0">
      <selection activeCell="F7" sqref="F7"/>
    </sheetView>
  </sheetViews>
  <sheetFormatPr defaultRowHeight="15" x14ac:dyDescent="0.25"/>
  <cols>
    <col min="3" max="3" width="144.42578125" customWidth="1"/>
    <col min="8" max="8" width="9.7109375" customWidth="1"/>
  </cols>
  <sheetData>
    <row r="2" spans="3:3" ht="28.5" x14ac:dyDescent="0.45">
      <c r="C2" s="55" t="s">
        <v>143</v>
      </c>
    </row>
    <row r="3" spans="3:3" ht="143.25" customHeight="1" x14ac:dyDescent="0.25">
      <c r="C3" s="50" t="s">
        <v>165</v>
      </c>
    </row>
    <row r="4" spans="3:3" ht="21" x14ac:dyDescent="0.25">
      <c r="C4" s="51"/>
    </row>
    <row r="5" spans="3:3" ht="21" x14ac:dyDescent="0.25">
      <c r="C5" s="52" t="s">
        <v>140</v>
      </c>
    </row>
    <row r="6" spans="3:3" ht="21" x14ac:dyDescent="0.25">
      <c r="C6" s="52" t="s">
        <v>141</v>
      </c>
    </row>
    <row r="7" spans="3:3" ht="21" x14ac:dyDescent="0.25">
      <c r="C7" s="52" t="s">
        <v>142</v>
      </c>
    </row>
    <row r="8" spans="3:3" ht="21" x14ac:dyDescent="0.25">
      <c r="C8" s="52" t="s">
        <v>147</v>
      </c>
    </row>
    <row r="9" spans="3:3" ht="21" x14ac:dyDescent="0.25">
      <c r="C9" s="52"/>
    </row>
    <row r="10" spans="3:3" ht="21" x14ac:dyDescent="0.25">
      <c r="C10" s="52"/>
    </row>
    <row r="11" spans="3:3" ht="21" x14ac:dyDescent="0.25">
      <c r="C11" s="53" t="s">
        <v>145</v>
      </c>
    </row>
    <row r="12" spans="3:3" ht="21" x14ac:dyDescent="0.25">
      <c r="C12" s="51"/>
    </row>
    <row r="13" spans="3:3" ht="93.75" x14ac:dyDescent="0.25">
      <c r="C13" s="54" t="s">
        <v>144</v>
      </c>
    </row>
    <row r="14" spans="3:3" ht="21" x14ac:dyDescent="0.25">
      <c r="C14" s="52"/>
    </row>
    <row r="15" spans="3:3" ht="72.75" x14ac:dyDescent="0.25">
      <c r="C15" s="54" t="s">
        <v>148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6FA04-91BE-47A8-9CBA-D61A4EC71ECD}">
  <dimension ref="A1:I20"/>
  <sheetViews>
    <sheetView zoomScale="120" zoomScaleNormal="120" workbookViewId="0">
      <selection activeCell="I3" sqref="I3"/>
    </sheetView>
  </sheetViews>
  <sheetFormatPr defaultRowHeight="15" x14ac:dyDescent="0.25"/>
  <cols>
    <col min="1" max="1" width="26.42578125" customWidth="1"/>
    <col min="2" max="2" width="17.140625" customWidth="1"/>
    <col min="5" max="5" width="20.7109375" customWidth="1"/>
    <col min="6" max="6" width="20.85546875" customWidth="1"/>
    <col min="7" max="7" width="19.7109375" customWidth="1"/>
    <col min="8" max="8" width="16.7109375" customWidth="1"/>
    <col min="9" max="9" width="13.140625" bestFit="1" customWidth="1"/>
  </cols>
  <sheetData>
    <row r="1" spans="1:9" ht="15.75" thickBot="1" x14ac:dyDescent="0.3">
      <c r="C1" s="23"/>
      <c r="D1" s="23"/>
      <c r="E1" s="23"/>
      <c r="F1" s="23"/>
      <c r="G1" s="23"/>
      <c r="H1" s="23"/>
    </row>
    <row r="2" spans="1:9" ht="47.25" customHeight="1" thickBot="1" x14ac:dyDescent="0.35">
      <c r="B2" s="76" t="s">
        <v>14</v>
      </c>
      <c r="C2" s="64"/>
      <c r="D2" s="64"/>
      <c r="E2" s="74" t="s">
        <v>120</v>
      </c>
      <c r="F2" s="75" t="s">
        <v>123</v>
      </c>
      <c r="G2" s="64"/>
      <c r="H2" s="23"/>
    </row>
    <row r="3" spans="1:9" ht="18.75" x14ac:dyDescent="0.3">
      <c r="B3" s="24">
        <v>1</v>
      </c>
      <c r="C3" s="64"/>
      <c r="D3" s="64"/>
      <c r="E3" s="76">
        <f>SLN($B$14,$B$15,COUNT($B$3:$B$7))</f>
        <v>195000</v>
      </c>
      <c r="F3" s="78">
        <f>$E$3</f>
        <v>195000</v>
      </c>
      <c r="G3" s="83"/>
      <c r="H3" s="23"/>
      <c r="I3" s="15"/>
    </row>
    <row r="4" spans="1:9" ht="18.75" x14ac:dyDescent="0.3">
      <c r="B4" s="24">
        <v>2</v>
      </c>
      <c r="C4" s="66"/>
      <c r="D4" s="66"/>
      <c r="E4" s="76">
        <f t="shared" ref="E4:E7" si="0">SLN($B$14,$B$15,COUNT($B$3:$B$7))</f>
        <v>195000</v>
      </c>
      <c r="F4" s="78">
        <f>F3+E4</f>
        <v>390000</v>
      </c>
      <c r="G4" s="65"/>
    </row>
    <row r="5" spans="1:9" ht="18.75" x14ac:dyDescent="0.3">
      <c r="B5" s="24">
        <v>3</v>
      </c>
      <c r="C5" s="66"/>
      <c r="D5" s="66"/>
      <c r="E5" s="76">
        <f t="shared" si="0"/>
        <v>195000</v>
      </c>
      <c r="F5" s="78">
        <f t="shared" ref="F5:F7" si="1">F4+E5</f>
        <v>585000</v>
      </c>
      <c r="G5" s="65"/>
    </row>
    <row r="6" spans="1:9" ht="18.75" x14ac:dyDescent="0.3">
      <c r="B6" s="24">
        <v>4</v>
      </c>
      <c r="C6" s="66"/>
      <c r="D6" s="66"/>
      <c r="E6" s="76">
        <f t="shared" si="0"/>
        <v>195000</v>
      </c>
      <c r="F6" s="78">
        <f t="shared" si="1"/>
        <v>780000</v>
      </c>
      <c r="G6" s="65"/>
    </row>
    <row r="7" spans="1:9" ht="18.75" x14ac:dyDescent="0.3">
      <c r="B7" s="24">
        <v>5</v>
      </c>
      <c r="C7" s="66"/>
      <c r="D7" s="66"/>
      <c r="E7" s="76">
        <f t="shared" si="0"/>
        <v>195000</v>
      </c>
      <c r="F7" s="78">
        <f t="shared" si="1"/>
        <v>975000</v>
      </c>
      <c r="G7" s="65"/>
    </row>
    <row r="8" spans="1:9" x14ac:dyDescent="0.25">
      <c r="C8" s="10"/>
      <c r="D8" s="10"/>
      <c r="E8" s="10"/>
      <c r="F8" s="23"/>
    </row>
    <row r="9" spans="1:9" ht="15.75" thickBot="1" x14ac:dyDescent="0.3">
      <c r="C9" s="17"/>
    </row>
    <row r="10" spans="1:9" ht="21.75" thickBot="1" x14ac:dyDescent="0.4">
      <c r="A10" s="95" t="s">
        <v>152</v>
      </c>
      <c r="B10" s="96"/>
    </row>
    <row r="11" spans="1:9" ht="18.75" x14ac:dyDescent="0.3">
      <c r="A11" s="29" t="s">
        <v>104</v>
      </c>
      <c r="B11" s="30">
        <v>1073000</v>
      </c>
    </row>
    <row r="12" spans="1:9" ht="18.75" x14ac:dyDescent="0.3">
      <c r="A12" s="29" t="s">
        <v>124</v>
      </c>
      <c r="B12" s="30">
        <v>15000</v>
      </c>
    </row>
    <row r="13" spans="1:9" ht="18.75" x14ac:dyDescent="0.3">
      <c r="A13" s="29" t="s">
        <v>125</v>
      </c>
      <c r="B13" s="30">
        <v>12000</v>
      </c>
    </row>
    <row r="14" spans="1:9" ht="18.75" x14ac:dyDescent="0.3">
      <c r="A14" s="29" t="s">
        <v>126</v>
      </c>
      <c r="B14" s="30">
        <f>SUM(B11:B13)</f>
        <v>1100000</v>
      </c>
    </row>
    <row r="15" spans="1:9" ht="29.25" customHeight="1" x14ac:dyDescent="0.3">
      <c r="A15" s="29" t="s">
        <v>107</v>
      </c>
      <c r="B15" s="31">
        <v>125000</v>
      </c>
    </row>
    <row r="16" spans="1:9" ht="18.75" x14ac:dyDescent="0.3">
      <c r="A16" s="29" t="s">
        <v>112</v>
      </c>
      <c r="B16" s="30">
        <f>B14-B15</f>
        <v>975000</v>
      </c>
      <c r="C16" s="17"/>
      <c r="E16" s="17"/>
      <c r="F16" s="17"/>
      <c r="H16" s="17"/>
    </row>
    <row r="17" spans="3:8" x14ac:dyDescent="0.25">
      <c r="C17" s="17"/>
      <c r="E17" s="17"/>
      <c r="F17" s="17"/>
      <c r="H17" s="17"/>
    </row>
    <row r="18" spans="3:8" x14ac:dyDescent="0.25">
      <c r="C18" s="17"/>
      <c r="E18" s="17"/>
      <c r="F18" s="17"/>
      <c r="H18" s="17"/>
    </row>
    <row r="19" spans="3:8" x14ac:dyDescent="0.25">
      <c r="C19" s="17"/>
      <c r="E19" s="17"/>
      <c r="F19" s="17"/>
      <c r="H19" s="17"/>
    </row>
    <row r="20" spans="3:8" x14ac:dyDescent="0.25">
      <c r="C20" s="17"/>
      <c r="E20" s="17"/>
      <c r="F20" s="17"/>
      <c r="H20" s="17"/>
    </row>
  </sheetData>
  <mergeCells count="1">
    <mergeCell ref="A10:B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1ECB1-7AC2-4C7D-9F17-0991854B6E76}">
  <dimension ref="A1:I17"/>
  <sheetViews>
    <sheetView zoomScale="120" zoomScaleNormal="120" workbookViewId="0">
      <selection activeCell="I9" sqref="I9"/>
    </sheetView>
  </sheetViews>
  <sheetFormatPr defaultRowHeight="15" x14ac:dyDescent="0.25"/>
  <cols>
    <col min="1" max="1" width="23.85546875" customWidth="1"/>
    <col min="2" max="2" width="24.7109375" customWidth="1"/>
    <col min="3" max="3" width="9.85546875" bestFit="1" customWidth="1"/>
    <col min="4" max="4" width="7.28515625" customWidth="1"/>
    <col min="5" max="5" width="24.5703125" customWidth="1"/>
    <col min="6" max="6" width="19" customWidth="1"/>
    <col min="7" max="7" width="18.7109375" customWidth="1"/>
    <col min="8" max="8" width="12" bestFit="1" customWidth="1"/>
    <col min="9" max="9" width="13.7109375" bestFit="1" customWidth="1"/>
  </cols>
  <sheetData>
    <row r="1" spans="1:9" x14ac:dyDescent="0.25">
      <c r="D1" s="23"/>
      <c r="E1" s="23"/>
      <c r="F1" s="23"/>
      <c r="G1" s="23"/>
    </row>
    <row r="2" spans="1:9" ht="65.25" customHeight="1" x14ac:dyDescent="0.3">
      <c r="B2" s="90" t="s">
        <v>163</v>
      </c>
      <c r="C2" s="76" t="s">
        <v>14</v>
      </c>
      <c r="D2" s="64"/>
      <c r="E2" s="80" t="s">
        <v>127</v>
      </c>
      <c r="F2" s="80" t="s">
        <v>119</v>
      </c>
      <c r="G2" s="90" t="s">
        <v>164</v>
      </c>
    </row>
    <row r="3" spans="1:9" ht="18.75" x14ac:dyDescent="0.3">
      <c r="B3" s="17">
        <f>B14</f>
        <v>1100000</v>
      </c>
      <c r="C3" s="63">
        <v>1</v>
      </c>
      <c r="D3" s="58">
        <v>2022</v>
      </c>
      <c r="E3" s="81">
        <f>DDB($B$14,$B$15,5,$C3,2)</f>
        <v>440000</v>
      </c>
      <c r="F3" s="81">
        <f>$E$3</f>
        <v>440000</v>
      </c>
      <c r="G3" s="88">
        <f>B3-E3</f>
        <v>660000</v>
      </c>
      <c r="H3" s="88"/>
      <c r="I3" s="88"/>
    </row>
    <row r="4" spans="1:9" ht="18.75" x14ac:dyDescent="0.3">
      <c r="B4" s="88">
        <f>G3</f>
        <v>660000</v>
      </c>
      <c r="C4" s="63">
        <v>2</v>
      </c>
      <c r="D4" s="58">
        <v>2023</v>
      </c>
      <c r="E4" s="81">
        <f t="shared" ref="E4:E6" si="0">DDB($B$14,$B$15,5,$C4,2)</f>
        <v>264000</v>
      </c>
      <c r="F4" s="81">
        <f>F3+E4</f>
        <v>704000</v>
      </c>
      <c r="G4" s="88">
        <f t="shared" ref="G4:G7" si="1">B4-E4</f>
        <v>396000</v>
      </c>
      <c r="H4" s="88"/>
      <c r="I4" s="88"/>
    </row>
    <row r="5" spans="1:9" ht="18.75" x14ac:dyDescent="0.3">
      <c r="B5" s="88">
        <f t="shared" ref="B5:B7" si="2">G4</f>
        <v>396000</v>
      </c>
      <c r="C5" s="67">
        <v>3</v>
      </c>
      <c r="D5" s="79">
        <v>2024</v>
      </c>
      <c r="E5" s="89">
        <f t="shared" si="0"/>
        <v>158400</v>
      </c>
      <c r="F5" s="82">
        <f t="shared" ref="F5:F7" si="3">F4+E5</f>
        <v>862400</v>
      </c>
      <c r="G5" s="88">
        <f t="shared" si="1"/>
        <v>237600</v>
      </c>
      <c r="H5" s="88"/>
    </row>
    <row r="6" spans="1:9" ht="18.75" x14ac:dyDescent="0.3">
      <c r="B6" s="88">
        <f t="shared" si="2"/>
        <v>237600</v>
      </c>
      <c r="C6" s="63">
        <v>4</v>
      </c>
      <c r="D6" s="58">
        <v>2025</v>
      </c>
      <c r="E6" s="81">
        <f t="shared" si="0"/>
        <v>95040</v>
      </c>
      <c r="F6" s="81">
        <f t="shared" si="3"/>
        <v>957440</v>
      </c>
      <c r="G6" s="88">
        <f t="shared" si="1"/>
        <v>142560</v>
      </c>
      <c r="H6" s="88"/>
    </row>
    <row r="7" spans="1:9" ht="18.75" x14ac:dyDescent="0.3">
      <c r="B7" s="88">
        <f t="shared" si="2"/>
        <v>142560</v>
      </c>
      <c r="C7" s="63">
        <v>5</v>
      </c>
      <c r="D7" s="58">
        <v>2026</v>
      </c>
      <c r="E7" s="81">
        <f>DDB($B$14,$B$15,5,$C7,2)</f>
        <v>17560</v>
      </c>
      <c r="F7" s="81">
        <f t="shared" si="3"/>
        <v>975000</v>
      </c>
      <c r="G7" s="88">
        <f t="shared" si="1"/>
        <v>125000</v>
      </c>
      <c r="H7" s="88"/>
    </row>
    <row r="8" spans="1:9" x14ac:dyDescent="0.25">
      <c r="D8" s="10"/>
      <c r="E8" s="23"/>
      <c r="H8" s="88"/>
    </row>
    <row r="9" spans="1:9" ht="19.5" thickBot="1" x14ac:dyDescent="0.35">
      <c r="D9" s="17"/>
      <c r="E9" s="81"/>
    </row>
    <row r="10" spans="1:9" ht="21.75" thickBot="1" x14ac:dyDescent="0.4">
      <c r="A10" s="95" t="s">
        <v>155</v>
      </c>
      <c r="B10" s="96"/>
    </row>
    <row r="11" spans="1:9" ht="18.75" x14ac:dyDescent="0.3">
      <c r="A11" s="29" t="s">
        <v>104</v>
      </c>
      <c r="B11" s="30">
        <v>1073000</v>
      </c>
    </row>
    <row r="12" spans="1:9" ht="29.25" customHeight="1" x14ac:dyDescent="0.3">
      <c r="A12" s="29" t="s">
        <v>124</v>
      </c>
      <c r="B12" s="30">
        <v>15000</v>
      </c>
    </row>
    <row r="13" spans="1:9" ht="18.75" x14ac:dyDescent="0.3">
      <c r="A13" s="29" t="s">
        <v>125</v>
      </c>
      <c r="B13" s="30">
        <v>12000</v>
      </c>
      <c r="D13" s="17"/>
      <c r="E13" s="17"/>
      <c r="G13" s="17"/>
    </row>
    <row r="14" spans="1:9" ht="18.75" x14ac:dyDescent="0.3">
      <c r="A14" s="29" t="s">
        <v>126</v>
      </c>
      <c r="B14" s="30">
        <f>SUM(B11:B13)</f>
        <v>1100000</v>
      </c>
      <c r="D14" s="17"/>
      <c r="E14" s="17"/>
      <c r="G14" s="17"/>
    </row>
    <row r="15" spans="1:9" ht="18.75" x14ac:dyDescent="0.3">
      <c r="A15" s="29" t="s">
        <v>107</v>
      </c>
      <c r="B15" s="31">
        <v>125000</v>
      </c>
      <c r="D15" s="17"/>
      <c r="E15" s="17"/>
      <c r="G15" s="17"/>
    </row>
    <row r="16" spans="1:9" ht="18.75" x14ac:dyDescent="0.3">
      <c r="A16" s="29" t="s">
        <v>112</v>
      </c>
      <c r="B16" s="30">
        <f>B14</f>
        <v>1100000</v>
      </c>
      <c r="D16" s="17"/>
      <c r="E16" s="17"/>
      <c r="G16" s="17"/>
    </row>
    <row r="17" spans="4:7" x14ac:dyDescent="0.25">
      <c r="D17" s="17"/>
      <c r="E17" s="17"/>
      <c r="G17" s="17"/>
    </row>
  </sheetData>
  <mergeCells count="1">
    <mergeCell ref="A10:B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8B63C-657C-479F-81BA-6D387C805B48}">
  <dimension ref="A1:G17"/>
  <sheetViews>
    <sheetView zoomScale="120" zoomScaleNormal="120" workbookViewId="0">
      <selection activeCell="G14" sqref="G14"/>
    </sheetView>
  </sheetViews>
  <sheetFormatPr defaultRowHeight="15" x14ac:dyDescent="0.25"/>
  <cols>
    <col min="1" max="1" width="26.42578125" customWidth="1"/>
    <col min="2" max="2" width="18.5703125" customWidth="1"/>
    <col min="4" max="4" width="22.28515625" customWidth="1"/>
    <col min="5" max="5" width="19.28515625" customWidth="1"/>
    <col min="7" max="7" width="18.42578125" customWidth="1"/>
    <col min="8" max="8" width="22.28515625" customWidth="1"/>
  </cols>
  <sheetData>
    <row r="1" spans="1:7" ht="15.75" thickBot="1" x14ac:dyDescent="0.3">
      <c r="C1" s="23"/>
      <c r="D1" s="23"/>
      <c r="E1" s="23"/>
      <c r="F1" s="23"/>
      <c r="G1" s="23"/>
    </row>
    <row r="2" spans="1:7" ht="35.25" customHeight="1" thickBot="1" x14ac:dyDescent="0.35">
      <c r="B2" s="76" t="s">
        <v>14</v>
      </c>
      <c r="C2" s="23"/>
      <c r="D2" s="74" t="s">
        <v>121</v>
      </c>
      <c r="E2" s="75" t="s">
        <v>123</v>
      </c>
      <c r="F2" s="23"/>
    </row>
    <row r="3" spans="1:7" ht="18.75" x14ac:dyDescent="0.3">
      <c r="B3" s="24">
        <v>1</v>
      </c>
      <c r="C3" s="58">
        <v>2022</v>
      </c>
      <c r="D3" s="77">
        <f>SYD($B$14,$B$15,COUNT($B$3:$B$7),$B3)</f>
        <v>325000</v>
      </c>
      <c r="E3" s="78">
        <f>$D$3</f>
        <v>325000</v>
      </c>
      <c r="F3" s="23"/>
      <c r="G3" s="23"/>
    </row>
    <row r="4" spans="1:7" ht="18.75" x14ac:dyDescent="0.3">
      <c r="B4" s="24">
        <v>2</v>
      </c>
      <c r="C4" s="58">
        <v>2023</v>
      </c>
      <c r="D4" s="77">
        <f>SYD($B$14,$B$15,COUNT($B$3:$B$7),$B4)</f>
        <v>260000</v>
      </c>
      <c r="E4" s="78">
        <f>E3+D4</f>
        <v>585000</v>
      </c>
    </row>
    <row r="5" spans="1:7" ht="18.75" x14ac:dyDescent="0.3">
      <c r="B5" s="24">
        <v>3</v>
      </c>
      <c r="C5" s="79">
        <v>2024</v>
      </c>
      <c r="D5" s="77">
        <f t="shared" ref="D5:D7" si="0">SYD($B$14,$B$15,COUNT($B$3:$B$7),$B5)</f>
        <v>195000</v>
      </c>
      <c r="E5" s="78">
        <f t="shared" ref="E5:E7" si="1">E4+D5</f>
        <v>780000</v>
      </c>
    </row>
    <row r="6" spans="1:7" ht="18.75" x14ac:dyDescent="0.3">
      <c r="B6" s="24">
        <v>4</v>
      </c>
      <c r="C6" s="58">
        <v>2025</v>
      </c>
      <c r="D6" s="77">
        <f t="shared" si="0"/>
        <v>130000</v>
      </c>
      <c r="E6" s="78">
        <f t="shared" si="1"/>
        <v>910000</v>
      </c>
    </row>
    <row r="7" spans="1:7" ht="18.75" x14ac:dyDescent="0.3">
      <c r="B7" s="24">
        <v>5</v>
      </c>
      <c r="C7" s="58">
        <v>2026</v>
      </c>
      <c r="D7" s="77">
        <f t="shared" si="0"/>
        <v>65000</v>
      </c>
      <c r="E7" s="78">
        <f t="shared" si="1"/>
        <v>975000</v>
      </c>
    </row>
    <row r="8" spans="1:7" x14ac:dyDescent="0.25">
      <c r="C8" s="10"/>
      <c r="D8" s="10"/>
      <c r="E8" s="23"/>
    </row>
    <row r="9" spans="1:7" ht="15.75" thickBot="1" x14ac:dyDescent="0.3"/>
    <row r="10" spans="1:7" ht="21.75" thickBot="1" x14ac:dyDescent="0.4">
      <c r="A10" s="95" t="s">
        <v>153</v>
      </c>
      <c r="B10" s="96"/>
    </row>
    <row r="11" spans="1:7" ht="18.75" x14ac:dyDescent="0.3">
      <c r="A11" s="29" t="s">
        <v>104</v>
      </c>
      <c r="B11" s="30">
        <v>1073000</v>
      </c>
    </row>
    <row r="12" spans="1:7" ht="29.25" customHeight="1" x14ac:dyDescent="0.3">
      <c r="A12" s="29" t="s">
        <v>124</v>
      </c>
      <c r="B12" s="30">
        <v>15000</v>
      </c>
    </row>
    <row r="13" spans="1:7" ht="18.75" x14ac:dyDescent="0.3">
      <c r="A13" s="29" t="s">
        <v>125</v>
      </c>
      <c r="B13" s="30">
        <v>12000</v>
      </c>
      <c r="D13" s="17"/>
      <c r="E13" s="17"/>
      <c r="G13" s="17"/>
    </row>
    <row r="14" spans="1:7" ht="18.75" x14ac:dyDescent="0.3">
      <c r="A14" s="29" t="s">
        <v>126</v>
      </c>
      <c r="B14" s="30">
        <f>SUM(B11:B13)</f>
        <v>1100000</v>
      </c>
      <c r="D14" s="17"/>
      <c r="E14" s="17"/>
      <c r="G14" s="17"/>
    </row>
    <row r="15" spans="1:7" ht="18.75" x14ac:dyDescent="0.3">
      <c r="A15" s="29" t="s">
        <v>107</v>
      </c>
      <c r="B15" s="31">
        <v>125000</v>
      </c>
      <c r="D15" s="17"/>
      <c r="E15" s="17"/>
      <c r="G15" s="17"/>
    </row>
    <row r="16" spans="1:7" ht="18.75" x14ac:dyDescent="0.3">
      <c r="A16" s="29" t="s">
        <v>112</v>
      </c>
      <c r="B16" s="30">
        <f>B14-B15</f>
        <v>975000</v>
      </c>
      <c r="D16" s="17"/>
      <c r="E16" s="17"/>
      <c r="G16" s="17"/>
    </row>
    <row r="17" spans="4:7" x14ac:dyDescent="0.25">
      <c r="D17" s="17"/>
      <c r="E17" s="17"/>
      <c r="G17" s="17"/>
    </row>
  </sheetData>
  <mergeCells count="1">
    <mergeCell ref="A10:B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4B35-08F4-4867-AFA0-F0605ABBE3FA}">
  <dimension ref="A1:I25"/>
  <sheetViews>
    <sheetView zoomScale="120" zoomScaleNormal="120" workbookViewId="0">
      <selection activeCell="G21" sqref="G21"/>
    </sheetView>
  </sheetViews>
  <sheetFormatPr defaultRowHeight="15" x14ac:dyDescent="0.25"/>
  <cols>
    <col min="1" max="1" width="45.85546875" customWidth="1"/>
    <col min="2" max="2" width="22.140625" customWidth="1"/>
    <col min="3" max="3" width="15.7109375" customWidth="1"/>
    <col min="6" max="6" width="17.85546875" customWidth="1"/>
    <col min="7" max="7" width="21.7109375" customWidth="1"/>
    <col min="9" max="9" width="14.28515625" customWidth="1"/>
    <col min="12" max="12" width="20.28515625" customWidth="1"/>
  </cols>
  <sheetData>
    <row r="1" spans="1:9" x14ac:dyDescent="0.25">
      <c r="D1" s="23"/>
      <c r="E1" s="23"/>
    </row>
    <row r="2" spans="1:9" x14ac:dyDescent="0.25">
      <c r="D2" s="23"/>
      <c r="E2" s="23"/>
    </row>
    <row r="3" spans="1:9" ht="37.5" x14ac:dyDescent="0.3">
      <c r="D3" s="44" t="s">
        <v>14</v>
      </c>
      <c r="F3" s="45" t="s">
        <v>117</v>
      </c>
      <c r="G3" s="46" t="s">
        <v>118</v>
      </c>
      <c r="I3" s="34" t="s">
        <v>122</v>
      </c>
    </row>
    <row r="4" spans="1:9" ht="18.75" x14ac:dyDescent="0.3">
      <c r="D4" s="40">
        <v>1</v>
      </c>
      <c r="E4" s="58">
        <v>2022</v>
      </c>
      <c r="F4" s="41">
        <f>$B$16/$B$24</f>
        <v>19.5</v>
      </c>
      <c r="G4" s="42">
        <f>$F4*$B18</f>
        <v>234000</v>
      </c>
    </row>
    <row r="5" spans="1:9" ht="18.75" x14ac:dyDescent="0.3">
      <c r="D5" s="40">
        <v>2</v>
      </c>
      <c r="E5" s="58">
        <v>2023</v>
      </c>
      <c r="F5" s="41">
        <f t="shared" ref="F5:F8" si="0">$B$16/$B$24</f>
        <v>19.5</v>
      </c>
      <c r="G5" s="42">
        <f>$F5*$B19</f>
        <v>214500</v>
      </c>
    </row>
    <row r="6" spans="1:9" ht="18.75" x14ac:dyDescent="0.3">
      <c r="D6" s="59">
        <v>3</v>
      </c>
      <c r="E6" s="60">
        <v>2024</v>
      </c>
      <c r="F6" s="61">
        <f t="shared" si="0"/>
        <v>19.5</v>
      </c>
      <c r="G6" s="62">
        <f>$F6*$B20</f>
        <v>195000</v>
      </c>
    </row>
    <row r="7" spans="1:9" ht="19.5" thickBot="1" x14ac:dyDescent="0.35">
      <c r="D7" s="40">
        <v>4</v>
      </c>
      <c r="E7" s="58">
        <v>2025</v>
      </c>
      <c r="F7" s="41">
        <f t="shared" si="0"/>
        <v>19.5</v>
      </c>
      <c r="G7" s="42">
        <f>$F7*$B21</f>
        <v>175500</v>
      </c>
    </row>
    <row r="8" spans="1:9" ht="21.75" thickBot="1" x14ac:dyDescent="0.4">
      <c r="A8" s="95" t="s">
        <v>146</v>
      </c>
      <c r="B8" s="96"/>
      <c r="D8" s="40">
        <v>5</v>
      </c>
      <c r="E8" s="58">
        <v>2026</v>
      </c>
      <c r="F8" s="41">
        <f t="shared" si="0"/>
        <v>19.5</v>
      </c>
      <c r="G8" s="42">
        <f>$F8*$B22</f>
        <v>156000</v>
      </c>
    </row>
    <row r="9" spans="1:9" ht="18.75" x14ac:dyDescent="0.3">
      <c r="D9" s="17"/>
      <c r="E9" s="40"/>
      <c r="F9" s="40"/>
      <c r="G9" s="43">
        <f>SUM(G4:G8)</f>
        <v>975000</v>
      </c>
    </row>
    <row r="11" spans="1:9" ht="18.75" x14ac:dyDescent="0.3">
      <c r="A11" s="29" t="s">
        <v>104</v>
      </c>
      <c r="B11" s="30">
        <v>1073000</v>
      </c>
      <c r="C11" s="17"/>
    </row>
    <row r="12" spans="1:9" ht="18.75" x14ac:dyDescent="0.3">
      <c r="A12" s="29" t="s">
        <v>124</v>
      </c>
      <c r="B12" s="30">
        <v>15000</v>
      </c>
    </row>
    <row r="13" spans="1:9" ht="18.75" x14ac:dyDescent="0.3">
      <c r="A13" s="29" t="s">
        <v>125</v>
      </c>
      <c r="B13" s="30">
        <v>12000</v>
      </c>
      <c r="D13" s="17"/>
    </row>
    <row r="14" spans="1:9" ht="18.75" x14ac:dyDescent="0.3">
      <c r="A14" s="29" t="s">
        <v>126</v>
      </c>
      <c r="B14" s="30">
        <f>SUM(B11:B13)</f>
        <v>1100000</v>
      </c>
      <c r="C14" s="17"/>
      <c r="D14" s="17"/>
    </row>
    <row r="15" spans="1:9" ht="18.75" x14ac:dyDescent="0.3">
      <c r="A15" s="29" t="s">
        <v>107</v>
      </c>
      <c r="B15" s="31">
        <v>125000</v>
      </c>
    </row>
    <row r="16" spans="1:9" ht="18.75" x14ac:dyDescent="0.3">
      <c r="A16" s="29" t="s">
        <v>112</v>
      </c>
      <c r="B16" s="30">
        <f>B14-B15</f>
        <v>975000</v>
      </c>
    </row>
    <row r="17" spans="1:2" ht="18.75" x14ac:dyDescent="0.3">
      <c r="A17" s="29"/>
      <c r="B17" s="30"/>
    </row>
    <row r="18" spans="1:2" ht="18.75" x14ac:dyDescent="0.3">
      <c r="A18" s="32" t="s">
        <v>130</v>
      </c>
      <c r="B18" s="33">
        <v>12000</v>
      </c>
    </row>
    <row r="19" spans="1:2" ht="18.75" x14ac:dyDescent="0.3">
      <c r="A19" s="32" t="s">
        <v>131</v>
      </c>
      <c r="B19" s="33">
        <v>11000</v>
      </c>
    </row>
    <row r="20" spans="1:2" ht="18.75" x14ac:dyDescent="0.3">
      <c r="A20" s="32" t="s">
        <v>132</v>
      </c>
      <c r="B20" s="33">
        <v>10000</v>
      </c>
    </row>
    <row r="21" spans="1:2" ht="18.75" x14ac:dyDescent="0.3">
      <c r="A21" s="32" t="s">
        <v>133</v>
      </c>
      <c r="B21" s="33">
        <v>9000</v>
      </c>
    </row>
    <row r="22" spans="1:2" ht="18.75" x14ac:dyDescent="0.3">
      <c r="A22" s="32" t="s">
        <v>134</v>
      </c>
      <c r="B22" s="33">
        <v>8000</v>
      </c>
    </row>
    <row r="23" spans="1:2" ht="18.75" x14ac:dyDescent="0.3">
      <c r="A23" s="32"/>
    </row>
    <row r="24" spans="1:2" ht="37.5" x14ac:dyDescent="0.3">
      <c r="A24" s="32" t="s">
        <v>135</v>
      </c>
      <c r="B24" s="33">
        <f>SUM(B18:B23)</f>
        <v>50000</v>
      </c>
    </row>
    <row r="25" spans="1:2" ht="18.75" x14ac:dyDescent="0.3">
      <c r="A25" s="32"/>
    </row>
  </sheetData>
  <mergeCells count="1">
    <mergeCell ref="A8:B8"/>
  </mergeCells>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A3821-937C-4650-9E22-B6B89B33519D}">
  <dimension ref="C1:AB26"/>
  <sheetViews>
    <sheetView topLeftCell="N1" zoomScale="130" zoomScaleNormal="130" workbookViewId="0">
      <selection activeCell="P5" sqref="P5:P13"/>
    </sheetView>
  </sheetViews>
  <sheetFormatPr defaultRowHeight="15" x14ac:dyDescent="0.25"/>
  <cols>
    <col min="4" max="4" width="11.42578125" customWidth="1"/>
    <col min="5" max="5" width="13.5703125" customWidth="1"/>
    <col min="21" max="21" width="22" hidden="1" customWidth="1"/>
    <col min="22" max="22" width="17.42578125" hidden="1" customWidth="1"/>
    <col min="23" max="23" width="25.140625" hidden="1" customWidth="1"/>
    <col min="24" max="24" width="20.42578125" hidden="1" customWidth="1"/>
    <col min="25" max="25" width="29" hidden="1" customWidth="1"/>
    <col min="26" max="26" width="0" hidden="1" customWidth="1"/>
    <col min="27" max="27" width="17.85546875" hidden="1" customWidth="1"/>
  </cols>
  <sheetData>
    <row r="1" spans="3:28" ht="33" customHeight="1" x14ac:dyDescent="0.25">
      <c r="D1" s="97" t="s">
        <v>18</v>
      </c>
      <c r="E1" s="97"/>
      <c r="F1" s="97"/>
      <c r="G1" s="97"/>
      <c r="H1" s="97"/>
      <c r="I1" s="97"/>
      <c r="N1" s="97" t="s">
        <v>18</v>
      </c>
      <c r="O1" s="97"/>
      <c r="P1" s="97"/>
      <c r="Q1" s="97"/>
      <c r="R1" s="97"/>
      <c r="S1" s="97"/>
    </row>
    <row r="3" spans="3:28" x14ac:dyDescent="0.25">
      <c r="D3" s="98" t="s">
        <v>19</v>
      </c>
      <c r="E3" s="98"/>
      <c r="F3" s="98"/>
      <c r="G3" s="98"/>
      <c r="H3" s="98"/>
      <c r="I3" s="98"/>
      <c r="N3" s="98" t="s">
        <v>19</v>
      </c>
      <c r="O3" s="98"/>
      <c r="P3" s="98"/>
      <c r="Q3" s="98"/>
      <c r="R3" s="98"/>
      <c r="S3" s="98"/>
    </row>
    <row r="4" spans="3:28" x14ac:dyDescent="0.25">
      <c r="D4" s="2"/>
      <c r="E4" s="2"/>
      <c r="F4" s="2"/>
      <c r="G4" s="2"/>
      <c r="H4" s="2"/>
      <c r="I4" s="2"/>
      <c r="N4" s="2"/>
      <c r="O4" s="2"/>
      <c r="P4" s="2"/>
      <c r="Q4" s="2"/>
      <c r="R4" s="2"/>
      <c r="S4" s="2"/>
    </row>
    <row r="5" spans="3:28" x14ac:dyDescent="0.25">
      <c r="C5" s="2" t="s">
        <v>14</v>
      </c>
      <c r="D5" s="2" t="s">
        <v>20</v>
      </c>
      <c r="E5" s="2" t="s">
        <v>21</v>
      </c>
      <c r="F5" s="2" t="s">
        <v>22</v>
      </c>
      <c r="G5" s="2" t="s">
        <v>23</v>
      </c>
      <c r="H5" s="2" t="s">
        <v>24</v>
      </c>
      <c r="I5" s="2" t="s">
        <v>25</v>
      </c>
      <c r="M5" s="2" t="s">
        <v>14</v>
      </c>
      <c r="N5" s="2" t="s">
        <v>20</v>
      </c>
      <c r="O5" s="2" t="s">
        <v>21</v>
      </c>
      <c r="P5" s="2" t="s">
        <v>22</v>
      </c>
      <c r="Q5" s="2" t="s">
        <v>23</v>
      </c>
      <c r="R5" s="2" t="s">
        <v>24</v>
      </c>
      <c r="S5" s="2" t="s">
        <v>25</v>
      </c>
      <c r="T5" s="5"/>
      <c r="U5" s="5"/>
      <c r="V5" s="5"/>
      <c r="W5" s="5"/>
      <c r="X5" s="5"/>
      <c r="Y5" s="5"/>
      <c r="Z5" s="5"/>
      <c r="AA5" s="5"/>
      <c r="AB5" s="5"/>
    </row>
    <row r="6" spans="3:28" x14ac:dyDescent="0.25">
      <c r="C6" s="2">
        <v>1</v>
      </c>
      <c r="D6">
        <v>33.33</v>
      </c>
      <c r="E6" s="5">
        <v>20</v>
      </c>
      <c r="F6">
        <v>14.29</v>
      </c>
      <c r="G6" s="5">
        <v>10</v>
      </c>
      <c r="H6" s="5">
        <v>5</v>
      </c>
      <c r="I6" s="6">
        <v>3.75</v>
      </c>
      <c r="L6">
        <v>1</v>
      </c>
      <c r="M6" s="2">
        <v>1</v>
      </c>
      <c r="N6">
        <v>0.33329999999999999</v>
      </c>
      <c r="O6">
        <v>0.2</v>
      </c>
      <c r="P6">
        <v>0.1429</v>
      </c>
      <c r="Q6">
        <v>0.1</v>
      </c>
      <c r="R6">
        <v>0.05</v>
      </c>
      <c r="S6">
        <v>3.7499999999999999E-2</v>
      </c>
      <c r="U6" t="str">
        <f>"{{"&amp;$L6&amp;", """&amp;N$5&amp;"""},"&amp;N6&amp;"},"</f>
        <v>{{1, " 3-year"},0.3333},</v>
      </c>
      <c r="V6" t="str">
        <f t="shared" ref="V6:Z6" si="0">"{{"&amp;$L6&amp;", """&amp;O$5&amp;"""},"&amp;O6&amp;"},"</f>
        <v>{{1, "5-year"},0.2},</v>
      </c>
      <c r="W6" t="str">
        <f t="shared" si="0"/>
        <v>{{1, "7-year"},0.1429},</v>
      </c>
      <c r="X6" t="str">
        <f t="shared" si="0"/>
        <v>{{1, "10-year"},0.1},</v>
      </c>
      <c r="Y6" t="str">
        <f t="shared" si="0"/>
        <v>{{1, "15-year"},0.05},</v>
      </c>
      <c r="Z6" t="str">
        <f t="shared" si="0"/>
        <v>{{1, "20-year"},0.0375},</v>
      </c>
    </row>
    <row r="7" spans="3:28" x14ac:dyDescent="0.25">
      <c r="C7" s="2">
        <v>2</v>
      </c>
      <c r="D7">
        <v>44.45</v>
      </c>
      <c r="E7" s="5">
        <v>32</v>
      </c>
      <c r="F7">
        <v>24.49</v>
      </c>
      <c r="G7" s="5">
        <v>18</v>
      </c>
      <c r="H7" s="5">
        <v>9.5</v>
      </c>
      <c r="I7" s="6">
        <v>7.2190000000000003</v>
      </c>
      <c r="L7">
        <v>2</v>
      </c>
      <c r="M7" s="2">
        <v>2</v>
      </c>
      <c r="N7">
        <v>0.44450000000000001</v>
      </c>
      <c r="O7">
        <v>0.32</v>
      </c>
      <c r="P7">
        <v>0.24489999999999998</v>
      </c>
      <c r="Q7">
        <v>0.18</v>
      </c>
      <c r="R7">
        <v>9.5000000000000001E-2</v>
      </c>
      <c r="S7">
        <v>7.2190000000000004E-2</v>
      </c>
      <c r="U7" t="str">
        <f t="shared" ref="U7:U9" si="1">"{{"&amp;$L7&amp;", """&amp;N$5&amp;"""},"&amp;N7&amp;"},"</f>
        <v>{{2, " 3-year"},0.4445},</v>
      </c>
      <c r="V7" t="str">
        <f t="shared" ref="V7:V11" si="2">"{{"&amp;$L7&amp;", """&amp;O$5&amp;"""},"&amp;O7&amp;"},"</f>
        <v>{{2, "5-year"},0.32},</v>
      </c>
      <c r="W7" t="str">
        <f t="shared" ref="W7:W13" si="3">"{{"&amp;$L7&amp;", """&amp;P$5&amp;"""},"&amp;P7&amp;"},"</f>
        <v>{{2, "7-year"},0.2449},</v>
      </c>
      <c r="X7" t="str">
        <f t="shared" ref="X7:X16" si="4">"{{"&amp;$L7&amp;", """&amp;Q$5&amp;"""},"&amp;Q7&amp;"},"</f>
        <v>{{2, "10-year"},0.18},</v>
      </c>
      <c r="Y7" t="str">
        <f t="shared" ref="Y7:Y21" si="5">"{{"&amp;$L7&amp;", """&amp;R$5&amp;"""},"&amp;R7&amp;"},"</f>
        <v>{{2, "15-year"},0.095},</v>
      </c>
      <c r="Z7" t="str">
        <f t="shared" ref="Z7:Z26" si="6">"{{"&amp;$L7&amp;", """&amp;S$5&amp;"""},"&amp;S7&amp;"},"</f>
        <v>{{2, "20-year"},0.07219},</v>
      </c>
    </row>
    <row r="8" spans="3:28" x14ac:dyDescent="0.25">
      <c r="C8" s="2">
        <v>3</v>
      </c>
      <c r="D8">
        <v>14.81</v>
      </c>
      <c r="E8" s="5">
        <v>19.2</v>
      </c>
      <c r="F8">
        <v>17.489999999999998</v>
      </c>
      <c r="G8" s="5">
        <v>14.4</v>
      </c>
      <c r="H8" s="5">
        <v>8.5500000000000007</v>
      </c>
      <c r="I8" s="6">
        <v>6.6769999999999996</v>
      </c>
      <c r="L8">
        <v>3</v>
      </c>
      <c r="M8" s="2">
        <v>3</v>
      </c>
      <c r="N8">
        <v>0.14810000000000001</v>
      </c>
      <c r="O8">
        <v>0.192</v>
      </c>
      <c r="P8">
        <v>0.17489999999999997</v>
      </c>
      <c r="Q8">
        <v>0.14400000000000002</v>
      </c>
      <c r="R8">
        <v>8.5500000000000007E-2</v>
      </c>
      <c r="S8">
        <v>6.6769999999999996E-2</v>
      </c>
      <c r="U8" t="str">
        <f t="shared" si="1"/>
        <v>{{3, " 3-year"},0.1481},</v>
      </c>
      <c r="V8" t="str">
        <f t="shared" si="2"/>
        <v>{{3, "5-year"},0.192},</v>
      </c>
      <c r="W8" t="str">
        <f t="shared" si="3"/>
        <v>{{3, "7-year"},0.1749},</v>
      </c>
      <c r="X8" t="str">
        <f t="shared" si="4"/>
        <v>{{3, "10-year"},0.144},</v>
      </c>
      <c r="Y8" t="str">
        <f t="shared" si="5"/>
        <v>{{3, "15-year"},0.0855},</v>
      </c>
      <c r="Z8" t="str">
        <f t="shared" si="6"/>
        <v>{{3, "20-year"},0.06677},</v>
      </c>
    </row>
    <row r="9" spans="3:28" x14ac:dyDescent="0.25">
      <c r="C9" s="2">
        <v>4</v>
      </c>
      <c r="D9">
        <v>7.41</v>
      </c>
      <c r="E9">
        <v>11.52</v>
      </c>
      <c r="F9">
        <v>12.49</v>
      </c>
      <c r="G9">
        <v>11.52</v>
      </c>
      <c r="H9" s="5">
        <v>7.7</v>
      </c>
      <c r="I9" s="6">
        <v>6.1769999999999996</v>
      </c>
      <c r="L9">
        <v>4</v>
      </c>
      <c r="M9" s="2">
        <v>4</v>
      </c>
      <c r="N9">
        <v>7.4099999999999999E-2</v>
      </c>
      <c r="O9">
        <v>0.1152</v>
      </c>
      <c r="P9">
        <v>0.1249</v>
      </c>
      <c r="Q9">
        <v>0.1152</v>
      </c>
      <c r="R9">
        <v>7.6999999999999999E-2</v>
      </c>
      <c r="S9">
        <v>6.1769999999999999E-2</v>
      </c>
      <c r="U9" t="str">
        <f t="shared" si="1"/>
        <v>{{4, " 3-year"},0.0741},</v>
      </c>
      <c r="V9" t="str">
        <f t="shared" si="2"/>
        <v>{{4, "5-year"},0.1152},</v>
      </c>
      <c r="W9" t="str">
        <f t="shared" si="3"/>
        <v>{{4, "7-year"},0.1249},</v>
      </c>
      <c r="X9" t="str">
        <f t="shared" si="4"/>
        <v>{{4, "10-year"},0.1152},</v>
      </c>
      <c r="Y9" t="str">
        <f t="shared" si="5"/>
        <v>{{4, "15-year"},0.077},</v>
      </c>
      <c r="Z9" t="str">
        <f t="shared" si="6"/>
        <v>{{4, "20-year"},0.06177},</v>
      </c>
    </row>
    <row r="10" spans="3:28" x14ac:dyDescent="0.25">
      <c r="C10" s="2">
        <v>5</v>
      </c>
      <c r="D10" s="2"/>
      <c r="E10">
        <v>11.52</v>
      </c>
      <c r="F10">
        <v>8.93</v>
      </c>
      <c r="G10">
        <v>9.2200000000000006</v>
      </c>
      <c r="H10" s="5">
        <v>6.93</v>
      </c>
      <c r="I10" s="6">
        <v>5.7130000000000001</v>
      </c>
      <c r="L10">
        <v>5</v>
      </c>
      <c r="M10" s="2">
        <v>5</v>
      </c>
      <c r="N10">
        <v>0</v>
      </c>
      <c r="O10">
        <v>0.1152</v>
      </c>
      <c r="P10">
        <v>8.929999999999999E-2</v>
      </c>
      <c r="Q10">
        <v>9.2200000000000004E-2</v>
      </c>
      <c r="R10">
        <v>6.93E-2</v>
      </c>
      <c r="S10">
        <v>5.713E-2</v>
      </c>
      <c r="V10" t="str">
        <f t="shared" si="2"/>
        <v>{{5, "5-year"},0.1152},</v>
      </c>
      <c r="W10" t="str">
        <f t="shared" si="3"/>
        <v>{{5, "7-year"},0.0893},</v>
      </c>
      <c r="X10" t="str">
        <f t="shared" si="4"/>
        <v>{{5, "10-year"},0.0922},</v>
      </c>
      <c r="Y10" t="str">
        <f t="shared" si="5"/>
        <v>{{5, "15-year"},0.0693},</v>
      </c>
      <c r="Z10" t="str">
        <f t="shared" si="6"/>
        <v>{{5, "20-year"},0.05713},</v>
      </c>
    </row>
    <row r="11" spans="3:28" x14ac:dyDescent="0.25">
      <c r="C11" s="2">
        <v>6</v>
      </c>
      <c r="D11" s="2"/>
      <c r="E11">
        <v>5.76</v>
      </c>
      <c r="F11">
        <v>8.92</v>
      </c>
      <c r="G11">
        <v>7.37</v>
      </c>
      <c r="H11" s="5">
        <v>6.23</v>
      </c>
      <c r="I11" s="6">
        <v>5.2850000000000001</v>
      </c>
      <c r="L11">
        <v>6</v>
      </c>
      <c r="M11" s="2">
        <v>6</v>
      </c>
      <c r="N11">
        <v>0</v>
      </c>
      <c r="O11">
        <v>5.7599999999999998E-2</v>
      </c>
      <c r="P11">
        <v>8.9200000000000002E-2</v>
      </c>
      <c r="Q11">
        <v>7.3700000000000002E-2</v>
      </c>
      <c r="R11">
        <v>6.2300000000000001E-2</v>
      </c>
      <c r="S11">
        <v>5.2850000000000001E-2</v>
      </c>
      <c r="V11" t="str">
        <f t="shared" si="2"/>
        <v>{{6, "5-year"},0.0576},</v>
      </c>
      <c r="W11" t="str">
        <f t="shared" si="3"/>
        <v>{{6, "7-year"},0.0892},</v>
      </c>
      <c r="X11" t="str">
        <f t="shared" si="4"/>
        <v>{{6, "10-year"},0.0737},</v>
      </c>
      <c r="Y11" t="str">
        <f t="shared" si="5"/>
        <v>{{6, "15-year"},0.0623},</v>
      </c>
      <c r="Z11" t="str">
        <f t="shared" si="6"/>
        <v>{{6, "20-year"},0.05285},</v>
      </c>
    </row>
    <row r="12" spans="3:28" x14ac:dyDescent="0.25">
      <c r="C12" s="2">
        <v>7</v>
      </c>
      <c r="D12" s="2"/>
      <c r="F12">
        <v>8.93</v>
      </c>
      <c r="G12">
        <v>6.55</v>
      </c>
      <c r="H12" s="5">
        <v>5.9</v>
      </c>
      <c r="I12" s="6">
        <v>4.8879999999999999</v>
      </c>
      <c r="L12">
        <v>7</v>
      </c>
      <c r="M12" s="2">
        <v>7</v>
      </c>
      <c r="N12">
        <v>0</v>
      </c>
      <c r="O12">
        <v>0</v>
      </c>
      <c r="P12">
        <v>8.929999999999999E-2</v>
      </c>
      <c r="Q12">
        <v>6.5500000000000003E-2</v>
      </c>
      <c r="R12">
        <v>5.9000000000000004E-2</v>
      </c>
      <c r="S12">
        <v>4.888E-2</v>
      </c>
      <c r="W12" t="str">
        <f t="shared" si="3"/>
        <v>{{7, "7-year"},0.0893},</v>
      </c>
      <c r="X12" t="str">
        <f t="shared" si="4"/>
        <v>{{7, "10-year"},0.0655},</v>
      </c>
      <c r="Y12" t="str">
        <f t="shared" si="5"/>
        <v>{{7, "15-year"},0.059},</v>
      </c>
      <c r="Z12" t="str">
        <f t="shared" si="6"/>
        <v>{{7, "20-year"},0.04888},</v>
      </c>
    </row>
    <row r="13" spans="3:28" x14ac:dyDescent="0.25">
      <c r="C13" s="2">
        <v>8</v>
      </c>
      <c r="D13" s="2"/>
      <c r="F13">
        <v>4.46</v>
      </c>
      <c r="G13">
        <v>6.55</v>
      </c>
      <c r="H13" s="5">
        <v>5.9</v>
      </c>
      <c r="I13" s="6">
        <v>4.5220000000000002</v>
      </c>
      <c r="L13">
        <v>8</v>
      </c>
      <c r="M13" s="2">
        <v>8</v>
      </c>
      <c r="N13">
        <v>0</v>
      </c>
      <c r="O13">
        <v>0</v>
      </c>
      <c r="P13">
        <v>4.4600000000000001E-2</v>
      </c>
      <c r="Q13">
        <v>6.5500000000000003E-2</v>
      </c>
      <c r="R13">
        <v>5.9000000000000004E-2</v>
      </c>
      <c r="S13">
        <v>4.5220000000000003E-2</v>
      </c>
      <c r="W13" t="str">
        <f t="shared" si="3"/>
        <v>{{8, "7-year"},0.0446},</v>
      </c>
      <c r="X13" t="str">
        <f t="shared" si="4"/>
        <v>{{8, "10-year"},0.0655},</v>
      </c>
      <c r="Y13" t="str">
        <f t="shared" si="5"/>
        <v>{{8, "15-year"},0.059},</v>
      </c>
      <c r="Z13" t="str">
        <f t="shared" si="6"/>
        <v>{{8, "20-year"},0.04522},</v>
      </c>
    </row>
    <row r="14" spans="3:28" x14ac:dyDescent="0.25">
      <c r="C14" s="2">
        <v>9</v>
      </c>
      <c r="D14" s="2"/>
      <c r="G14">
        <v>6.56</v>
      </c>
      <c r="H14" s="5">
        <v>5.91</v>
      </c>
      <c r="I14" s="6">
        <v>4.4619999999999997</v>
      </c>
      <c r="L14">
        <v>9</v>
      </c>
      <c r="M14" s="2">
        <v>9</v>
      </c>
      <c r="N14">
        <v>0</v>
      </c>
      <c r="O14">
        <v>0</v>
      </c>
      <c r="P14">
        <v>0</v>
      </c>
      <c r="Q14">
        <v>6.5599999999999992E-2</v>
      </c>
      <c r="R14">
        <v>5.91E-2</v>
      </c>
      <c r="S14">
        <v>4.462E-2</v>
      </c>
      <c r="X14" t="str">
        <f t="shared" si="4"/>
        <v>{{9, "10-year"},0.0656},</v>
      </c>
      <c r="Y14" t="str">
        <f t="shared" si="5"/>
        <v>{{9, "15-year"},0.0591},</v>
      </c>
      <c r="Z14" t="str">
        <f t="shared" si="6"/>
        <v>{{9, "20-year"},0.04462},</v>
      </c>
    </row>
    <row r="15" spans="3:28" x14ac:dyDescent="0.25">
      <c r="C15" s="2">
        <v>10</v>
      </c>
      <c r="D15" s="2"/>
      <c r="G15">
        <v>6.55</v>
      </c>
      <c r="H15" s="5">
        <v>5.9</v>
      </c>
      <c r="I15" s="6">
        <v>4.4610000000000003</v>
      </c>
      <c r="L15">
        <v>10</v>
      </c>
      <c r="M15" s="2">
        <v>10</v>
      </c>
      <c r="N15">
        <v>0</v>
      </c>
      <c r="O15">
        <v>0</v>
      </c>
      <c r="P15">
        <v>0</v>
      </c>
      <c r="Q15">
        <v>6.5500000000000003E-2</v>
      </c>
      <c r="R15">
        <v>5.9000000000000004E-2</v>
      </c>
      <c r="S15">
        <v>4.4610000000000004E-2</v>
      </c>
      <c r="X15" t="str">
        <f t="shared" si="4"/>
        <v>{{10, "10-year"},0.0655},</v>
      </c>
      <c r="Y15" t="str">
        <f t="shared" si="5"/>
        <v>{{10, "15-year"},0.059},</v>
      </c>
      <c r="Z15" t="str">
        <f t="shared" si="6"/>
        <v>{{10, "20-year"},0.04461},</v>
      </c>
    </row>
    <row r="16" spans="3:28" x14ac:dyDescent="0.25">
      <c r="C16" s="2">
        <v>11</v>
      </c>
      <c r="D16" s="2"/>
      <c r="G16">
        <v>3.28</v>
      </c>
      <c r="H16" s="5">
        <v>5.91</v>
      </c>
      <c r="I16" s="6">
        <v>4.4619999999999997</v>
      </c>
      <c r="L16">
        <v>11</v>
      </c>
      <c r="M16" s="2">
        <v>11</v>
      </c>
      <c r="N16">
        <v>0</v>
      </c>
      <c r="O16">
        <v>0</v>
      </c>
      <c r="P16">
        <v>0</v>
      </c>
      <c r="Q16">
        <v>3.2799999999999996E-2</v>
      </c>
      <c r="R16">
        <v>5.91E-2</v>
      </c>
      <c r="S16">
        <v>4.462E-2</v>
      </c>
      <c r="X16" t="str">
        <f t="shared" si="4"/>
        <v>{{11, "10-year"},0.0328},</v>
      </c>
      <c r="Y16" t="str">
        <f t="shared" si="5"/>
        <v>{{11, "15-year"},0.0591},</v>
      </c>
      <c r="Z16" t="str">
        <f t="shared" si="6"/>
        <v>{{11, "20-year"},0.04462},</v>
      </c>
    </row>
    <row r="17" spans="3:26" x14ac:dyDescent="0.25">
      <c r="C17" s="2">
        <v>12</v>
      </c>
      <c r="D17" s="2"/>
      <c r="H17" s="5">
        <v>5.9</v>
      </c>
      <c r="I17" s="6">
        <v>4.4610000000000003</v>
      </c>
      <c r="L17">
        <v>12</v>
      </c>
      <c r="M17" s="2">
        <v>12</v>
      </c>
      <c r="N17">
        <v>0</v>
      </c>
      <c r="O17">
        <v>0</v>
      </c>
      <c r="P17">
        <v>0</v>
      </c>
      <c r="Q17">
        <v>0</v>
      </c>
      <c r="R17">
        <v>5.9000000000000004E-2</v>
      </c>
      <c r="S17">
        <v>4.4610000000000004E-2</v>
      </c>
      <c r="Y17" t="str">
        <f t="shared" si="5"/>
        <v>{{12, "15-year"},0.059},</v>
      </c>
      <c r="Z17" t="str">
        <f t="shared" si="6"/>
        <v>{{12, "20-year"},0.04461},</v>
      </c>
    </row>
    <row r="18" spans="3:26" x14ac:dyDescent="0.25">
      <c r="C18" s="2">
        <v>13</v>
      </c>
      <c r="D18" s="2"/>
      <c r="H18" s="5">
        <v>5.91</v>
      </c>
      <c r="I18" s="6">
        <v>4.4619999999999997</v>
      </c>
      <c r="L18">
        <v>13</v>
      </c>
      <c r="M18" s="2">
        <v>13</v>
      </c>
      <c r="N18">
        <v>0</v>
      </c>
      <c r="O18">
        <v>0</v>
      </c>
      <c r="P18">
        <v>0</v>
      </c>
      <c r="Q18">
        <v>0</v>
      </c>
      <c r="R18">
        <v>5.91E-2</v>
      </c>
      <c r="S18">
        <v>4.462E-2</v>
      </c>
      <c r="Y18" t="str">
        <f t="shared" si="5"/>
        <v>{{13, "15-year"},0.0591},</v>
      </c>
      <c r="Z18" t="str">
        <f t="shared" si="6"/>
        <v>{{13, "20-year"},0.04462},</v>
      </c>
    </row>
    <row r="19" spans="3:26" x14ac:dyDescent="0.25">
      <c r="C19" s="2">
        <v>14</v>
      </c>
      <c r="D19" s="2"/>
      <c r="H19" s="5">
        <v>5.9</v>
      </c>
      <c r="I19" s="6">
        <v>4.4610000000000003</v>
      </c>
      <c r="L19">
        <v>14</v>
      </c>
      <c r="M19" s="2">
        <v>14</v>
      </c>
      <c r="N19">
        <v>0</v>
      </c>
      <c r="O19">
        <v>0</v>
      </c>
      <c r="P19">
        <v>0</v>
      </c>
      <c r="Q19">
        <v>0</v>
      </c>
      <c r="R19">
        <v>5.9000000000000004E-2</v>
      </c>
      <c r="S19">
        <v>4.4610000000000004E-2</v>
      </c>
      <c r="Y19" t="str">
        <f t="shared" si="5"/>
        <v>{{14, "15-year"},0.059},</v>
      </c>
      <c r="Z19" t="str">
        <f t="shared" si="6"/>
        <v>{{14, "20-year"},0.04461},</v>
      </c>
    </row>
    <row r="20" spans="3:26" x14ac:dyDescent="0.25">
      <c r="C20" s="2">
        <v>15</v>
      </c>
      <c r="D20" s="2"/>
      <c r="H20" s="5">
        <v>5.91</v>
      </c>
      <c r="I20" s="6">
        <v>4.4619999999999997</v>
      </c>
      <c r="L20">
        <v>15</v>
      </c>
      <c r="M20" s="2">
        <v>15</v>
      </c>
      <c r="N20">
        <v>0</v>
      </c>
      <c r="O20">
        <v>0</v>
      </c>
      <c r="P20">
        <v>0</v>
      </c>
      <c r="Q20">
        <v>0</v>
      </c>
      <c r="R20">
        <v>5.91E-2</v>
      </c>
      <c r="S20">
        <v>4.462E-2</v>
      </c>
      <c r="Y20" t="str">
        <f t="shared" si="5"/>
        <v>{{15, "15-year"},0.0591},</v>
      </c>
      <c r="Z20" t="str">
        <f t="shared" si="6"/>
        <v>{{15, "20-year"},0.04462},</v>
      </c>
    </row>
    <row r="21" spans="3:26" x14ac:dyDescent="0.25">
      <c r="C21" s="2">
        <v>16</v>
      </c>
      <c r="D21" s="2"/>
      <c r="H21" s="5">
        <v>2.95</v>
      </c>
      <c r="I21" s="6">
        <v>4.4610000000000003</v>
      </c>
      <c r="L21">
        <v>16</v>
      </c>
      <c r="M21" s="2">
        <v>16</v>
      </c>
      <c r="N21">
        <v>0</v>
      </c>
      <c r="O21">
        <v>0</v>
      </c>
      <c r="P21">
        <v>0</v>
      </c>
      <c r="Q21">
        <v>0</v>
      </c>
      <c r="R21">
        <v>2.9500000000000002E-2</v>
      </c>
      <c r="S21">
        <v>4.4610000000000004E-2</v>
      </c>
      <c r="Y21" t="str">
        <f t="shared" si="5"/>
        <v>{{16, "15-year"},0.0295},</v>
      </c>
      <c r="Z21" t="str">
        <f t="shared" si="6"/>
        <v>{{16, "20-year"},0.04461},</v>
      </c>
    </row>
    <row r="22" spans="3:26" x14ac:dyDescent="0.25">
      <c r="C22" s="2">
        <v>17</v>
      </c>
      <c r="D22" s="2"/>
      <c r="I22">
        <v>4.4619999999999997</v>
      </c>
      <c r="L22">
        <v>17</v>
      </c>
      <c r="M22" s="2">
        <v>17</v>
      </c>
      <c r="N22">
        <v>0</v>
      </c>
      <c r="O22">
        <v>0</v>
      </c>
      <c r="P22">
        <v>0</v>
      </c>
      <c r="Q22">
        <v>0</v>
      </c>
      <c r="R22">
        <v>0</v>
      </c>
      <c r="S22">
        <v>4.462E-2</v>
      </c>
      <c r="Z22" t="str">
        <f t="shared" si="6"/>
        <v>{{17, "20-year"},0.04462},</v>
      </c>
    </row>
    <row r="23" spans="3:26" x14ac:dyDescent="0.25">
      <c r="C23" s="2">
        <v>18</v>
      </c>
      <c r="D23" s="2"/>
      <c r="I23">
        <v>4.4610000000000003</v>
      </c>
      <c r="L23">
        <v>18</v>
      </c>
      <c r="M23" s="2">
        <v>18</v>
      </c>
      <c r="N23">
        <v>0</v>
      </c>
      <c r="O23">
        <v>0</v>
      </c>
      <c r="P23">
        <v>0</v>
      </c>
      <c r="Q23">
        <v>0</v>
      </c>
      <c r="R23">
        <v>0</v>
      </c>
      <c r="S23">
        <v>4.4610000000000004E-2</v>
      </c>
      <c r="Z23" t="str">
        <f t="shared" si="6"/>
        <v>{{18, "20-year"},0.04461},</v>
      </c>
    </row>
    <row r="24" spans="3:26" x14ac:dyDescent="0.25">
      <c r="C24" s="2">
        <v>19</v>
      </c>
      <c r="D24" s="2"/>
      <c r="I24">
        <v>4.4619999999999997</v>
      </c>
      <c r="L24">
        <v>19</v>
      </c>
      <c r="M24" s="2">
        <v>19</v>
      </c>
      <c r="N24">
        <v>0</v>
      </c>
      <c r="O24">
        <v>0</v>
      </c>
      <c r="P24">
        <v>0</v>
      </c>
      <c r="Q24">
        <v>0</v>
      </c>
      <c r="R24">
        <v>0</v>
      </c>
      <c r="S24">
        <v>4.462E-2</v>
      </c>
      <c r="Z24" t="str">
        <f t="shared" si="6"/>
        <v>{{19, "20-year"},0.04462},</v>
      </c>
    </row>
    <row r="25" spans="3:26" x14ac:dyDescent="0.25">
      <c r="C25" s="2">
        <v>20</v>
      </c>
      <c r="D25" s="2"/>
      <c r="I25">
        <v>4.4610000000000003</v>
      </c>
      <c r="L25">
        <v>20</v>
      </c>
      <c r="M25" s="2">
        <v>20</v>
      </c>
      <c r="N25">
        <v>0</v>
      </c>
      <c r="O25">
        <v>0</v>
      </c>
      <c r="P25">
        <v>0</v>
      </c>
      <c r="Q25">
        <v>0</v>
      </c>
      <c r="R25">
        <v>0</v>
      </c>
      <c r="S25">
        <v>4.4610000000000004E-2</v>
      </c>
      <c r="Z25" t="str">
        <f t="shared" si="6"/>
        <v>{{20, "20-year"},0.04461},</v>
      </c>
    </row>
    <row r="26" spans="3:26" x14ac:dyDescent="0.25">
      <c r="C26" s="2">
        <v>21</v>
      </c>
      <c r="D26" s="2"/>
      <c r="I26">
        <v>2.2309999999999999</v>
      </c>
      <c r="L26">
        <v>21</v>
      </c>
      <c r="M26" s="2">
        <v>21</v>
      </c>
      <c r="N26">
        <v>0</v>
      </c>
      <c r="O26">
        <v>0</v>
      </c>
      <c r="P26">
        <v>0</v>
      </c>
      <c r="Q26">
        <v>0</v>
      </c>
      <c r="R26">
        <v>0</v>
      </c>
      <c r="S26">
        <v>2.231E-2</v>
      </c>
      <c r="Z26" t="str">
        <f t="shared" si="6"/>
        <v>{{21, "20-year"},0.02231},</v>
      </c>
    </row>
  </sheetData>
  <mergeCells count="4">
    <mergeCell ref="D1:I1"/>
    <mergeCell ref="D3:I3"/>
    <mergeCell ref="N1:S1"/>
    <mergeCell ref="N3:S3"/>
  </mergeCells>
  <pageMargins left="0.7" right="0.7" top="0.75" bottom="0.75" header="0.3" footer="0.3"/>
  <pageSetup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FEB1B-F0D5-46F1-B7AE-FC92103A2B84}">
  <dimension ref="A1:I25"/>
  <sheetViews>
    <sheetView zoomScale="120" zoomScaleNormal="120" workbookViewId="0">
      <selection activeCell="F11" sqref="F11"/>
    </sheetView>
  </sheetViews>
  <sheetFormatPr defaultRowHeight="15" x14ac:dyDescent="0.25"/>
  <cols>
    <col min="1" max="1" width="23.85546875" customWidth="1"/>
    <col min="2" max="2" width="16.42578125" customWidth="1"/>
    <col min="3" max="3" width="9.85546875" bestFit="1" customWidth="1"/>
    <col min="5" max="5" width="19.85546875" customWidth="1"/>
    <col min="6" max="6" width="25.140625" customWidth="1"/>
    <col min="7" max="7" width="13.5703125" customWidth="1"/>
    <col min="8" max="8" width="17.28515625" customWidth="1"/>
    <col min="9" max="9" width="24" customWidth="1"/>
  </cols>
  <sheetData>
    <row r="1" spans="1:9" x14ac:dyDescent="0.25">
      <c r="D1" s="23"/>
      <c r="E1" s="23"/>
      <c r="F1" s="23"/>
      <c r="G1" s="23"/>
    </row>
    <row r="2" spans="1:9" ht="40.5" customHeight="1" x14ac:dyDescent="0.3">
      <c r="C2" s="49" t="s">
        <v>14</v>
      </c>
      <c r="D2" s="49"/>
      <c r="E2" s="73" t="s">
        <v>16</v>
      </c>
      <c r="F2" s="73" t="s">
        <v>119</v>
      </c>
      <c r="I2" s="34" t="s">
        <v>122</v>
      </c>
    </row>
    <row r="3" spans="1:9" ht="18.75" x14ac:dyDescent="0.3">
      <c r="C3" s="63">
        <v>1</v>
      </c>
      <c r="D3" s="64"/>
      <c r="E3" s="65">
        <f>$H13</f>
        <v>157190</v>
      </c>
      <c r="F3" s="65">
        <f>$H$13</f>
        <v>157190</v>
      </c>
      <c r="G3" s="28"/>
    </row>
    <row r="4" spans="1:9" ht="18.75" x14ac:dyDescent="0.3">
      <c r="C4" s="63">
        <v>2</v>
      </c>
      <c r="D4" s="66"/>
      <c r="E4" s="65">
        <f t="shared" ref="E4:E10" si="0">$H14</f>
        <v>269390</v>
      </c>
      <c r="F4" s="65">
        <f>F3+H14</f>
        <v>426580</v>
      </c>
      <c r="G4" s="28"/>
    </row>
    <row r="5" spans="1:9" ht="18.75" x14ac:dyDescent="0.3">
      <c r="C5" s="67">
        <v>3</v>
      </c>
      <c r="D5" s="68"/>
      <c r="E5" s="69">
        <f t="shared" si="0"/>
        <v>192389.99999999997</v>
      </c>
      <c r="F5" s="69">
        <f t="shared" ref="F5:F10" si="1">F4+H15</f>
        <v>618970</v>
      </c>
      <c r="G5" s="28"/>
    </row>
    <row r="6" spans="1:9" ht="18.75" x14ac:dyDescent="0.3">
      <c r="C6" s="63">
        <v>4</v>
      </c>
      <c r="D6" s="66"/>
      <c r="E6" s="65">
        <f t="shared" si="0"/>
        <v>137390</v>
      </c>
      <c r="F6" s="65">
        <f t="shared" si="1"/>
        <v>756360</v>
      </c>
      <c r="G6" s="28"/>
    </row>
    <row r="7" spans="1:9" ht="18.75" x14ac:dyDescent="0.3">
      <c r="C7" s="63">
        <v>5</v>
      </c>
      <c r="D7" s="66"/>
      <c r="E7" s="65">
        <f t="shared" si="0"/>
        <v>98229.999999999985</v>
      </c>
      <c r="F7" s="65">
        <f t="shared" si="1"/>
        <v>854590</v>
      </c>
      <c r="G7" s="28"/>
    </row>
    <row r="8" spans="1:9" ht="18.75" x14ac:dyDescent="0.3">
      <c r="C8" s="63">
        <v>6</v>
      </c>
      <c r="D8" s="66"/>
      <c r="E8" s="65">
        <f t="shared" si="0"/>
        <v>98120</v>
      </c>
      <c r="F8" s="65">
        <f t="shared" si="1"/>
        <v>952710</v>
      </c>
      <c r="G8" s="28"/>
    </row>
    <row r="9" spans="1:9" ht="18.75" x14ac:dyDescent="0.3">
      <c r="C9" s="63">
        <v>7</v>
      </c>
      <c r="D9" s="66"/>
      <c r="E9" s="65">
        <f t="shared" si="0"/>
        <v>98229.999999999985</v>
      </c>
      <c r="F9" s="65">
        <f t="shared" si="1"/>
        <v>1050940</v>
      </c>
      <c r="G9" s="28"/>
    </row>
    <row r="10" spans="1:9" ht="18.75" x14ac:dyDescent="0.3">
      <c r="C10" s="63">
        <v>8</v>
      </c>
      <c r="D10" s="66"/>
      <c r="E10" s="65">
        <f t="shared" si="0"/>
        <v>49060</v>
      </c>
      <c r="F10" s="70">
        <f t="shared" si="1"/>
        <v>1100000</v>
      </c>
      <c r="G10" s="28"/>
    </row>
    <row r="11" spans="1:9" ht="19.5" thickBot="1" x14ac:dyDescent="0.35">
      <c r="C11" s="24"/>
      <c r="D11" s="65"/>
      <c r="E11" s="71" t="s">
        <v>116</v>
      </c>
      <c r="F11" s="72">
        <f>F9+H20</f>
        <v>1100000</v>
      </c>
      <c r="G11" s="28"/>
    </row>
    <row r="12" spans="1:9" ht="57.75" thickBot="1" x14ac:dyDescent="0.4">
      <c r="A12" s="95" t="s">
        <v>154</v>
      </c>
      <c r="B12" s="96"/>
      <c r="E12" s="49" t="s">
        <v>14</v>
      </c>
      <c r="F12" s="49" t="s">
        <v>15</v>
      </c>
      <c r="G12" s="73" t="s">
        <v>17</v>
      </c>
      <c r="H12" s="73" t="s">
        <v>16</v>
      </c>
    </row>
    <row r="13" spans="1:9" ht="18.75" x14ac:dyDescent="0.3">
      <c r="A13" s="29" t="s">
        <v>104</v>
      </c>
      <c r="B13" s="30">
        <v>1073000</v>
      </c>
      <c r="E13" s="24">
        <v>1</v>
      </c>
      <c r="F13" s="25">
        <f>$B$16</f>
        <v>1100000</v>
      </c>
      <c r="G13" s="24" cm="1">
        <f t="array" ref="G13">_xlfn.XLOOKUP($E13,MACRS_Table!$C$6:$C$26,MACRS_Table!$F$6:$F$26,null,0)</f>
        <v>14.29</v>
      </c>
      <c r="H13" s="65">
        <f>F13*(G13/100)</f>
        <v>157190</v>
      </c>
    </row>
    <row r="14" spans="1:9" ht="18" customHeight="1" x14ac:dyDescent="0.3">
      <c r="A14" s="29" t="s">
        <v>124</v>
      </c>
      <c r="B14" s="30">
        <v>15000</v>
      </c>
      <c r="E14" s="24">
        <v>2</v>
      </c>
      <c r="F14" s="25">
        <f t="shared" ref="F14:F20" si="2">$B$16</f>
        <v>1100000</v>
      </c>
      <c r="G14" s="24" cm="1">
        <f t="array" ref="G14">_xlfn.XLOOKUP($E14,MACRS_Table!$C$6:$C$26,MACRS_Table!$F$6:$F$26,null,0)</f>
        <v>24.49</v>
      </c>
      <c r="H14" s="65">
        <f t="shared" ref="H14:H16" si="3">F14*(G14/100)</f>
        <v>269390</v>
      </c>
    </row>
    <row r="15" spans="1:9" ht="18.75" x14ac:dyDescent="0.3">
      <c r="A15" s="29" t="s">
        <v>125</v>
      </c>
      <c r="B15" s="30">
        <v>12000</v>
      </c>
      <c r="D15" s="17"/>
      <c r="E15" s="24">
        <v>3</v>
      </c>
      <c r="F15" s="25">
        <f t="shared" si="2"/>
        <v>1100000</v>
      </c>
      <c r="G15" s="24" cm="1">
        <f t="array" ref="G15">_xlfn.XLOOKUP($E15,MACRS_Table!$C$6:$C$26,MACRS_Table!$F$6:$F$26,null,0)</f>
        <v>17.489999999999998</v>
      </c>
      <c r="H15" s="65">
        <f t="shared" si="3"/>
        <v>192389.99999999997</v>
      </c>
    </row>
    <row r="16" spans="1:9" ht="18" customHeight="1" x14ac:dyDescent="0.3">
      <c r="A16" s="29" t="s">
        <v>126</v>
      </c>
      <c r="B16" s="30">
        <f>SUM(B13:B15)</f>
        <v>1100000</v>
      </c>
      <c r="D16" s="17"/>
      <c r="E16" s="24">
        <v>4</v>
      </c>
      <c r="F16" s="25">
        <f t="shared" si="2"/>
        <v>1100000</v>
      </c>
      <c r="G16" s="24" cm="1">
        <f t="array" ref="G16">_xlfn.XLOOKUP($E16,MACRS_Table!$C$6:$C$26,MACRS_Table!$F$6:$F$26,null,0)</f>
        <v>12.49</v>
      </c>
      <c r="H16" s="65">
        <f t="shared" si="3"/>
        <v>137390</v>
      </c>
    </row>
    <row r="17" spans="1:8" ht="26.25" x14ac:dyDescent="0.4">
      <c r="A17" s="29" t="s">
        <v>107</v>
      </c>
      <c r="B17" s="31">
        <v>125000</v>
      </c>
      <c r="C17" s="57" t="s">
        <v>149</v>
      </c>
      <c r="D17" s="17"/>
      <c r="E17" s="24">
        <v>5</v>
      </c>
      <c r="F17" s="25">
        <f t="shared" si="2"/>
        <v>1100000</v>
      </c>
      <c r="G17" s="24" cm="1">
        <f t="array" ref="G17">_xlfn.XLOOKUP($E17,MACRS_Table!$C$6:$C$26,MACRS_Table!$F$6:$F$26,null,0)</f>
        <v>8.93</v>
      </c>
      <c r="H17" s="65">
        <f>F17*(G17/100)</f>
        <v>98229.999999999985</v>
      </c>
    </row>
    <row r="18" spans="1:8" ht="18.75" x14ac:dyDescent="0.3">
      <c r="A18" s="29" t="s">
        <v>112</v>
      </c>
      <c r="B18" s="30">
        <f>B16</f>
        <v>1100000</v>
      </c>
      <c r="D18" s="17"/>
      <c r="E18" s="24">
        <v>6</v>
      </c>
      <c r="F18" s="25">
        <f t="shared" si="2"/>
        <v>1100000</v>
      </c>
      <c r="G18" s="24" cm="1">
        <f t="array" ref="G18">_xlfn.XLOOKUP($E18,MACRS_Table!$C$6:$C$26,MACRS_Table!$F$6:$F$26,null,0)</f>
        <v>8.92</v>
      </c>
      <c r="H18" s="65">
        <f t="shared" ref="H18:H20" si="4">F18*(G18/100)</f>
        <v>98120</v>
      </c>
    </row>
    <row r="19" spans="1:8" ht="18.75" x14ac:dyDescent="0.3">
      <c r="D19" s="17"/>
      <c r="E19" s="24">
        <v>7</v>
      </c>
      <c r="F19" s="25">
        <f t="shared" si="2"/>
        <v>1100000</v>
      </c>
      <c r="G19" s="24" cm="1">
        <f t="array" ref="G19">_xlfn.XLOOKUP($E19,MACRS_Table!$C$6:$C$26,MACRS_Table!$F$6:$F$26,null,0)</f>
        <v>8.93</v>
      </c>
      <c r="H19" s="65">
        <f t="shared" si="4"/>
        <v>98229.999999999985</v>
      </c>
    </row>
    <row r="20" spans="1:8" ht="18.75" x14ac:dyDescent="0.3">
      <c r="E20" s="24">
        <v>8</v>
      </c>
      <c r="F20" s="25">
        <f t="shared" si="2"/>
        <v>1100000</v>
      </c>
      <c r="G20" s="24" cm="1">
        <f t="array" ref="G20">_xlfn.XLOOKUP($E20,MACRS_Table!$C$6:$C$26,MACRS_Table!$F$6:$F$26,null,0)</f>
        <v>4.46</v>
      </c>
      <c r="H20" s="65">
        <f t="shared" si="4"/>
        <v>49060</v>
      </c>
    </row>
    <row r="21" spans="1:8" x14ac:dyDescent="0.25">
      <c r="H21" s="37"/>
    </row>
    <row r="23" spans="1:8" ht="64.5" customHeight="1" x14ac:dyDescent="0.25">
      <c r="B23" s="17"/>
      <c r="E23" t="s">
        <v>149</v>
      </c>
      <c r="F23" s="99" t="s">
        <v>151</v>
      </c>
      <c r="G23" s="99"/>
      <c r="H23" s="99"/>
    </row>
    <row r="24" spans="1:8" x14ac:dyDescent="0.25">
      <c r="F24" t="s">
        <v>150</v>
      </c>
    </row>
    <row r="25" spans="1:8" ht="18.75" x14ac:dyDescent="0.3">
      <c r="F25" s="29"/>
      <c r="G25" s="30"/>
    </row>
  </sheetData>
  <mergeCells count="2">
    <mergeCell ref="F23:H23"/>
    <mergeCell ref="A12:B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AD2C3-D617-4D35-B5E7-2C92A2229822}">
  <dimension ref="A1:I23"/>
  <sheetViews>
    <sheetView zoomScale="120" zoomScaleNormal="120" workbookViewId="0">
      <selection activeCell="F11" sqref="F11"/>
    </sheetView>
  </sheetViews>
  <sheetFormatPr defaultRowHeight="15" x14ac:dyDescent="0.25"/>
  <cols>
    <col min="1" max="1" width="23.85546875" customWidth="1"/>
    <col min="2" max="2" width="16.42578125" customWidth="1"/>
    <col min="3" max="3" width="9.85546875" bestFit="1" customWidth="1"/>
    <col min="5" max="5" width="19.85546875" customWidth="1"/>
    <col min="6" max="6" width="19" customWidth="1"/>
    <col min="7" max="7" width="13.5703125" customWidth="1"/>
    <col min="8" max="8" width="17.28515625" customWidth="1"/>
    <col min="9" max="9" width="15.85546875" customWidth="1"/>
  </cols>
  <sheetData>
    <row r="1" spans="1:9" x14ac:dyDescent="0.25">
      <c r="D1" s="23"/>
      <c r="E1" s="23"/>
      <c r="F1" s="23"/>
      <c r="G1" s="23"/>
    </row>
    <row r="2" spans="1:9" ht="42" customHeight="1" x14ac:dyDescent="0.3">
      <c r="C2" s="76" t="s">
        <v>14</v>
      </c>
      <c r="D2" s="64"/>
      <c r="E2" s="80" t="s">
        <v>16</v>
      </c>
      <c r="F2" s="80" t="s">
        <v>119</v>
      </c>
      <c r="I2" s="34" t="s">
        <v>122</v>
      </c>
    </row>
    <row r="3" spans="1:9" ht="18.75" x14ac:dyDescent="0.3">
      <c r="C3" s="63">
        <v>1</v>
      </c>
      <c r="D3" s="64"/>
      <c r="E3" s="65">
        <f>$H13</f>
        <v>78571.428571428565</v>
      </c>
      <c r="F3" s="65">
        <f>$H$13</f>
        <v>78571.428571428565</v>
      </c>
      <c r="G3" s="28"/>
    </row>
    <row r="4" spans="1:9" ht="18.75" x14ac:dyDescent="0.3">
      <c r="C4" s="63">
        <v>2</v>
      </c>
      <c r="D4" s="66"/>
      <c r="E4" s="65">
        <f t="shared" ref="E4:E10" si="0">$H14</f>
        <v>157142.85714285713</v>
      </c>
      <c r="F4" s="65">
        <f>F3+H14</f>
        <v>235714.28571428568</v>
      </c>
      <c r="G4" s="28"/>
    </row>
    <row r="5" spans="1:9" ht="18.75" x14ac:dyDescent="0.3">
      <c r="C5" s="67">
        <v>3</v>
      </c>
      <c r="D5" s="68"/>
      <c r="E5" s="69">
        <f t="shared" si="0"/>
        <v>157142.85714285713</v>
      </c>
      <c r="F5" s="69">
        <f t="shared" ref="F5:F10" si="1">F4+H15</f>
        <v>392857.14285714284</v>
      </c>
      <c r="G5" s="28"/>
    </row>
    <row r="6" spans="1:9" ht="18.75" x14ac:dyDescent="0.3">
      <c r="C6" s="63">
        <v>4</v>
      </c>
      <c r="D6" s="66"/>
      <c r="E6" s="65">
        <f t="shared" si="0"/>
        <v>157142.85714285713</v>
      </c>
      <c r="F6" s="65">
        <f t="shared" si="1"/>
        <v>550000</v>
      </c>
      <c r="G6" s="28"/>
    </row>
    <row r="7" spans="1:9" ht="18.75" x14ac:dyDescent="0.3">
      <c r="C7" s="63">
        <v>5</v>
      </c>
      <c r="D7" s="66"/>
      <c r="E7" s="65">
        <f t="shared" si="0"/>
        <v>157142.85714285713</v>
      </c>
      <c r="F7" s="65">
        <f t="shared" si="1"/>
        <v>707142.85714285716</v>
      </c>
      <c r="G7" s="28"/>
    </row>
    <row r="8" spans="1:9" ht="18.75" x14ac:dyDescent="0.3">
      <c r="C8" s="63">
        <v>6</v>
      </c>
      <c r="D8" s="66"/>
      <c r="E8" s="65">
        <f t="shared" si="0"/>
        <v>157142.85714285713</v>
      </c>
      <c r="F8" s="65">
        <f t="shared" si="1"/>
        <v>864285.71428571432</v>
      </c>
      <c r="G8" s="28"/>
    </row>
    <row r="9" spans="1:9" ht="18.75" x14ac:dyDescent="0.3">
      <c r="C9" s="63">
        <v>7</v>
      </c>
      <c r="D9" s="66"/>
      <c r="E9" s="65">
        <f t="shared" si="0"/>
        <v>157142.85714285713</v>
      </c>
      <c r="F9" s="65">
        <f t="shared" si="1"/>
        <v>1021428.5714285715</v>
      </c>
      <c r="G9" s="28"/>
    </row>
    <row r="10" spans="1:9" ht="18.75" x14ac:dyDescent="0.3">
      <c r="C10" s="63">
        <v>8</v>
      </c>
      <c r="D10" s="66"/>
      <c r="E10" s="65">
        <f t="shared" si="0"/>
        <v>78571.428571428565</v>
      </c>
      <c r="F10" s="70">
        <f t="shared" si="1"/>
        <v>1100000</v>
      </c>
      <c r="G10" s="28"/>
    </row>
    <row r="11" spans="1:9" ht="19.5" thickBot="1" x14ac:dyDescent="0.35">
      <c r="C11" s="24"/>
      <c r="D11" s="65"/>
      <c r="E11" s="71" t="s">
        <v>116</v>
      </c>
      <c r="F11" s="72">
        <f>F9+H20</f>
        <v>1100000</v>
      </c>
      <c r="G11" s="28"/>
    </row>
    <row r="12" spans="1:9" ht="95.25" thickBot="1" x14ac:dyDescent="0.4">
      <c r="A12" s="95" t="s">
        <v>156</v>
      </c>
      <c r="B12" s="96"/>
      <c r="E12" s="49" t="s">
        <v>14</v>
      </c>
      <c r="F12" s="49" t="s">
        <v>15</v>
      </c>
      <c r="G12" s="73" t="s">
        <v>136</v>
      </c>
      <c r="H12" s="73" t="s">
        <v>16</v>
      </c>
    </row>
    <row r="13" spans="1:9" ht="18.75" x14ac:dyDescent="0.3">
      <c r="A13" s="29" t="s">
        <v>104</v>
      </c>
      <c r="B13" s="30">
        <v>1073000</v>
      </c>
      <c r="E13" s="24">
        <v>1</v>
      </c>
      <c r="F13" s="25">
        <f>$B$16</f>
        <v>1100000</v>
      </c>
      <c r="G13" s="64">
        <f>(1/7)*0.5</f>
        <v>7.1428571428571425E-2</v>
      </c>
      <c r="H13" s="65">
        <f>F13*G13</f>
        <v>78571.428571428565</v>
      </c>
    </row>
    <row r="14" spans="1:9" ht="29.25" customHeight="1" x14ac:dyDescent="0.3">
      <c r="A14" s="29" t="s">
        <v>124</v>
      </c>
      <c r="B14" s="30">
        <v>15000</v>
      </c>
      <c r="E14" s="24">
        <v>2</v>
      </c>
      <c r="F14" s="25">
        <f t="shared" ref="F14:F20" si="2">$B$16</f>
        <v>1100000</v>
      </c>
      <c r="G14" s="64">
        <f>(1/7)</f>
        <v>0.14285714285714285</v>
      </c>
      <c r="H14" s="65">
        <f t="shared" ref="H14:H20" si="3">F14*G14</f>
        <v>157142.85714285713</v>
      </c>
    </row>
    <row r="15" spans="1:9" ht="18.75" x14ac:dyDescent="0.3">
      <c r="A15" s="29" t="s">
        <v>125</v>
      </c>
      <c r="B15" s="30">
        <v>12000</v>
      </c>
      <c r="D15" s="17"/>
      <c r="E15" s="24">
        <v>3</v>
      </c>
      <c r="F15" s="25">
        <f t="shared" si="2"/>
        <v>1100000</v>
      </c>
      <c r="G15" s="64">
        <f t="shared" ref="G15:G19" si="4">(1/7)</f>
        <v>0.14285714285714285</v>
      </c>
      <c r="H15" s="65">
        <f t="shared" si="3"/>
        <v>157142.85714285713</v>
      </c>
    </row>
    <row r="16" spans="1:9" ht="21.75" customHeight="1" x14ac:dyDescent="0.3">
      <c r="A16" s="29" t="s">
        <v>126</v>
      </c>
      <c r="B16" s="30">
        <f>SUM(B13:B15)</f>
        <v>1100000</v>
      </c>
      <c r="D16" s="17"/>
      <c r="E16" s="24">
        <v>4</v>
      </c>
      <c r="F16" s="25">
        <f t="shared" si="2"/>
        <v>1100000</v>
      </c>
      <c r="G16" s="64">
        <f t="shared" si="4"/>
        <v>0.14285714285714285</v>
      </c>
      <c r="H16" s="65">
        <f t="shared" si="3"/>
        <v>157142.85714285713</v>
      </c>
    </row>
    <row r="17" spans="1:8" ht="18.75" x14ac:dyDescent="0.3">
      <c r="A17" s="29" t="s">
        <v>107</v>
      </c>
      <c r="B17" s="31">
        <v>125000</v>
      </c>
      <c r="D17" s="17"/>
      <c r="E17" s="24">
        <v>5</v>
      </c>
      <c r="F17" s="25">
        <f t="shared" si="2"/>
        <v>1100000</v>
      </c>
      <c r="G17" s="64">
        <f t="shared" si="4"/>
        <v>0.14285714285714285</v>
      </c>
      <c r="H17" s="65">
        <f t="shared" si="3"/>
        <v>157142.85714285713</v>
      </c>
    </row>
    <row r="18" spans="1:8" ht="18.75" x14ac:dyDescent="0.3">
      <c r="A18" s="29" t="s">
        <v>112</v>
      </c>
      <c r="B18" s="30">
        <f>B16</f>
        <v>1100000</v>
      </c>
      <c r="D18" s="17"/>
      <c r="E18" s="24">
        <v>6</v>
      </c>
      <c r="F18" s="25">
        <f t="shared" si="2"/>
        <v>1100000</v>
      </c>
      <c r="G18" s="64">
        <f t="shared" si="4"/>
        <v>0.14285714285714285</v>
      </c>
      <c r="H18" s="65">
        <f t="shared" si="3"/>
        <v>157142.85714285713</v>
      </c>
    </row>
    <row r="19" spans="1:8" ht="18.75" x14ac:dyDescent="0.3">
      <c r="D19" s="17"/>
      <c r="E19" s="24">
        <v>7</v>
      </c>
      <c r="F19" s="25">
        <f t="shared" si="2"/>
        <v>1100000</v>
      </c>
      <c r="G19" s="64">
        <f t="shared" si="4"/>
        <v>0.14285714285714285</v>
      </c>
      <c r="H19" s="65">
        <f t="shared" si="3"/>
        <v>157142.85714285713</v>
      </c>
    </row>
    <row r="20" spans="1:8" ht="18.75" x14ac:dyDescent="0.3">
      <c r="E20" s="24">
        <v>8</v>
      </c>
      <c r="F20" s="25">
        <f t="shared" si="2"/>
        <v>1100000</v>
      </c>
      <c r="G20" s="64">
        <f>(1/7)*0.5</f>
        <v>7.1428571428571425E-2</v>
      </c>
      <c r="H20" s="65">
        <f t="shared" si="3"/>
        <v>78571.428571428565</v>
      </c>
    </row>
    <row r="21" spans="1:8" x14ac:dyDescent="0.25">
      <c r="H21" s="37"/>
    </row>
    <row r="23" spans="1:8" x14ac:dyDescent="0.25">
      <c r="B23" s="17"/>
    </row>
  </sheetData>
  <mergeCells count="1">
    <mergeCell ref="A12:B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E8068-FA7C-49F5-9A0B-CE0087548C99}">
  <dimension ref="B1:H23"/>
  <sheetViews>
    <sheetView zoomScale="120" zoomScaleNormal="120" workbookViewId="0">
      <selection activeCell="F7" sqref="F7"/>
    </sheetView>
  </sheetViews>
  <sheetFormatPr defaultRowHeight="15" x14ac:dyDescent="0.25"/>
  <cols>
    <col min="2" max="2" width="9.28515625" bestFit="1" customWidth="1"/>
    <col min="3" max="3" width="17.5703125" customWidth="1"/>
    <col min="4" max="4" width="18.7109375" customWidth="1"/>
    <col min="5" max="5" width="17.42578125" customWidth="1"/>
    <col min="6" max="6" width="16.7109375" customWidth="1"/>
    <col min="7" max="7" width="23.28515625" customWidth="1"/>
    <col min="8" max="8" width="15.85546875" customWidth="1"/>
  </cols>
  <sheetData>
    <row r="1" spans="2:8" ht="18.75" x14ac:dyDescent="0.3">
      <c r="C1" s="100" t="s">
        <v>128</v>
      </c>
      <c r="D1" s="100"/>
      <c r="E1" s="100"/>
      <c r="F1" s="100"/>
      <c r="G1" s="100"/>
      <c r="H1" s="100"/>
    </row>
    <row r="2" spans="2:8" ht="18.75" x14ac:dyDescent="0.3">
      <c r="B2" s="49" t="str" cm="1">
        <f t="array" ref="B2:B7">AM!D3:D8</f>
        <v>Year</v>
      </c>
      <c r="C2" s="49" t="s">
        <v>114</v>
      </c>
      <c r="D2" s="49" t="s">
        <v>100</v>
      </c>
      <c r="E2" s="49" t="s">
        <v>129</v>
      </c>
      <c r="F2" s="49" t="s">
        <v>99</v>
      </c>
      <c r="G2" s="49" t="s">
        <v>137</v>
      </c>
      <c r="H2" s="49" t="s">
        <v>138</v>
      </c>
    </row>
    <row r="3" spans="2:8" ht="18.75" x14ac:dyDescent="0.3">
      <c r="B3" s="24">
        <v>1</v>
      </c>
      <c r="C3" s="25" cm="1">
        <f t="array" ref="C3:C7">AM!G4:G8</f>
        <v>234000</v>
      </c>
      <c r="D3" s="56" cm="1">
        <f t="array" ref="D3:D7">SL!E3:E7</f>
        <v>195000</v>
      </c>
      <c r="E3" s="56" cm="1">
        <f t="array" ref="E3:E7">SYD!D3:D7</f>
        <v>325000</v>
      </c>
      <c r="F3" s="56" cm="1">
        <f t="array" ref="F3:F7">DDB!E3:E7</f>
        <v>440000</v>
      </c>
      <c r="G3" s="56" cm="1">
        <f t="array" ref="G3:G10">MACRS!E3:E10</f>
        <v>157190</v>
      </c>
      <c r="H3" s="56" cm="1">
        <f t="array" ref="H3:H10">'MACRS-Optional SL'!E3:E10</f>
        <v>78571.428571428565</v>
      </c>
    </row>
    <row r="4" spans="2:8" ht="18.75" x14ac:dyDescent="0.3">
      <c r="B4" s="24">
        <v>2</v>
      </c>
      <c r="C4" s="25">
        <v>214500</v>
      </c>
      <c r="D4" s="56">
        <v>195000</v>
      </c>
      <c r="E4" s="56">
        <v>260000</v>
      </c>
      <c r="F4" s="56">
        <v>264000</v>
      </c>
      <c r="G4" s="56">
        <v>269390</v>
      </c>
      <c r="H4" s="56">
        <v>157142.85714285713</v>
      </c>
    </row>
    <row r="5" spans="2:8" ht="18.75" x14ac:dyDescent="0.3">
      <c r="B5" s="24">
        <v>3</v>
      </c>
      <c r="C5" s="25">
        <v>195000</v>
      </c>
      <c r="D5" s="56">
        <v>195000</v>
      </c>
      <c r="E5" s="56">
        <v>195000</v>
      </c>
      <c r="F5" s="56">
        <v>158400</v>
      </c>
      <c r="G5" s="56">
        <v>192389.99999999997</v>
      </c>
      <c r="H5" s="56">
        <v>157142.85714285713</v>
      </c>
    </row>
    <row r="6" spans="2:8" ht="18.75" x14ac:dyDescent="0.3">
      <c r="B6" s="24">
        <v>4</v>
      </c>
      <c r="C6" s="25">
        <v>175500</v>
      </c>
      <c r="D6" s="25">
        <v>195000</v>
      </c>
      <c r="E6" s="25">
        <v>130000</v>
      </c>
      <c r="F6" s="25">
        <v>95040</v>
      </c>
      <c r="G6" s="25">
        <v>137390</v>
      </c>
      <c r="H6" s="25">
        <v>157142.85714285713</v>
      </c>
    </row>
    <row r="7" spans="2:8" ht="18.75" x14ac:dyDescent="0.3">
      <c r="B7" s="24">
        <v>5</v>
      </c>
      <c r="C7" s="25">
        <v>156000</v>
      </c>
      <c r="D7" s="25">
        <v>195000</v>
      </c>
      <c r="E7" s="25">
        <v>65000</v>
      </c>
      <c r="F7" s="25">
        <v>17560</v>
      </c>
      <c r="G7" s="25">
        <v>98229.999999999985</v>
      </c>
      <c r="H7" s="25">
        <v>157142.85714285713</v>
      </c>
    </row>
    <row r="8" spans="2:8" ht="18.75" x14ac:dyDescent="0.3">
      <c r="B8" s="24">
        <v>6</v>
      </c>
      <c r="C8" s="24"/>
      <c r="D8" s="24"/>
      <c r="E8" s="24"/>
      <c r="F8" s="24"/>
      <c r="G8" s="25">
        <v>98120</v>
      </c>
      <c r="H8" s="25">
        <v>157142.85714285713</v>
      </c>
    </row>
    <row r="9" spans="2:8" ht="18.75" x14ac:dyDescent="0.3">
      <c r="B9" s="24">
        <v>7</v>
      </c>
      <c r="C9" s="24"/>
      <c r="D9" s="24"/>
      <c r="E9" s="24"/>
      <c r="F9" s="24"/>
      <c r="G9" s="25">
        <v>98229.999999999985</v>
      </c>
      <c r="H9" s="25">
        <v>157142.85714285713</v>
      </c>
    </row>
    <row r="10" spans="2:8" ht="18.75" x14ac:dyDescent="0.3">
      <c r="B10" s="24">
        <v>8</v>
      </c>
      <c r="C10" s="24"/>
      <c r="D10" s="24"/>
      <c r="E10" s="24"/>
      <c r="F10" s="24"/>
      <c r="G10" s="25">
        <v>49060</v>
      </c>
      <c r="H10" s="25">
        <v>78571.428571428565</v>
      </c>
    </row>
    <row r="11" spans="2:8" ht="18.75" x14ac:dyDescent="0.3">
      <c r="B11" s="24"/>
      <c r="C11" s="24"/>
      <c r="D11" s="24"/>
      <c r="E11" s="24"/>
      <c r="F11" s="24"/>
      <c r="G11" s="24"/>
      <c r="H11" s="24"/>
    </row>
    <row r="12" spans="2:8" ht="18.75" x14ac:dyDescent="0.3">
      <c r="C12" s="24"/>
      <c r="D12" s="24"/>
      <c r="E12" s="24"/>
      <c r="F12" s="24"/>
      <c r="G12" s="24"/>
      <c r="H12" s="24"/>
    </row>
    <row r="13" spans="2:8" ht="18.75" x14ac:dyDescent="0.3">
      <c r="C13" s="100" t="s">
        <v>139</v>
      </c>
      <c r="D13" s="100"/>
      <c r="E13" s="100"/>
      <c r="F13" s="100"/>
      <c r="G13" s="100"/>
      <c r="H13" s="100"/>
    </row>
    <row r="14" spans="2:8" ht="18.75" x14ac:dyDescent="0.3">
      <c r="B14" s="49" t="str">
        <f>B2</f>
        <v>Year</v>
      </c>
      <c r="C14" s="49" t="s">
        <v>114</v>
      </c>
      <c r="D14" s="49" t="s">
        <v>100</v>
      </c>
      <c r="E14" s="49" t="s">
        <v>129</v>
      </c>
      <c r="F14" s="49" t="s">
        <v>99</v>
      </c>
      <c r="G14" s="49" t="s">
        <v>137</v>
      </c>
      <c r="H14" s="49" t="s">
        <v>138</v>
      </c>
    </row>
    <row r="15" spans="2:8" ht="18.75" x14ac:dyDescent="0.3">
      <c r="B15" s="47">
        <f t="shared" ref="B15:B22" si="0">B3</f>
        <v>1</v>
      </c>
      <c r="C15" s="48">
        <f>C$3</f>
        <v>234000</v>
      </c>
      <c r="D15" s="48">
        <f t="shared" ref="D15:H15" si="1">D$3</f>
        <v>195000</v>
      </c>
      <c r="E15" s="48">
        <f t="shared" si="1"/>
        <v>325000</v>
      </c>
      <c r="F15" s="48">
        <f t="shared" si="1"/>
        <v>440000</v>
      </c>
      <c r="G15" s="48">
        <f t="shared" si="1"/>
        <v>157190</v>
      </c>
      <c r="H15" s="48">
        <f t="shared" si="1"/>
        <v>78571.428571428565</v>
      </c>
    </row>
    <row r="16" spans="2:8" ht="18.75" x14ac:dyDescent="0.3">
      <c r="B16" s="47">
        <f t="shared" si="0"/>
        <v>2</v>
      </c>
      <c r="C16" s="48">
        <f>C15+C4</f>
        <v>448500</v>
      </c>
      <c r="D16" s="48">
        <f t="shared" ref="D16:H16" si="2">D15+D4</f>
        <v>390000</v>
      </c>
      <c r="E16" s="48">
        <f t="shared" si="2"/>
        <v>585000</v>
      </c>
      <c r="F16" s="48">
        <f t="shared" si="2"/>
        <v>704000</v>
      </c>
      <c r="G16" s="48">
        <f t="shared" si="2"/>
        <v>426580</v>
      </c>
      <c r="H16" s="48">
        <f t="shared" si="2"/>
        <v>235714.28571428568</v>
      </c>
    </row>
    <row r="17" spans="2:8" ht="18.75" x14ac:dyDescent="0.3">
      <c r="B17" s="47">
        <f t="shared" si="0"/>
        <v>3</v>
      </c>
      <c r="C17" s="48">
        <f t="shared" ref="C17:C22" si="3">C16+C5</f>
        <v>643500</v>
      </c>
      <c r="D17" s="48">
        <f t="shared" ref="D17:D22" si="4">D16+D5</f>
        <v>585000</v>
      </c>
      <c r="E17" s="48">
        <f t="shared" ref="E17:E22" si="5">E16+E5</f>
        <v>780000</v>
      </c>
      <c r="F17" s="48">
        <f t="shared" ref="F17:F22" si="6">F16+F5</f>
        <v>862400</v>
      </c>
      <c r="G17" s="48">
        <f t="shared" ref="G17:G22" si="7">G16+G5</f>
        <v>618970</v>
      </c>
      <c r="H17" s="48">
        <f t="shared" ref="H17:H22" si="8">H16+H5</f>
        <v>392857.14285714284</v>
      </c>
    </row>
    <row r="18" spans="2:8" ht="18.75" x14ac:dyDescent="0.3">
      <c r="B18" s="24">
        <f t="shared" si="0"/>
        <v>4</v>
      </c>
      <c r="C18" s="25">
        <f t="shared" si="3"/>
        <v>819000</v>
      </c>
      <c r="D18" s="25">
        <f t="shared" si="4"/>
        <v>780000</v>
      </c>
      <c r="E18" s="25">
        <f t="shared" si="5"/>
        <v>910000</v>
      </c>
      <c r="F18" s="25">
        <f t="shared" si="6"/>
        <v>957440</v>
      </c>
      <c r="G18" s="25">
        <f t="shared" si="7"/>
        <v>756360</v>
      </c>
      <c r="H18" s="25">
        <f t="shared" si="8"/>
        <v>550000</v>
      </c>
    </row>
    <row r="19" spans="2:8" ht="18.75" x14ac:dyDescent="0.3">
      <c r="B19" s="24">
        <f t="shared" si="0"/>
        <v>5</v>
      </c>
      <c r="C19" s="25">
        <f t="shared" si="3"/>
        <v>975000</v>
      </c>
      <c r="D19" s="25">
        <f t="shared" si="4"/>
        <v>975000</v>
      </c>
      <c r="E19" s="25">
        <f t="shared" si="5"/>
        <v>975000</v>
      </c>
      <c r="F19" s="25">
        <f t="shared" si="6"/>
        <v>975000</v>
      </c>
      <c r="G19" s="25">
        <f t="shared" si="7"/>
        <v>854590</v>
      </c>
      <c r="H19" s="25">
        <f t="shared" si="8"/>
        <v>707142.85714285716</v>
      </c>
    </row>
    <row r="20" spans="2:8" ht="18.75" x14ac:dyDescent="0.3">
      <c r="B20" s="24">
        <f t="shared" si="0"/>
        <v>6</v>
      </c>
      <c r="C20" s="25">
        <f t="shared" si="3"/>
        <v>975000</v>
      </c>
      <c r="D20" s="25">
        <f t="shared" si="4"/>
        <v>975000</v>
      </c>
      <c r="E20" s="25">
        <f t="shared" si="5"/>
        <v>975000</v>
      </c>
      <c r="F20" s="25">
        <f t="shared" si="6"/>
        <v>975000</v>
      </c>
      <c r="G20" s="25">
        <f t="shared" si="7"/>
        <v>952710</v>
      </c>
      <c r="H20" s="25">
        <f t="shared" si="8"/>
        <v>864285.71428571432</v>
      </c>
    </row>
    <row r="21" spans="2:8" ht="18.75" x14ac:dyDescent="0.3">
      <c r="B21" s="24">
        <f t="shared" si="0"/>
        <v>7</v>
      </c>
      <c r="C21" s="25">
        <f t="shared" si="3"/>
        <v>975000</v>
      </c>
      <c r="D21" s="25">
        <f t="shared" si="4"/>
        <v>975000</v>
      </c>
      <c r="E21" s="25">
        <f t="shared" si="5"/>
        <v>975000</v>
      </c>
      <c r="F21" s="25">
        <f t="shared" si="6"/>
        <v>975000</v>
      </c>
      <c r="G21" s="25">
        <f t="shared" si="7"/>
        <v>1050940</v>
      </c>
      <c r="H21" s="25">
        <f t="shared" si="8"/>
        <v>1021428.5714285715</v>
      </c>
    </row>
    <row r="22" spans="2:8" ht="18.75" x14ac:dyDescent="0.3">
      <c r="B22" s="24">
        <f t="shared" si="0"/>
        <v>8</v>
      </c>
      <c r="C22" s="25">
        <f t="shared" si="3"/>
        <v>975000</v>
      </c>
      <c r="D22" s="25">
        <f t="shared" si="4"/>
        <v>975000</v>
      </c>
      <c r="E22" s="25">
        <f t="shared" si="5"/>
        <v>975000</v>
      </c>
      <c r="F22" s="25">
        <f t="shared" si="6"/>
        <v>975000</v>
      </c>
      <c r="G22" s="25">
        <f t="shared" si="7"/>
        <v>1100000</v>
      </c>
      <c r="H22" s="25">
        <f t="shared" si="8"/>
        <v>1100000</v>
      </c>
    </row>
    <row r="23" spans="2:8" ht="18.75" x14ac:dyDescent="0.3">
      <c r="C23" s="24"/>
      <c r="D23" s="24"/>
      <c r="E23" s="24"/>
      <c r="F23" s="24"/>
      <c r="G23" s="24"/>
      <c r="H23" s="24"/>
    </row>
  </sheetData>
  <mergeCells count="2">
    <mergeCell ref="C1:H1"/>
    <mergeCell ref="C13:H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2B89-B2FF-4E5F-9556-4493B1F6689F}">
  <dimension ref="B1:H10"/>
  <sheetViews>
    <sheetView zoomScale="130" zoomScaleNormal="130" workbookViewId="0">
      <selection activeCell="B2" sqref="B2:H10"/>
    </sheetView>
  </sheetViews>
  <sheetFormatPr defaultRowHeight="15" x14ac:dyDescent="0.25"/>
  <cols>
    <col min="2" max="2" width="9.28515625" bestFit="1" customWidth="1"/>
    <col min="3" max="4" width="9.85546875" bestFit="1" customWidth="1"/>
    <col min="5" max="5" width="13.7109375" customWidth="1"/>
    <col min="6" max="6" width="11.85546875" customWidth="1"/>
    <col min="7" max="7" width="14.28515625" customWidth="1"/>
    <col min="8" max="8" width="13.85546875" bestFit="1" customWidth="1"/>
  </cols>
  <sheetData>
    <row r="1" spans="2:8" ht="21" x14ac:dyDescent="0.35">
      <c r="C1" s="101" t="s">
        <v>128</v>
      </c>
      <c r="D1" s="101"/>
      <c r="E1" s="101"/>
      <c r="F1" s="101"/>
      <c r="G1" s="101"/>
      <c r="H1" s="101"/>
    </row>
    <row r="2" spans="2:8" ht="18.75" x14ac:dyDescent="0.3">
      <c r="B2" s="24" t="str" cm="1">
        <f t="array" ref="B2:B7">AM!D3:D8</f>
        <v>Year</v>
      </c>
      <c r="C2" s="24" t="s">
        <v>114</v>
      </c>
      <c r="D2" s="24" t="s">
        <v>100</v>
      </c>
      <c r="E2" s="24" t="s">
        <v>129</v>
      </c>
      <c r="F2" s="24" t="s">
        <v>99</v>
      </c>
      <c r="G2" s="24" t="s">
        <v>137</v>
      </c>
      <c r="H2" s="24" t="s">
        <v>138</v>
      </c>
    </row>
    <row r="3" spans="2:8" ht="18.75" x14ac:dyDescent="0.3">
      <c r="B3" s="24">
        <v>1</v>
      </c>
      <c r="C3" s="24" cm="1">
        <f t="array" ref="C3:C7">AM!G4:G8</f>
        <v>234000</v>
      </c>
      <c r="D3" s="24" cm="1">
        <f t="array" ref="D3:D7">SL!E3:E7</f>
        <v>195000</v>
      </c>
      <c r="E3" s="81" cm="1">
        <f t="array" ref="E3:E7">SYD!D3:D7</f>
        <v>325000</v>
      </c>
      <c r="F3" s="81" cm="1">
        <f t="array" ref="F3:F7">DDB!E3:E7</f>
        <v>440000</v>
      </c>
      <c r="G3" s="25" cm="1">
        <f t="array" ref="G3:G10">MACRS!E3:E10</f>
        <v>157190</v>
      </c>
      <c r="H3" s="25" cm="1">
        <f t="array" ref="H3:H10">'MACRS-Optional SL'!E3:E10</f>
        <v>78571.428571428565</v>
      </c>
    </row>
    <row r="4" spans="2:8" ht="18.75" x14ac:dyDescent="0.3">
      <c r="B4" s="24">
        <v>2</v>
      </c>
      <c r="C4" s="24">
        <v>214500</v>
      </c>
      <c r="D4" s="24">
        <v>195000</v>
      </c>
      <c r="E4" s="24">
        <v>260000</v>
      </c>
      <c r="F4" s="24">
        <v>264000</v>
      </c>
      <c r="G4" s="25">
        <v>269390</v>
      </c>
      <c r="H4" s="25">
        <v>157142.85714285713</v>
      </c>
    </row>
    <row r="5" spans="2:8" ht="18.75" x14ac:dyDescent="0.3">
      <c r="B5" s="84">
        <v>3</v>
      </c>
      <c r="C5" s="84">
        <v>195000</v>
      </c>
      <c r="D5" s="84">
        <v>195000</v>
      </c>
      <c r="E5" s="84">
        <v>195000</v>
      </c>
      <c r="F5" s="84">
        <v>158400</v>
      </c>
      <c r="G5" s="56">
        <v>192389.99999999997</v>
      </c>
      <c r="H5" s="56">
        <v>157142.85714285713</v>
      </c>
    </row>
    <row r="6" spans="2:8" ht="18.75" x14ac:dyDescent="0.3">
      <c r="B6" s="24">
        <v>4</v>
      </c>
      <c r="C6" s="24">
        <v>175500</v>
      </c>
      <c r="D6" s="24">
        <v>195000</v>
      </c>
      <c r="E6" s="24">
        <v>130000</v>
      </c>
      <c r="F6" s="24">
        <v>95040</v>
      </c>
      <c r="G6" s="25">
        <v>137390</v>
      </c>
      <c r="H6" s="25">
        <v>157142.85714285713</v>
      </c>
    </row>
    <row r="7" spans="2:8" ht="18.75" x14ac:dyDescent="0.3">
      <c r="B7" s="24">
        <v>5</v>
      </c>
      <c r="C7" s="24">
        <v>156000</v>
      </c>
      <c r="D7" s="24">
        <v>195000</v>
      </c>
      <c r="E7" s="24">
        <v>65000</v>
      </c>
      <c r="F7" s="24">
        <v>17560</v>
      </c>
      <c r="G7" s="25">
        <v>98229.999999999985</v>
      </c>
      <c r="H7" s="25">
        <v>157142.85714285713</v>
      </c>
    </row>
    <row r="8" spans="2:8" ht="18.75" x14ac:dyDescent="0.3">
      <c r="B8" s="24">
        <v>6</v>
      </c>
      <c r="C8" s="24"/>
      <c r="D8" s="24"/>
      <c r="E8" s="24"/>
      <c r="F8" s="24"/>
      <c r="G8" s="25">
        <v>98120</v>
      </c>
      <c r="H8" s="25">
        <v>157142.85714285713</v>
      </c>
    </row>
    <row r="9" spans="2:8" ht="18.75" x14ac:dyDescent="0.3">
      <c r="B9" s="24">
        <v>7</v>
      </c>
      <c r="C9" s="24"/>
      <c r="D9" s="24"/>
      <c r="E9" s="24"/>
      <c r="F9" s="24"/>
      <c r="G9" s="25">
        <v>98229.999999999985</v>
      </c>
      <c r="H9" s="25">
        <v>157142.85714285713</v>
      </c>
    </row>
    <row r="10" spans="2:8" ht="18.75" x14ac:dyDescent="0.3">
      <c r="B10" s="24">
        <v>8</v>
      </c>
      <c r="C10" s="24"/>
      <c r="D10" s="24"/>
      <c r="E10" s="24"/>
      <c r="F10" s="24"/>
      <c r="G10" s="25">
        <v>49060</v>
      </c>
      <c r="H10" s="25">
        <v>78571.428571428565</v>
      </c>
    </row>
  </sheetData>
  <mergeCells count="1">
    <mergeCell ref="C1:H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39B14-7F4B-4AA1-A6C5-F8246B8E198D}">
  <dimension ref="B1:L16"/>
  <sheetViews>
    <sheetView zoomScale="120" zoomScaleNormal="120" workbookViewId="0">
      <selection activeCell="D15" sqref="D15"/>
    </sheetView>
  </sheetViews>
  <sheetFormatPr defaultRowHeight="15" x14ac:dyDescent="0.25"/>
  <cols>
    <col min="1" max="1" width="5.42578125" customWidth="1"/>
    <col min="2" max="2" width="21.42578125" customWidth="1"/>
    <col min="3" max="4" width="19.7109375" bestFit="1" customWidth="1"/>
    <col min="5" max="5" width="16.5703125" customWidth="1"/>
    <col min="6" max="6" width="16.85546875" customWidth="1"/>
    <col min="7" max="7" width="15.42578125" customWidth="1"/>
    <col min="8" max="8" width="19.7109375" bestFit="1" customWidth="1"/>
    <col min="9" max="9" width="16.42578125" customWidth="1"/>
    <col min="10" max="10" width="11.5703125" customWidth="1"/>
    <col min="11" max="11" width="28" customWidth="1"/>
    <col min="12" max="12" width="16.140625" bestFit="1" customWidth="1"/>
  </cols>
  <sheetData>
    <row r="1" spans="2:12" ht="21" x14ac:dyDescent="0.35">
      <c r="C1" s="101" t="s">
        <v>128</v>
      </c>
      <c r="D1" s="101"/>
      <c r="E1" s="101"/>
      <c r="F1" s="101"/>
      <c r="G1" s="101"/>
      <c r="H1" s="101"/>
    </row>
    <row r="2" spans="2:12" ht="39" customHeight="1" x14ac:dyDescent="0.3">
      <c r="B2" s="24" t="str" cm="1">
        <f t="array" ref="B2:B7">AM!D3:D8</f>
        <v>Year</v>
      </c>
      <c r="C2" s="24" t="s">
        <v>114</v>
      </c>
      <c r="D2" s="24" t="s">
        <v>100</v>
      </c>
      <c r="E2" s="24" t="s">
        <v>129</v>
      </c>
      <c r="F2" s="24" t="s">
        <v>99</v>
      </c>
      <c r="G2" s="24" t="s">
        <v>137</v>
      </c>
      <c r="H2" s="24" t="s">
        <v>138</v>
      </c>
      <c r="J2" s="24" t="s">
        <v>158</v>
      </c>
      <c r="K2" s="85" t="s">
        <v>160</v>
      </c>
      <c r="L2" s="24" t="s">
        <v>159</v>
      </c>
    </row>
    <row r="3" spans="2:12" ht="18.75" x14ac:dyDescent="0.3">
      <c r="B3" s="24">
        <v>1</v>
      </c>
      <c r="C3" s="24" cm="1">
        <f t="array" ref="C3:C7">AM!G4:G8</f>
        <v>234000</v>
      </c>
      <c r="D3" s="24" cm="1">
        <f t="array" ref="D3:D7">SL!E3:E7</f>
        <v>195000</v>
      </c>
      <c r="E3" s="81" cm="1">
        <f t="array" ref="E3:E7">SYD!D3:D7</f>
        <v>325000</v>
      </c>
      <c r="F3" s="81" cm="1">
        <f t="array" ref="F3:F7">DDB!E3:E7</f>
        <v>440000</v>
      </c>
      <c r="G3" s="25" cm="1">
        <f t="array" ref="G3:G10">MACRS!E3:E10</f>
        <v>157190</v>
      </c>
      <c r="H3" s="25" cm="1">
        <f t="array" ref="H3:H10">'MACRS-Optional SL'!E3:E10</f>
        <v>78571.428571428565</v>
      </c>
      <c r="J3" s="86">
        <f>1/(1+0.1)^B3</f>
        <v>0.90909090909090906</v>
      </c>
      <c r="K3" s="81">
        <f>F3</f>
        <v>440000</v>
      </c>
      <c r="L3" s="81">
        <f>K3*J3</f>
        <v>400000</v>
      </c>
    </row>
    <row r="4" spans="2:12" ht="18.75" x14ac:dyDescent="0.3">
      <c r="B4" s="24">
        <v>2</v>
      </c>
      <c r="C4" s="24">
        <v>214500</v>
      </c>
      <c r="D4" s="24">
        <v>195000</v>
      </c>
      <c r="E4" s="24">
        <v>260000</v>
      </c>
      <c r="F4" s="24">
        <v>264000</v>
      </c>
      <c r="G4" s="25">
        <v>269390</v>
      </c>
      <c r="H4" s="25">
        <v>157142.85714285713</v>
      </c>
      <c r="J4" s="86">
        <f t="shared" ref="J4:J10" si="0">1/(1+0.1)^B4</f>
        <v>0.82644628099173545</v>
      </c>
      <c r="K4" s="81">
        <f t="shared" ref="K4:K10" si="1">F4</f>
        <v>264000</v>
      </c>
      <c r="L4" s="81">
        <f t="shared" ref="L4:L10" si="2">K4*J4</f>
        <v>218181.81818181815</v>
      </c>
    </row>
    <row r="5" spans="2:12" ht="18.75" x14ac:dyDescent="0.3">
      <c r="B5" s="84">
        <v>3</v>
      </c>
      <c r="C5" s="84">
        <v>195000</v>
      </c>
      <c r="D5" s="84">
        <v>195000</v>
      </c>
      <c r="E5" s="84">
        <v>195000</v>
      </c>
      <c r="F5" s="84">
        <v>158400</v>
      </c>
      <c r="G5" s="56">
        <v>192389.99999999997</v>
      </c>
      <c r="H5" s="56">
        <v>157142.85714285713</v>
      </c>
      <c r="J5" s="86">
        <f t="shared" si="0"/>
        <v>0.75131480090157754</v>
      </c>
      <c r="K5" s="81">
        <f t="shared" si="1"/>
        <v>158400</v>
      </c>
      <c r="L5" s="81">
        <f t="shared" si="2"/>
        <v>119008.26446280988</v>
      </c>
    </row>
    <row r="6" spans="2:12" ht="18.75" x14ac:dyDescent="0.3">
      <c r="B6" s="24">
        <v>4</v>
      </c>
      <c r="C6" s="24">
        <v>175500</v>
      </c>
      <c r="D6" s="24">
        <v>195000</v>
      </c>
      <c r="E6" s="24">
        <v>130000</v>
      </c>
      <c r="F6" s="24">
        <v>95040</v>
      </c>
      <c r="G6" s="25">
        <v>137390</v>
      </c>
      <c r="H6" s="25">
        <v>157142.85714285713</v>
      </c>
      <c r="J6" s="86">
        <f t="shared" si="0"/>
        <v>0.68301345536507052</v>
      </c>
      <c r="K6" s="81">
        <f t="shared" si="1"/>
        <v>95040</v>
      </c>
      <c r="L6" s="81">
        <f t="shared" si="2"/>
        <v>64913.598797896302</v>
      </c>
    </row>
    <row r="7" spans="2:12" ht="18.75" x14ac:dyDescent="0.3">
      <c r="B7" s="24">
        <v>5</v>
      </c>
      <c r="C7" s="24">
        <v>156000</v>
      </c>
      <c r="D7" s="24">
        <v>195000</v>
      </c>
      <c r="E7" s="24">
        <v>65000</v>
      </c>
      <c r="F7" s="24">
        <v>17560</v>
      </c>
      <c r="G7" s="25">
        <v>98229.999999999985</v>
      </c>
      <c r="H7" s="25">
        <v>157142.85714285713</v>
      </c>
      <c r="J7" s="86">
        <f t="shared" si="0"/>
        <v>0.62092132305915493</v>
      </c>
      <c r="K7" s="81">
        <f t="shared" si="1"/>
        <v>17560</v>
      </c>
      <c r="L7" s="81">
        <f t="shared" si="2"/>
        <v>10903.37843291876</v>
      </c>
    </row>
    <row r="8" spans="2:12" ht="18.75" x14ac:dyDescent="0.3">
      <c r="B8" s="24">
        <v>6</v>
      </c>
      <c r="C8" s="24"/>
      <c r="D8" s="24"/>
      <c r="E8" s="24"/>
      <c r="F8" s="24"/>
      <c r="G8" s="25">
        <v>98120</v>
      </c>
      <c r="H8" s="25">
        <v>157142.85714285713</v>
      </c>
      <c r="J8" s="86">
        <f t="shared" si="0"/>
        <v>0.56447393005377722</v>
      </c>
      <c r="K8" s="81">
        <f t="shared" si="1"/>
        <v>0</v>
      </c>
      <c r="L8" s="81">
        <f t="shared" si="2"/>
        <v>0</v>
      </c>
    </row>
    <row r="9" spans="2:12" ht="18.75" x14ac:dyDescent="0.3">
      <c r="B9" s="24">
        <v>7</v>
      </c>
      <c r="C9" s="24"/>
      <c r="D9" s="24"/>
      <c r="E9" s="24"/>
      <c r="F9" s="24"/>
      <c r="G9" s="25">
        <v>98229.999999999985</v>
      </c>
      <c r="H9" s="25">
        <v>157142.85714285713</v>
      </c>
      <c r="J9" s="86">
        <f t="shared" si="0"/>
        <v>0.51315811823070645</v>
      </c>
      <c r="K9" s="81">
        <f t="shared" si="1"/>
        <v>0</v>
      </c>
      <c r="L9" s="81">
        <f t="shared" si="2"/>
        <v>0</v>
      </c>
    </row>
    <row r="10" spans="2:12" ht="18.75" x14ac:dyDescent="0.3">
      <c r="B10" s="24">
        <v>8</v>
      </c>
      <c r="C10" s="24"/>
      <c r="D10" s="24"/>
      <c r="E10" s="24"/>
      <c r="F10" s="24"/>
      <c r="G10" s="25">
        <v>49060</v>
      </c>
      <c r="H10" s="25">
        <v>78571.428571428565</v>
      </c>
      <c r="J10" s="86">
        <f t="shared" si="0"/>
        <v>0.46650738020973315</v>
      </c>
      <c r="K10" s="81">
        <f t="shared" si="1"/>
        <v>0</v>
      </c>
      <c r="L10" s="81">
        <f t="shared" si="2"/>
        <v>0</v>
      </c>
    </row>
    <row r="11" spans="2:12" ht="18.75" x14ac:dyDescent="0.3">
      <c r="B11" s="24" t="s">
        <v>157</v>
      </c>
      <c r="C11" s="25">
        <f>SUM(C3:C10)</f>
        <v>975000</v>
      </c>
      <c r="D11" s="25">
        <f t="shared" ref="D11:H11" si="3">SUM(D3:D10)</f>
        <v>975000</v>
      </c>
      <c r="E11" s="25">
        <f t="shared" si="3"/>
        <v>975000</v>
      </c>
      <c r="F11" s="56">
        <f t="shared" si="3"/>
        <v>975000</v>
      </c>
      <c r="G11" s="25">
        <f t="shared" si="3"/>
        <v>1100000</v>
      </c>
      <c r="H11" s="25">
        <f t="shared" si="3"/>
        <v>1100000</v>
      </c>
      <c r="J11" s="24"/>
      <c r="K11" s="82">
        <f>SUM(K3:K10)</f>
        <v>975000</v>
      </c>
      <c r="L11" s="82">
        <f>SUM(L3:L10)</f>
        <v>813007.05987544311</v>
      </c>
    </row>
    <row r="12" spans="2:12" ht="18.75" x14ac:dyDescent="0.3">
      <c r="B12" s="24" t="s">
        <v>161</v>
      </c>
      <c r="C12" s="25">
        <f>NPV(0.1,_xlfn.ANCHORARRAY(C3))</f>
        <v>753238.97398960567</v>
      </c>
      <c r="D12" s="25">
        <f t="shared" ref="D12:H12" si="4">NPV(0.1,_xlfn.ANCHORARRAY(D3))</f>
        <v>739203.42003464734</v>
      </c>
      <c r="E12" s="25">
        <f t="shared" si="4"/>
        <v>785988.59988450853</v>
      </c>
      <c r="F12" s="56">
        <f t="shared" si="4"/>
        <v>813007.059875443</v>
      </c>
      <c r="G12" s="25">
        <f t="shared" si="4"/>
        <v>793594.69442229415</v>
      </c>
      <c r="H12" s="25">
        <f t="shared" si="4"/>
        <v>730262.8226539396</v>
      </c>
    </row>
    <row r="15" spans="2:12" ht="58.5" customHeight="1" x14ac:dyDescent="0.3">
      <c r="B15" s="73" t="s">
        <v>162</v>
      </c>
    </row>
    <row r="16" spans="2:12" ht="18.75" x14ac:dyDescent="0.3">
      <c r="B16" s="87">
        <v>0.1</v>
      </c>
    </row>
  </sheetData>
  <mergeCells count="1">
    <mergeCell ref="C1:H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D468E-D0F5-4536-9B5C-41F5AFCC94CC}">
  <dimension ref="A2:O22"/>
  <sheetViews>
    <sheetView workbookViewId="0">
      <selection activeCell="Q11" sqref="Q11"/>
    </sheetView>
  </sheetViews>
  <sheetFormatPr defaultRowHeight="15" x14ac:dyDescent="0.25"/>
  <cols>
    <col min="2" max="2" width="13.7109375" customWidth="1"/>
    <col min="3" max="3" width="30.7109375" customWidth="1"/>
    <col min="4" max="4" width="16" customWidth="1"/>
    <col min="5" max="5" width="13.42578125" bestFit="1" customWidth="1"/>
    <col min="6" max="6" width="13.7109375" customWidth="1"/>
    <col min="7" max="7" width="12.5703125" customWidth="1"/>
    <col min="8" max="8" width="13.5703125" customWidth="1"/>
    <col min="9" max="9" width="11.28515625" customWidth="1"/>
    <col min="10" max="10" width="15.140625" customWidth="1"/>
    <col min="11" max="11" width="16" bestFit="1" customWidth="1"/>
    <col min="13" max="13" width="12.5703125" bestFit="1" customWidth="1"/>
    <col min="14" max="14" width="11" customWidth="1"/>
    <col min="15" max="15" width="9.7109375" bestFit="1" customWidth="1"/>
  </cols>
  <sheetData>
    <row r="2" spans="1:15" ht="34.5" customHeight="1" x14ac:dyDescent="0.25">
      <c r="A2" s="1" t="s">
        <v>10</v>
      </c>
      <c r="C2" s="3"/>
      <c r="E2" s="3" t="s">
        <v>1</v>
      </c>
      <c r="F2" s="3" t="s">
        <v>2</v>
      </c>
      <c r="G2" s="3" t="s">
        <v>3</v>
      </c>
      <c r="H2" s="4" t="s">
        <v>4</v>
      </c>
      <c r="I2" s="4" t="s">
        <v>5</v>
      </c>
      <c r="J2" s="4" t="s">
        <v>6</v>
      </c>
      <c r="K2" s="4" t="s">
        <v>32</v>
      </c>
    </row>
    <row r="3" spans="1:15" ht="30" x14ac:dyDescent="0.25">
      <c r="C3" t="s">
        <v>0</v>
      </c>
      <c r="M3" s="3" t="s">
        <v>15</v>
      </c>
      <c r="N3" s="4" t="s">
        <v>26</v>
      </c>
      <c r="O3" s="4" t="s">
        <v>27</v>
      </c>
    </row>
    <row r="4" spans="1:15" x14ac:dyDescent="0.25">
      <c r="C4" s="8" t="s">
        <v>7</v>
      </c>
      <c r="E4" t="s">
        <v>8</v>
      </c>
      <c r="F4" s="7">
        <f>$N$4</f>
        <v>-400000</v>
      </c>
      <c r="G4">
        <v>0</v>
      </c>
      <c r="H4" s="16">
        <f xml:space="preserve"> IF(G4=0,F4,F4*G4)</f>
        <v>-400000</v>
      </c>
      <c r="I4" s="19">
        <v>1</v>
      </c>
      <c r="J4" s="7">
        <f>H4*I4</f>
        <v>-400000</v>
      </c>
      <c r="M4" s="18">
        <v>610000</v>
      </c>
      <c r="N4" s="18">
        <v>-400000</v>
      </c>
      <c r="O4" s="18">
        <v>-70000</v>
      </c>
    </row>
    <row r="5" spans="1:15" x14ac:dyDescent="0.25">
      <c r="A5">
        <v>3</v>
      </c>
      <c r="C5" s="8" t="s">
        <v>9</v>
      </c>
      <c r="E5" s="9" t="str">
        <f>"1-3"</f>
        <v>1-3</v>
      </c>
      <c r="F5" s="7">
        <f>$O$4</f>
        <v>-70000</v>
      </c>
      <c r="G5">
        <v>0</v>
      </c>
      <c r="H5" s="16">
        <f xml:space="preserve"> IF(G5=0,F5,F5*G5)</f>
        <v>-70000</v>
      </c>
      <c r="I5" s="19" cm="1">
        <f t="array" ref="I5">_xlfn.XLOOKUP($A5,PVAF!$E$6:$E$30,PVAF!$K$6:$K$30,null,0)</f>
        <v>2.4868519909842246</v>
      </c>
      <c r="J5" s="7">
        <f>H5*I5</f>
        <v>-174079.63936889573</v>
      </c>
    </row>
    <row r="6" spans="1:15" x14ac:dyDescent="0.25">
      <c r="C6" t="s">
        <v>11</v>
      </c>
      <c r="E6" s="7" t="s">
        <v>8</v>
      </c>
      <c r="F6" s="7">
        <v>-1800</v>
      </c>
      <c r="G6">
        <v>0</v>
      </c>
      <c r="H6" s="16">
        <f t="shared" ref="H6:H7" si="0" xml:space="preserve"> IF(G6=0,F6,F6*G6)</f>
        <v>-1800</v>
      </c>
      <c r="I6" s="19">
        <v>1</v>
      </c>
      <c r="J6" s="7">
        <f t="shared" ref="J6:J7" si="1">H6*I6</f>
        <v>-1800</v>
      </c>
    </row>
    <row r="7" spans="1:15" x14ac:dyDescent="0.25">
      <c r="A7">
        <v>15</v>
      </c>
      <c r="C7" t="s">
        <v>12</v>
      </c>
      <c r="E7" s="9" t="str">
        <f>"1-15"</f>
        <v>1-15</v>
      </c>
      <c r="F7" s="7">
        <v>95000</v>
      </c>
      <c r="G7">
        <f>(1-0.3)</f>
        <v>0.7</v>
      </c>
      <c r="H7" s="16">
        <f t="shared" si="0"/>
        <v>66500</v>
      </c>
      <c r="I7" s="19" cm="1">
        <f t="array" ref="I7">_xlfn.XLOOKUP($A7,PVAF!$E$6:$E$30,PVAF!$K$6:$K$30,null,0)</f>
        <v>7.6060795063083662</v>
      </c>
      <c r="J7" s="7">
        <f t="shared" si="1"/>
        <v>505804.28716950637</v>
      </c>
      <c r="K7" s="21">
        <f>SUM(J4:J7)</f>
        <v>-70075.352199389308</v>
      </c>
    </row>
    <row r="8" spans="1:15" x14ac:dyDescent="0.25">
      <c r="C8" t="s">
        <v>13</v>
      </c>
      <c r="F8" s="7"/>
      <c r="H8" s="6"/>
    </row>
    <row r="9" spans="1:15" x14ac:dyDescent="0.25">
      <c r="H9" s="6"/>
    </row>
    <row r="10" spans="1:15" ht="28.5" customHeight="1" x14ac:dyDescent="0.25">
      <c r="A10" s="3" t="s">
        <v>14</v>
      </c>
      <c r="B10" s="3" t="s">
        <v>15</v>
      </c>
      <c r="C10" s="4" t="s">
        <v>17</v>
      </c>
      <c r="D10" s="4" t="s">
        <v>16</v>
      </c>
    </row>
    <row r="11" spans="1:15" x14ac:dyDescent="0.25">
      <c r="A11">
        <v>1</v>
      </c>
      <c r="B11" s="16">
        <f>$M$4</f>
        <v>610000</v>
      </c>
      <c r="C11" cm="1">
        <f t="array" ref="C11">_xlfn.XLOOKUP($A11,MACRS_Table!$C$6:$C$26,MACRS_Table!$F$6:$F$26,null,0)</f>
        <v>14.29</v>
      </c>
      <c r="D11" s="17">
        <f>$B11*($C11/100)</f>
        <v>87169</v>
      </c>
      <c r="E11">
        <v>1</v>
      </c>
      <c r="F11" s="17">
        <f>D11</f>
        <v>87169</v>
      </c>
      <c r="G11">
        <v>0.3</v>
      </c>
      <c r="H11" s="15">
        <f>F11*G11</f>
        <v>26150.7</v>
      </c>
      <c r="I11" s="20" cm="1">
        <f t="array" ref="I11">_xlfn.XLOOKUP($A11,PV!$E$6:$E$30,PV!$K$6:$K$30,null,0)</f>
        <v>0.90909090909090906</v>
      </c>
      <c r="J11" s="15">
        <f>H11*I11</f>
        <v>23773.363636363636</v>
      </c>
    </row>
    <row r="12" spans="1:15" x14ac:dyDescent="0.25">
      <c r="A12">
        <v>2</v>
      </c>
      <c r="B12" s="16">
        <f t="shared" ref="B12:B18" si="2">$M$4</f>
        <v>610000</v>
      </c>
      <c r="C12" cm="1">
        <f t="array" ref="C12">_xlfn.XLOOKUP($A12,MACRS_Table!$C$6:$C$26,MACRS_Table!$F$6:$F$26,null,0)</f>
        <v>24.49</v>
      </c>
      <c r="D12" s="17">
        <f t="shared" ref="D12:D18" si="3">$B12*($C12/100)</f>
        <v>149389</v>
      </c>
      <c r="E12">
        <v>2</v>
      </c>
      <c r="F12" s="17">
        <f t="shared" ref="F12:F18" si="4">D12</f>
        <v>149389</v>
      </c>
      <c r="G12">
        <v>0.3</v>
      </c>
      <c r="H12" s="15">
        <f t="shared" ref="H12:H18" si="5">F12*G12</f>
        <v>44816.7</v>
      </c>
      <c r="I12" s="20" cm="1">
        <f t="array" ref="I12">_xlfn.XLOOKUP($A12,PV!$E$6:$E$30,PV!$K$6:$K$30,null,0)</f>
        <v>0.82644628099173545</v>
      </c>
      <c r="J12" s="15">
        <f t="shared" ref="J12:J21" si="6">H12*I12</f>
        <v>37038.595041322311</v>
      </c>
    </row>
    <row r="13" spans="1:15" x14ac:dyDescent="0.25">
      <c r="A13">
        <v>3</v>
      </c>
      <c r="B13" s="16">
        <f t="shared" si="2"/>
        <v>610000</v>
      </c>
      <c r="C13" cm="1">
        <f t="array" ref="C13">_xlfn.XLOOKUP($A13,MACRS_Table!$C$6:$C$26,MACRS_Table!$F$6:$F$26,null,0)</f>
        <v>17.489999999999998</v>
      </c>
      <c r="D13" s="17">
        <f t="shared" si="3"/>
        <v>106688.99999999999</v>
      </c>
      <c r="E13">
        <v>3</v>
      </c>
      <c r="F13" s="17">
        <f t="shared" si="4"/>
        <v>106688.99999999999</v>
      </c>
      <c r="G13">
        <v>0.3</v>
      </c>
      <c r="H13" s="15">
        <f t="shared" si="5"/>
        <v>32006.699999999993</v>
      </c>
      <c r="I13" s="20" cm="1">
        <f t="array" ref="I13">_xlfn.XLOOKUP($A13,PV!$E$6:$E$30,PV!$K$6:$K$30,null,0)</f>
        <v>0.75131480090157754</v>
      </c>
      <c r="J13" s="15">
        <f t="shared" si="6"/>
        <v>24047.107438016516</v>
      </c>
    </row>
    <row r="14" spans="1:15" x14ac:dyDescent="0.25">
      <c r="A14">
        <v>4</v>
      </c>
      <c r="B14" s="16">
        <f t="shared" si="2"/>
        <v>610000</v>
      </c>
      <c r="C14" cm="1">
        <f t="array" ref="C14">_xlfn.XLOOKUP($A14,MACRS_Table!$C$6:$C$26,MACRS_Table!$F$6:$F$26,null,0)</f>
        <v>12.49</v>
      </c>
      <c r="D14" s="17">
        <f t="shared" si="3"/>
        <v>76189</v>
      </c>
      <c r="E14">
        <v>4</v>
      </c>
      <c r="F14" s="17">
        <f t="shared" si="4"/>
        <v>76189</v>
      </c>
      <c r="G14">
        <v>0.3</v>
      </c>
      <c r="H14" s="15">
        <f t="shared" si="5"/>
        <v>22856.7</v>
      </c>
      <c r="I14" s="20" cm="1">
        <f t="array" ref="I14">_xlfn.XLOOKUP($A14,PV!$E$6:$E$30,PV!$K$6:$K$30,null,0)</f>
        <v>0.68301345536507052</v>
      </c>
      <c r="J14" s="15">
        <f t="shared" si="6"/>
        <v>15611.433645242809</v>
      </c>
    </row>
    <row r="15" spans="1:15" x14ac:dyDescent="0.25">
      <c r="A15">
        <v>5</v>
      </c>
      <c r="B15" s="16">
        <f t="shared" si="2"/>
        <v>610000</v>
      </c>
      <c r="C15" cm="1">
        <f t="array" ref="C15">_xlfn.XLOOKUP($A15,MACRS_Table!$C$6:$C$26,MACRS_Table!$F$6:$F$26,null,0)</f>
        <v>8.93</v>
      </c>
      <c r="D15" s="17">
        <f t="shared" si="3"/>
        <v>54472.999999999993</v>
      </c>
      <c r="E15">
        <v>5</v>
      </c>
      <c r="F15" s="17">
        <f t="shared" si="4"/>
        <v>54472.999999999993</v>
      </c>
      <c r="G15">
        <v>0.3</v>
      </c>
      <c r="H15" s="15">
        <f t="shared" si="5"/>
        <v>16341.899999999998</v>
      </c>
      <c r="I15" s="20" cm="1">
        <f t="array" ref="I15">_xlfn.XLOOKUP($A15,PV!$E$6:$E$30,PV!$K$6:$K$30,null,0)</f>
        <v>0.62092132305915493</v>
      </c>
      <c r="J15" s="15">
        <f t="shared" si="6"/>
        <v>10147.034169300403</v>
      </c>
    </row>
    <row r="16" spans="1:15" x14ac:dyDescent="0.25">
      <c r="A16">
        <v>6</v>
      </c>
      <c r="B16" s="16">
        <f t="shared" si="2"/>
        <v>610000</v>
      </c>
      <c r="C16" cm="1">
        <f t="array" ref="C16">_xlfn.XLOOKUP($A16,MACRS_Table!$C$6:$C$26,MACRS_Table!$F$6:$F$26,null,0)</f>
        <v>8.92</v>
      </c>
      <c r="D16" s="17">
        <f t="shared" si="3"/>
        <v>54412</v>
      </c>
      <c r="E16">
        <v>6</v>
      </c>
      <c r="F16" s="17">
        <f t="shared" si="4"/>
        <v>54412</v>
      </c>
      <c r="G16">
        <v>0.3</v>
      </c>
      <c r="H16" s="15">
        <f t="shared" si="5"/>
        <v>16323.599999999999</v>
      </c>
      <c r="I16" s="20" cm="1">
        <f t="array" ref="I16">_xlfn.XLOOKUP($A16,PV!$E$6:$E$30,PV!$K$6:$K$30,null,0)</f>
        <v>0.56447393005377722</v>
      </c>
      <c r="J16" s="15">
        <f t="shared" si="6"/>
        <v>9214.2466446258368</v>
      </c>
    </row>
    <row r="17" spans="1:11" x14ac:dyDescent="0.25">
      <c r="A17">
        <v>7</v>
      </c>
      <c r="B17" s="16">
        <f t="shared" si="2"/>
        <v>610000</v>
      </c>
      <c r="C17" cm="1">
        <f t="array" ref="C17">_xlfn.XLOOKUP($A17,MACRS_Table!$C$6:$C$26,MACRS_Table!$F$6:$F$26,null,0)</f>
        <v>8.93</v>
      </c>
      <c r="D17" s="17">
        <f t="shared" si="3"/>
        <v>54472.999999999993</v>
      </c>
      <c r="E17">
        <v>7</v>
      </c>
      <c r="F17" s="17">
        <f t="shared" si="4"/>
        <v>54472.999999999993</v>
      </c>
      <c r="G17">
        <v>0.3</v>
      </c>
      <c r="H17" s="15">
        <f t="shared" si="5"/>
        <v>16341.899999999998</v>
      </c>
      <c r="I17" s="20" cm="1">
        <f t="array" ref="I17">_xlfn.XLOOKUP($A17,PV!$E$6:$E$30,PV!$K$6:$K$30,null,0)</f>
        <v>0.51315811823070645</v>
      </c>
      <c r="J17" s="15">
        <f t="shared" si="6"/>
        <v>8385.9786523143812</v>
      </c>
    </row>
    <row r="18" spans="1:11" x14ac:dyDescent="0.25">
      <c r="A18">
        <v>8</v>
      </c>
      <c r="B18" s="16">
        <f t="shared" si="2"/>
        <v>610000</v>
      </c>
      <c r="C18" cm="1">
        <f t="array" ref="C18">_xlfn.XLOOKUP($A18,MACRS_Table!$C$6:$C$26,MACRS_Table!$F$6:$F$26,null,0)</f>
        <v>4.46</v>
      </c>
      <c r="D18" s="17">
        <f t="shared" si="3"/>
        <v>27206</v>
      </c>
      <c r="E18">
        <v>8</v>
      </c>
      <c r="F18" s="17">
        <f t="shared" si="4"/>
        <v>27206</v>
      </c>
      <c r="G18">
        <v>0.3</v>
      </c>
      <c r="H18" s="15">
        <f t="shared" si="5"/>
        <v>8161.7999999999993</v>
      </c>
      <c r="I18" s="20" cm="1">
        <f t="array" ref="I18">_xlfn.XLOOKUP($A18,PV!$E$6:$E$30,PV!$K$6:$K$30,null,0)</f>
        <v>0.46650738020973315</v>
      </c>
      <c r="J18" s="15">
        <f t="shared" si="6"/>
        <v>3807.5399357957995</v>
      </c>
    </row>
    <row r="19" spans="1:11" ht="21" customHeight="1" x14ac:dyDescent="0.25">
      <c r="A19" s="91" t="s">
        <v>28</v>
      </c>
      <c r="B19" s="91"/>
      <c r="C19" s="91"/>
      <c r="D19" s="91"/>
      <c r="E19">
        <v>9</v>
      </c>
      <c r="F19" s="17">
        <v>-35000</v>
      </c>
      <c r="G19">
        <f>(1-0.3)</f>
        <v>0.7</v>
      </c>
      <c r="H19" s="17">
        <f xml:space="preserve"> IF(G19=0,F19,F19*G19)</f>
        <v>-24500</v>
      </c>
      <c r="I19" s="20" cm="1">
        <f t="array" ref="I19">_xlfn.XLOOKUP($E19,PV!$E$6:$E$30,PV!$K$6:$K$30,null,0)</f>
        <v>0.42409761837248466</v>
      </c>
      <c r="J19" s="15">
        <f t="shared" si="6"/>
        <v>-10390.391650125874</v>
      </c>
    </row>
    <row r="20" spans="1:11" x14ac:dyDescent="0.25">
      <c r="A20" s="91" t="s">
        <v>29</v>
      </c>
      <c r="B20" s="91"/>
      <c r="C20" s="91"/>
      <c r="D20" s="91"/>
      <c r="E20">
        <v>15</v>
      </c>
      <c r="F20" s="17">
        <v>1800</v>
      </c>
      <c r="G20">
        <v>0</v>
      </c>
      <c r="H20" s="17">
        <f t="shared" ref="H20:H21" si="7" xml:space="preserve"> IF(G20=0,F20,F20*G20)</f>
        <v>1800</v>
      </c>
      <c r="I20" s="20" cm="1">
        <f t="array" ref="I20">_xlfn.XLOOKUP($E20,PV!$E$6:$E$30,PV!$K$6:$K$30,null,0)</f>
        <v>0.23939204936916339</v>
      </c>
      <c r="J20" s="15">
        <f t="shared" si="6"/>
        <v>430.9056888644941</v>
      </c>
    </row>
    <row r="21" spans="1:11" x14ac:dyDescent="0.25">
      <c r="A21" s="91" t="s">
        <v>30</v>
      </c>
      <c r="B21" s="91"/>
      <c r="C21" s="91"/>
      <c r="D21" s="91"/>
      <c r="E21">
        <v>15</v>
      </c>
      <c r="F21" s="17">
        <v>50000</v>
      </c>
      <c r="G21">
        <f>(1-0.3)</f>
        <v>0.7</v>
      </c>
      <c r="H21" s="17">
        <f t="shared" si="7"/>
        <v>35000</v>
      </c>
      <c r="I21" s="20" cm="1">
        <f t="array" ref="I21">_xlfn.XLOOKUP($E21,PV!$E$6:$E$30,PV!$K$6:$K$30,null,0)</f>
        <v>0.23939204936916339</v>
      </c>
      <c r="J21" s="15">
        <f t="shared" si="6"/>
        <v>8378.721727920718</v>
      </c>
      <c r="K21" s="21">
        <f>SUM(J11:J21)</f>
        <v>130444.53492964106</v>
      </c>
    </row>
    <row r="22" spans="1:11" ht="18.75" x14ac:dyDescent="0.3">
      <c r="A22" s="102" t="s">
        <v>31</v>
      </c>
      <c r="B22" s="102"/>
      <c r="C22" s="102"/>
      <c r="D22" s="102"/>
      <c r="F22" s="17"/>
      <c r="J22" s="15"/>
      <c r="K22" s="22">
        <f>K7+K21</f>
        <v>60369.182730251749</v>
      </c>
    </row>
  </sheetData>
  <mergeCells count="4">
    <mergeCell ref="A19:D19"/>
    <mergeCell ref="A20:D20"/>
    <mergeCell ref="A21:D21"/>
    <mergeCell ref="A22:D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6CFB9-87D0-404E-93FE-C126F34662E4}">
  <dimension ref="A10:D18"/>
  <sheetViews>
    <sheetView workbookViewId="0">
      <selection activeCell="I17" sqref="I17"/>
    </sheetView>
  </sheetViews>
  <sheetFormatPr defaultRowHeight="15" x14ac:dyDescent="0.25"/>
  <cols>
    <col min="2" max="2" width="15.85546875" customWidth="1"/>
    <col min="3" max="3" width="13.42578125" customWidth="1"/>
    <col min="4" max="4" width="25" customWidth="1"/>
    <col min="5" max="5" width="25.5703125" customWidth="1"/>
  </cols>
  <sheetData>
    <row r="10" spans="1:4" ht="60" x14ac:dyDescent="0.25">
      <c r="A10" s="3" t="s">
        <v>14</v>
      </c>
      <c r="B10" s="3" t="s">
        <v>15</v>
      </c>
      <c r="C10" s="4" t="s">
        <v>17</v>
      </c>
      <c r="D10" s="4" t="s">
        <v>16</v>
      </c>
    </row>
    <row r="11" spans="1:4" x14ac:dyDescent="0.25">
      <c r="A11">
        <v>1</v>
      </c>
      <c r="B11" s="16">
        <v>1100000</v>
      </c>
      <c r="C11" cm="1">
        <f t="array" ref="C11">_xlfn.XLOOKUP($A11,MACRS_Table!$C$6:$C$26,MACRS_Table!$F$6:$F$26,null,0)</f>
        <v>14.29</v>
      </c>
      <c r="D11" s="17">
        <f>B11*(C11/100)</f>
        <v>157190</v>
      </c>
    </row>
    <row r="12" spans="1:4" x14ac:dyDescent="0.25">
      <c r="A12">
        <v>2</v>
      </c>
      <c r="B12" s="16">
        <v>1100000</v>
      </c>
      <c r="C12" cm="1">
        <f t="array" ref="C12">_xlfn.XLOOKUP($A12,MACRS_Table!$C$6:$C$26,MACRS_Table!$F$6:$F$26,null,0)</f>
        <v>24.49</v>
      </c>
      <c r="D12" s="17">
        <f t="shared" ref="D12:D18" si="0">B12*(C12/100)</f>
        <v>269390</v>
      </c>
    </row>
    <row r="13" spans="1:4" x14ac:dyDescent="0.25">
      <c r="A13">
        <v>3</v>
      </c>
      <c r="B13" s="16">
        <v>1100000</v>
      </c>
      <c r="C13" cm="1">
        <f t="array" ref="C13">_xlfn.XLOOKUP($A13,MACRS_Table!$C$6:$C$26,MACRS_Table!$F$6:$F$26,null,0)</f>
        <v>17.489999999999998</v>
      </c>
      <c r="D13" s="17">
        <f t="shared" si="0"/>
        <v>192389.99999999997</v>
      </c>
    </row>
    <row r="14" spans="1:4" x14ac:dyDescent="0.25">
      <c r="A14">
        <v>4</v>
      </c>
      <c r="B14" s="16">
        <v>1100000</v>
      </c>
      <c r="C14" cm="1">
        <f t="array" ref="C14">_xlfn.XLOOKUP($A14,MACRS_Table!$C$6:$C$26,MACRS_Table!$F$6:$F$26,null,0)</f>
        <v>12.49</v>
      </c>
      <c r="D14" s="17">
        <f t="shared" si="0"/>
        <v>137390</v>
      </c>
    </row>
    <row r="15" spans="1:4" x14ac:dyDescent="0.25">
      <c r="A15">
        <v>5</v>
      </c>
      <c r="B15" s="16">
        <v>1100000</v>
      </c>
      <c r="C15" cm="1">
        <f t="array" ref="C15">_xlfn.XLOOKUP($A15,MACRS_Table!$C$6:$C$26,MACRS_Table!$F$6:$F$26,null,0)</f>
        <v>8.93</v>
      </c>
      <c r="D15" s="17">
        <f>B15*(C15/100)</f>
        <v>98229.999999999985</v>
      </c>
    </row>
    <row r="16" spans="1:4" x14ac:dyDescent="0.25">
      <c r="A16">
        <v>6</v>
      </c>
      <c r="B16" s="16">
        <v>1100000</v>
      </c>
      <c r="C16" cm="1">
        <f t="array" ref="C16">_xlfn.XLOOKUP($A16,MACRS_Table!$C$6:$C$26,MACRS_Table!$F$6:$F$26,null,0)</f>
        <v>8.92</v>
      </c>
      <c r="D16" s="17">
        <f t="shared" si="0"/>
        <v>98120</v>
      </c>
    </row>
    <row r="17" spans="1:4" x14ac:dyDescent="0.25">
      <c r="A17">
        <v>7</v>
      </c>
      <c r="B17" s="16">
        <v>1100000</v>
      </c>
      <c r="C17" cm="1">
        <f t="array" ref="C17">_xlfn.XLOOKUP($A17,MACRS_Table!$C$6:$C$26,MACRS_Table!$F$6:$F$26,null,0)</f>
        <v>8.93</v>
      </c>
      <c r="D17" s="17">
        <f t="shared" si="0"/>
        <v>98229.999999999985</v>
      </c>
    </row>
    <row r="18" spans="1:4" x14ac:dyDescent="0.25">
      <c r="A18">
        <v>8</v>
      </c>
      <c r="B18" s="16">
        <v>1100000</v>
      </c>
      <c r="C18" cm="1">
        <f t="array" ref="C18">_xlfn.XLOOKUP($A18,MACRS_Table!$C$6:$C$26,MACRS_Table!$F$6:$F$26,null,0)</f>
        <v>4.46</v>
      </c>
      <c r="D18" s="17">
        <f t="shared" si="0"/>
        <v>49060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21</vt:i4>
      </vt:variant>
      <vt:variant>
        <vt:lpstr>Charts</vt:lpstr>
      </vt:variant>
      <vt:variant>
        <vt:i4>1</vt:i4>
      </vt:variant>
      <vt:variant>
        <vt:lpstr>Named Ranges</vt:lpstr>
      </vt:variant>
      <vt:variant>
        <vt:i4>1</vt:i4>
      </vt:variant>
    </vt:vector>
  </HeadingPairs>
  <TitlesOfParts>
    <vt:vector size="23" baseType="lpstr">
      <vt:lpstr>PV</vt:lpstr>
      <vt:lpstr>PVAF</vt:lpstr>
      <vt:lpstr>FV</vt:lpstr>
      <vt:lpstr>FVAF</vt:lpstr>
      <vt:lpstr>Sheet8</vt:lpstr>
      <vt:lpstr>Sheet7</vt:lpstr>
      <vt:lpstr>Sheet1 (2)</vt:lpstr>
      <vt:lpstr>Depreciation Methods</vt:lpstr>
      <vt:lpstr>Example</vt:lpstr>
      <vt:lpstr>SL</vt:lpstr>
      <vt:lpstr>DDB</vt:lpstr>
      <vt:lpstr>SYD</vt:lpstr>
      <vt:lpstr>AM</vt:lpstr>
      <vt:lpstr>MACRS_Table</vt:lpstr>
      <vt:lpstr>MACRS</vt:lpstr>
      <vt:lpstr>MACRS-Optional SL</vt:lpstr>
      <vt:lpstr>Depreciation Summary</vt:lpstr>
      <vt:lpstr>Chart_Depreciation Data</vt:lpstr>
      <vt:lpstr>PV Depreciation Data</vt:lpstr>
      <vt:lpstr>NPV Analysis - MACRS</vt:lpstr>
      <vt:lpstr>Sheet11</vt:lpstr>
      <vt:lpstr>Depreciation Chart</vt:lpstr>
      <vt:lpstr>MACRS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 Storli</dc:creator>
  <cp:lastModifiedBy>Tor Storli</cp:lastModifiedBy>
  <dcterms:created xsi:type="dcterms:W3CDTF">2024-05-20T15:29:34Z</dcterms:created>
  <dcterms:modified xsi:type="dcterms:W3CDTF">2024-06-26T23:01:13Z</dcterms:modified>
</cp:coreProperties>
</file>