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indoor-positioning-for-bim\ExperimentalResults\"/>
    </mc:Choice>
  </mc:AlternateContent>
  <xr:revisionPtr revIDLastSave="0" documentId="13_ncr:1_{E899EBFB-DAB0-4D2E-A9B7-DA2F28E4A5C4}" xr6:coauthVersionLast="47" xr6:coauthVersionMax="48" xr10:uidLastSave="{00000000-0000-0000-0000-000000000000}"/>
  <bookViews>
    <workbookView xWindow="28680" yWindow="-120" windowWidth="29040" windowHeight="15840" activeTab="1" xr2:uid="{00000000-000D-0000-FFFF-FFFF00000000}"/>
  </bookViews>
  <sheets>
    <sheet name="Data Export" sheetId="1" r:id="rId1"/>
    <sheet name="n estimate" sheetId="2" r:id="rId2"/>
  </sheets>
  <definedNames>
    <definedName name="_xlnm._FilterDatabase" localSheetId="0" hidden="1">'Data Export'!$B$1:$O$356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" i="2" l="1"/>
  <c r="AF6" i="2"/>
  <c r="AG6" i="2"/>
  <c r="AH6" i="2"/>
  <c r="AD6" i="2"/>
  <c r="T7" i="1" l="1"/>
  <c r="T6" i="1"/>
  <c r="T5" i="1" a="1"/>
  <c r="T5" i="1" s="1"/>
  <c r="T4" i="1"/>
  <c r="T12" i="1"/>
  <c r="T11" i="1"/>
  <c r="T10" i="1"/>
  <c r="T9" i="1"/>
  <c r="T8" i="1"/>
  <c r="AG3" i="2"/>
  <c r="AF3" i="2"/>
  <c r="AE3" i="2"/>
  <c r="AD3" i="2"/>
  <c r="L2" i="2" l="1"/>
  <c r="K2" i="2"/>
  <c r="K66" i="2"/>
  <c r="K67" i="2"/>
  <c r="K68" i="2"/>
  <c r="K69" i="2"/>
  <c r="K70" i="2"/>
  <c r="K71" i="2"/>
  <c r="K72" i="2"/>
  <c r="K73" i="2"/>
  <c r="K74" i="2"/>
  <c r="K75" i="2"/>
  <c r="K65" i="2"/>
  <c r="K54" i="2"/>
  <c r="K55" i="2"/>
  <c r="K56" i="2"/>
  <c r="K57" i="2"/>
  <c r="K58" i="2"/>
  <c r="K59" i="2"/>
  <c r="K60" i="2"/>
  <c r="K61" i="2"/>
  <c r="K62" i="2"/>
  <c r="K63" i="2"/>
  <c r="K53" i="2"/>
  <c r="K41" i="2"/>
  <c r="K42" i="2"/>
  <c r="K43" i="2"/>
  <c r="K44" i="2"/>
  <c r="K45" i="2"/>
  <c r="K46" i="2"/>
  <c r="K47" i="2"/>
  <c r="K48" i="2"/>
  <c r="K49" i="2"/>
  <c r="K50" i="2"/>
  <c r="K51" i="2"/>
  <c r="K40" i="2"/>
  <c r="K29" i="2"/>
  <c r="K30" i="2"/>
  <c r="K31" i="2"/>
  <c r="K32" i="2"/>
  <c r="K33" i="2"/>
  <c r="K34" i="2"/>
  <c r="K35" i="2"/>
  <c r="K36" i="2"/>
  <c r="K37" i="2"/>
  <c r="K38" i="2"/>
  <c r="K28" i="2"/>
  <c r="K26" i="2"/>
  <c r="K14" i="2"/>
  <c r="K15" i="2"/>
  <c r="K16" i="2"/>
  <c r="K17" i="2"/>
  <c r="K18" i="2"/>
  <c r="K19" i="2"/>
  <c r="K20" i="2"/>
  <c r="K21" i="2"/>
  <c r="K22" i="2"/>
  <c r="K23" i="2"/>
  <c r="K24" i="2"/>
  <c r="K25" i="2"/>
  <c r="K13" i="2"/>
  <c r="K3" i="2"/>
  <c r="K4" i="2"/>
  <c r="K5" i="2"/>
  <c r="K6" i="2"/>
  <c r="K7" i="2"/>
  <c r="K8" i="2"/>
  <c r="K9" i="2"/>
  <c r="K10" i="2"/>
  <c r="K11" i="2"/>
  <c r="W9" i="1"/>
  <c r="W8" i="1"/>
  <c r="W7" i="1"/>
  <c r="W6" i="1"/>
  <c r="J2" i="2"/>
  <c r="J3" i="2"/>
  <c r="L3" i="2" s="1"/>
  <c r="J4" i="2"/>
  <c r="Z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3" i="2"/>
  <c r="Z13" i="2" s="1"/>
  <c r="J14" i="2"/>
  <c r="Y14" i="2" s="1"/>
  <c r="J15" i="2"/>
  <c r="L15" i="2" s="1"/>
  <c r="J16" i="2"/>
  <c r="L16" i="2" s="1"/>
  <c r="J17" i="2"/>
  <c r="Z17" i="2" s="1"/>
  <c r="J18" i="2"/>
  <c r="L18" i="2" s="1"/>
  <c r="J19" i="2"/>
  <c r="L19" i="2" s="1"/>
  <c r="J20" i="2"/>
  <c r="L20" i="2" s="1"/>
  <c r="J21" i="2"/>
  <c r="O21" i="2" s="1"/>
  <c r="J22" i="2"/>
  <c r="Y22" i="2" s="1"/>
  <c r="J23" i="2"/>
  <c r="L23" i="2" s="1"/>
  <c r="J24" i="2"/>
  <c r="L24" i="2" s="1"/>
  <c r="J25" i="2"/>
  <c r="Z25" i="2" s="1"/>
  <c r="J26" i="2"/>
  <c r="Z26" i="2" s="1"/>
  <c r="J28" i="2"/>
  <c r="L28" i="2" s="1"/>
  <c r="J29" i="2"/>
  <c r="Z29" i="2" s="1"/>
  <c r="J30" i="2"/>
  <c r="O30" i="2" s="1"/>
  <c r="S33" i="2" s="1"/>
  <c r="J31" i="2"/>
  <c r="L31" i="2" s="1"/>
  <c r="J32" i="2"/>
  <c r="L32" i="2" s="1"/>
  <c r="J33" i="2"/>
  <c r="O33" i="2" s="1"/>
  <c r="J34" i="2"/>
  <c r="L34" i="2" s="1"/>
  <c r="J35" i="2"/>
  <c r="L35" i="2" s="1"/>
  <c r="J36" i="2"/>
  <c r="O36" i="2" s="1"/>
  <c r="S19" i="2" s="1"/>
  <c r="J37" i="2"/>
  <c r="J38" i="2"/>
  <c r="J40" i="2"/>
  <c r="J41" i="2"/>
  <c r="O41" i="2" s="1"/>
  <c r="S73" i="2" s="1"/>
  <c r="J42" i="2"/>
  <c r="L42" i="2" s="1"/>
  <c r="J43" i="2"/>
  <c r="L43" i="2" s="1"/>
  <c r="J44" i="2"/>
  <c r="L44" i="2" s="1"/>
  <c r="J45" i="2"/>
  <c r="L45" i="2" s="1"/>
  <c r="J46" i="2"/>
  <c r="L46" i="2" s="1"/>
  <c r="J47" i="2"/>
  <c r="L47" i="2" s="1"/>
  <c r="J48" i="2"/>
  <c r="Y48" i="2" s="1"/>
  <c r="J49" i="2"/>
  <c r="L49" i="2" s="1"/>
  <c r="J50" i="2"/>
  <c r="L50" i="2" s="1"/>
  <c r="J51" i="2"/>
  <c r="L51" i="2" s="1"/>
  <c r="J53" i="2"/>
  <c r="L53" i="2" s="1"/>
  <c r="J54" i="2"/>
  <c r="L54" i="2" s="1"/>
  <c r="J55" i="2"/>
  <c r="Z55" i="2" s="1"/>
  <c r="J56" i="2"/>
  <c r="L56" i="2" s="1"/>
  <c r="J57" i="2"/>
  <c r="L57" i="2" s="1"/>
  <c r="J58" i="2"/>
  <c r="L58" i="2" s="1"/>
  <c r="J59" i="2"/>
  <c r="L59" i="2" s="1"/>
  <c r="J60" i="2"/>
  <c r="L60" i="2" s="1"/>
  <c r="J61" i="2"/>
  <c r="L61" i="2" s="1"/>
  <c r="J62" i="2"/>
  <c r="L62" i="2" s="1"/>
  <c r="J63" i="2"/>
  <c r="Z63" i="2" s="1"/>
  <c r="J65" i="2"/>
  <c r="Z65" i="2" s="1"/>
  <c r="J66" i="2"/>
  <c r="L66" i="2" s="1"/>
  <c r="J67" i="2"/>
  <c r="L67" i="2" s="1"/>
  <c r="J68" i="2"/>
  <c r="L68" i="2" s="1"/>
  <c r="J69" i="2"/>
  <c r="L69" i="2" s="1"/>
  <c r="J70" i="2"/>
  <c r="L70" i="2" s="1"/>
  <c r="J71" i="2"/>
  <c r="L71" i="2" s="1"/>
  <c r="J72" i="2"/>
  <c r="Z72" i="2" s="1"/>
  <c r="J73" i="2"/>
  <c r="L73" i="2" s="1"/>
  <c r="J74" i="2"/>
  <c r="L74" i="2" s="1"/>
  <c r="J75" i="2"/>
  <c r="L75" i="2" s="1"/>
  <c r="O4" i="2"/>
  <c r="S41" i="2" s="1"/>
  <c r="O5" i="2"/>
  <c r="O13" i="2"/>
  <c r="S29" i="2" s="1"/>
  <c r="O14" i="2"/>
  <c r="S43" i="2" s="1"/>
  <c r="O17" i="2"/>
  <c r="S30" i="2" s="1"/>
  <c r="O18" i="2"/>
  <c r="S44" i="2" s="1"/>
  <c r="O23" i="2"/>
  <c r="S69" i="2" s="1"/>
  <c r="O24" i="2"/>
  <c r="S16" i="2" s="1"/>
  <c r="O25" i="2"/>
  <c r="O26" i="2"/>
  <c r="O28" i="2"/>
  <c r="S70" i="2" s="1"/>
  <c r="O31" i="2"/>
  <c r="S71" i="2" s="1"/>
  <c r="O40" i="2"/>
  <c r="S55" i="2" s="1"/>
  <c r="O42" i="2"/>
  <c r="O43" i="2"/>
  <c r="O44" i="2"/>
  <c r="S56" i="2" s="1"/>
  <c r="O46" i="2"/>
  <c r="O48" i="2"/>
  <c r="S37" i="2" s="1"/>
  <c r="O49" i="2"/>
  <c r="S57" i="2" s="1"/>
  <c r="O53" i="2"/>
  <c r="S38" i="2" s="1"/>
  <c r="O54" i="2"/>
  <c r="S58" i="2" s="1"/>
  <c r="O57" i="2"/>
  <c r="S47" i="2" s="1"/>
  <c r="O66" i="2"/>
  <c r="O68" i="2"/>
  <c r="X3" i="2"/>
  <c r="X4" i="2"/>
  <c r="X5" i="2"/>
  <c r="X6" i="2"/>
  <c r="X7" i="2"/>
  <c r="X8" i="2"/>
  <c r="X9" i="2"/>
  <c r="X10" i="2"/>
  <c r="X11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8" i="2"/>
  <c r="X29" i="2"/>
  <c r="X30" i="2"/>
  <c r="X31" i="2"/>
  <c r="X32" i="2"/>
  <c r="X33" i="2"/>
  <c r="X34" i="2"/>
  <c r="X35" i="2"/>
  <c r="X36" i="2"/>
  <c r="X37" i="2"/>
  <c r="X38" i="2"/>
  <c r="X40" i="2"/>
  <c r="X41" i="2"/>
  <c r="X42" i="2"/>
  <c r="X43" i="2"/>
  <c r="X44" i="2"/>
  <c r="X45" i="2"/>
  <c r="X46" i="2"/>
  <c r="X47" i="2"/>
  <c r="X48" i="2"/>
  <c r="X49" i="2"/>
  <c r="X50" i="2"/>
  <c r="X51" i="2"/>
  <c r="X53" i="2"/>
  <c r="X54" i="2"/>
  <c r="X55" i="2"/>
  <c r="X56" i="2"/>
  <c r="X57" i="2"/>
  <c r="X58" i="2"/>
  <c r="X59" i="2"/>
  <c r="X60" i="2"/>
  <c r="X61" i="2"/>
  <c r="X62" i="2"/>
  <c r="X63" i="2"/>
  <c r="X65" i="2"/>
  <c r="X66" i="2"/>
  <c r="X67" i="2"/>
  <c r="X68" i="2"/>
  <c r="X69" i="2"/>
  <c r="X70" i="2"/>
  <c r="X71" i="2"/>
  <c r="X72" i="2"/>
  <c r="X73" i="2"/>
  <c r="X74" i="2"/>
  <c r="X75" i="2"/>
  <c r="X2" i="2"/>
  <c r="O2" i="2"/>
  <c r="P3" i="1"/>
  <c r="P4" i="1"/>
  <c r="P6" i="1"/>
  <c r="P16" i="1"/>
  <c r="P18" i="1"/>
  <c r="P19" i="1"/>
  <c r="P27" i="1"/>
  <c r="P28" i="1"/>
  <c r="P30" i="1"/>
  <c r="P31" i="1"/>
  <c r="P39" i="1"/>
  <c r="P40" i="1"/>
  <c r="P42" i="1"/>
  <c r="P43" i="1"/>
  <c r="P51" i="1"/>
  <c r="P52" i="1"/>
  <c r="P54" i="1"/>
  <c r="P64" i="1"/>
  <c r="P66" i="1"/>
  <c r="P67" i="1"/>
  <c r="P76" i="1"/>
  <c r="P78" i="1"/>
  <c r="P79" i="1"/>
  <c r="P88" i="1"/>
  <c r="P90" i="1"/>
  <c r="P91" i="1"/>
  <c r="P99" i="1"/>
  <c r="P100" i="1"/>
  <c r="P102" i="1"/>
  <c r="P103" i="1"/>
  <c r="P111" i="1"/>
  <c r="P112" i="1"/>
  <c r="P114" i="1"/>
  <c r="P115" i="1"/>
  <c r="P123" i="1"/>
  <c r="P124" i="1"/>
  <c r="P126" i="1"/>
  <c r="P127" i="1"/>
  <c r="P135" i="1"/>
  <c r="P136" i="1"/>
  <c r="P138" i="1"/>
  <c r="P139" i="1"/>
  <c r="P147" i="1"/>
  <c r="P148" i="1"/>
  <c r="P150" i="1"/>
  <c r="P151" i="1"/>
  <c r="P159" i="1"/>
  <c r="P160" i="1"/>
  <c r="P162" i="1"/>
  <c r="P163" i="1"/>
  <c r="P171" i="1"/>
  <c r="P172" i="1"/>
  <c r="P174" i="1"/>
  <c r="P175" i="1"/>
  <c r="P183" i="1"/>
  <c r="P184" i="1"/>
  <c r="P186" i="1"/>
  <c r="P187" i="1"/>
  <c r="P195" i="1"/>
  <c r="P196" i="1"/>
  <c r="P198" i="1"/>
  <c r="P199" i="1"/>
  <c r="P207" i="1"/>
  <c r="P208" i="1"/>
  <c r="P210" i="1"/>
  <c r="P211" i="1"/>
  <c r="P219" i="1"/>
  <c r="P220" i="1"/>
  <c r="P222" i="1"/>
  <c r="P223" i="1"/>
  <c r="P231" i="1"/>
  <c r="P232" i="1"/>
  <c r="P234" i="1"/>
  <c r="P235" i="1"/>
  <c r="P243" i="1"/>
  <c r="P244" i="1"/>
  <c r="P246" i="1"/>
  <c r="P247" i="1"/>
  <c r="P255" i="1"/>
  <c r="P256" i="1"/>
  <c r="P258" i="1"/>
  <c r="P259" i="1"/>
  <c r="P267" i="1"/>
  <c r="P268" i="1"/>
  <c r="P270" i="1"/>
  <c r="P271" i="1"/>
  <c r="P279" i="1"/>
  <c r="P280" i="1"/>
  <c r="P283" i="1"/>
  <c r="P292" i="1"/>
  <c r="P295" i="1"/>
  <c r="P303" i="1"/>
  <c r="P304" i="1"/>
  <c r="P307" i="1"/>
  <c r="P315" i="1"/>
  <c r="P318" i="1"/>
  <c r="P319" i="1"/>
  <c r="P327" i="1"/>
  <c r="P328" i="1"/>
  <c r="P330" i="1"/>
  <c r="P331" i="1"/>
  <c r="P339" i="1"/>
  <c r="P340" i="1"/>
  <c r="P342" i="1"/>
  <c r="P343" i="1"/>
  <c r="P351" i="1"/>
  <c r="P352" i="1"/>
  <c r="P354" i="1"/>
  <c r="P355" i="1"/>
  <c r="V4" i="1"/>
  <c r="J3" i="1"/>
  <c r="J4" i="1"/>
  <c r="L4" i="1" s="1"/>
  <c r="J5" i="1"/>
  <c r="J6" i="1"/>
  <c r="L6" i="1" s="1"/>
  <c r="J7" i="1"/>
  <c r="J8" i="1"/>
  <c r="L8" i="1" s="1"/>
  <c r="P8" i="1" s="1"/>
  <c r="J9" i="1"/>
  <c r="J10" i="1"/>
  <c r="L10" i="1" s="1"/>
  <c r="P10" i="1" s="1"/>
  <c r="J11" i="1"/>
  <c r="J12" i="1"/>
  <c r="L12" i="1" s="1"/>
  <c r="P12" i="1" s="1"/>
  <c r="J13" i="1"/>
  <c r="J14" i="1"/>
  <c r="L14" i="1" s="1"/>
  <c r="P14" i="1" s="1"/>
  <c r="J15" i="1"/>
  <c r="J16" i="1"/>
  <c r="L16" i="1" s="1"/>
  <c r="J17" i="1"/>
  <c r="J18" i="1"/>
  <c r="L18" i="1" s="1"/>
  <c r="J19" i="1"/>
  <c r="J20" i="1"/>
  <c r="L20" i="1" s="1"/>
  <c r="P20" i="1" s="1"/>
  <c r="J21" i="1"/>
  <c r="J22" i="1"/>
  <c r="L22" i="1" s="1"/>
  <c r="P22" i="1" s="1"/>
  <c r="J23" i="1"/>
  <c r="J24" i="1"/>
  <c r="L24" i="1" s="1"/>
  <c r="P24" i="1" s="1"/>
  <c r="J25" i="1"/>
  <c r="L25" i="1" s="1"/>
  <c r="P25" i="1" s="1"/>
  <c r="J26" i="1"/>
  <c r="J27" i="1"/>
  <c r="L27" i="1" s="1"/>
  <c r="J28" i="1"/>
  <c r="J29" i="1"/>
  <c r="L29" i="1" s="1"/>
  <c r="P29" i="1" s="1"/>
  <c r="J30" i="1"/>
  <c r="L30" i="1" s="1"/>
  <c r="J31" i="1"/>
  <c r="J32" i="1"/>
  <c r="L32" i="1" s="1"/>
  <c r="P32" i="1" s="1"/>
  <c r="J33" i="1"/>
  <c r="J34" i="1"/>
  <c r="L34" i="1" s="1"/>
  <c r="P34" i="1" s="1"/>
  <c r="J35" i="1"/>
  <c r="J36" i="1"/>
  <c r="J37" i="1"/>
  <c r="L37" i="1" s="1"/>
  <c r="P37" i="1" s="1"/>
  <c r="J38" i="1"/>
  <c r="J39" i="1"/>
  <c r="L39" i="1" s="1"/>
  <c r="J40" i="1"/>
  <c r="L40" i="1" s="1"/>
  <c r="J41" i="1"/>
  <c r="J42" i="1"/>
  <c r="L42" i="1" s="1"/>
  <c r="J43" i="1"/>
  <c r="J44" i="1"/>
  <c r="L44" i="1" s="1"/>
  <c r="P44" i="1" s="1"/>
  <c r="J45" i="1"/>
  <c r="L45" i="1" s="1"/>
  <c r="P45" i="1" s="1"/>
  <c r="J46" i="1"/>
  <c r="J47" i="1"/>
  <c r="J48" i="1"/>
  <c r="L48" i="1" s="1"/>
  <c r="P48" i="1" s="1"/>
  <c r="J49" i="1"/>
  <c r="J50" i="1"/>
  <c r="L50" i="1" s="1"/>
  <c r="P50" i="1" s="1"/>
  <c r="J51" i="1"/>
  <c r="J52" i="1"/>
  <c r="L52" i="1" s="1"/>
  <c r="J53" i="1"/>
  <c r="J54" i="1"/>
  <c r="L54" i="1" s="1"/>
  <c r="J55" i="1"/>
  <c r="J56" i="1"/>
  <c r="L56" i="1" s="1"/>
  <c r="P56" i="1" s="1"/>
  <c r="J57" i="1"/>
  <c r="J58" i="1"/>
  <c r="L58" i="1" s="1"/>
  <c r="P58" i="1" s="1"/>
  <c r="J59" i="1"/>
  <c r="J60" i="1"/>
  <c r="L60" i="1" s="1"/>
  <c r="P60" i="1" s="1"/>
  <c r="J61" i="1"/>
  <c r="J62" i="1"/>
  <c r="L62" i="1" s="1"/>
  <c r="P62" i="1" s="1"/>
  <c r="J63" i="1"/>
  <c r="J64" i="1"/>
  <c r="L64" i="1" s="1"/>
  <c r="J65" i="1"/>
  <c r="J66" i="1"/>
  <c r="L66" i="1" s="1"/>
  <c r="J67" i="1"/>
  <c r="J68" i="1"/>
  <c r="L68" i="1" s="1"/>
  <c r="P68" i="1" s="1"/>
  <c r="J69" i="1"/>
  <c r="L69" i="1" s="1"/>
  <c r="P69" i="1" s="1"/>
  <c r="J70" i="1"/>
  <c r="L70" i="1" s="1"/>
  <c r="P70" i="1" s="1"/>
  <c r="J71" i="1"/>
  <c r="J72" i="1"/>
  <c r="L72" i="1" s="1"/>
  <c r="P72" i="1" s="1"/>
  <c r="J73" i="1"/>
  <c r="L73" i="1" s="1"/>
  <c r="P73" i="1" s="1"/>
  <c r="J74" i="1"/>
  <c r="L74" i="1" s="1"/>
  <c r="P74" i="1" s="1"/>
  <c r="J75" i="1"/>
  <c r="J76" i="1"/>
  <c r="L76" i="1" s="1"/>
  <c r="J77" i="1"/>
  <c r="J78" i="1"/>
  <c r="L78" i="1" s="1"/>
  <c r="J79" i="1"/>
  <c r="J80" i="1"/>
  <c r="L80" i="1" s="1"/>
  <c r="P80" i="1" s="1"/>
  <c r="J81" i="1"/>
  <c r="J82" i="1"/>
  <c r="L82" i="1" s="1"/>
  <c r="P82" i="1" s="1"/>
  <c r="J83" i="1"/>
  <c r="J84" i="1"/>
  <c r="L84" i="1" s="1"/>
  <c r="P84" i="1" s="1"/>
  <c r="J85" i="1"/>
  <c r="L85" i="1" s="1"/>
  <c r="P85" i="1" s="1"/>
  <c r="J86" i="1"/>
  <c r="L86" i="1" s="1"/>
  <c r="P86" i="1" s="1"/>
  <c r="J87" i="1"/>
  <c r="J88" i="1"/>
  <c r="J89" i="1"/>
  <c r="L89" i="1" s="1"/>
  <c r="P89" i="1" s="1"/>
  <c r="J90" i="1"/>
  <c r="L90" i="1" s="1"/>
  <c r="J91" i="1"/>
  <c r="J92" i="1"/>
  <c r="L92" i="1" s="1"/>
  <c r="P92" i="1" s="1"/>
  <c r="J93" i="1"/>
  <c r="L93" i="1" s="1"/>
  <c r="P93" i="1" s="1"/>
  <c r="J94" i="1"/>
  <c r="L94" i="1" s="1"/>
  <c r="P94" i="1" s="1"/>
  <c r="J95" i="1"/>
  <c r="J96" i="1"/>
  <c r="L96" i="1" s="1"/>
  <c r="P96" i="1" s="1"/>
  <c r="J97" i="1"/>
  <c r="L97" i="1" s="1"/>
  <c r="P97" i="1" s="1"/>
  <c r="J98" i="1"/>
  <c r="L98" i="1" s="1"/>
  <c r="P98" i="1" s="1"/>
  <c r="J99" i="1"/>
  <c r="J100" i="1"/>
  <c r="L100" i="1" s="1"/>
  <c r="J101" i="1"/>
  <c r="L101" i="1" s="1"/>
  <c r="P101" i="1" s="1"/>
  <c r="J102" i="1"/>
  <c r="L102" i="1" s="1"/>
  <c r="J103" i="1"/>
  <c r="J104" i="1"/>
  <c r="L104" i="1" s="1"/>
  <c r="P104" i="1" s="1"/>
  <c r="J105" i="1"/>
  <c r="L105" i="1" s="1"/>
  <c r="P105" i="1" s="1"/>
  <c r="J106" i="1"/>
  <c r="L106" i="1" s="1"/>
  <c r="P106" i="1" s="1"/>
  <c r="J107" i="1"/>
  <c r="L107" i="1" s="1"/>
  <c r="P107" i="1" s="1"/>
  <c r="J108" i="1"/>
  <c r="L108" i="1" s="1"/>
  <c r="P108" i="1" s="1"/>
  <c r="J109" i="1"/>
  <c r="L109" i="1" s="1"/>
  <c r="P109" i="1" s="1"/>
  <c r="J110" i="1"/>
  <c r="L110" i="1" s="1"/>
  <c r="P110" i="1" s="1"/>
  <c r="J111" i="1"/>
  <c r="L111" i="1" s="1"/>
  <c r="J112" i="1"/>
  <c r="L112" i="1" s="1"/>
  <c r="J113" i="1"/>
  <c r="L113" i="1" s="1"/>
  <c r="P113" i="1" s="1"/>
  <c r="J114" i="1"/>
  <c r="L114" i="1" s="1"/>
  <c r="J115" i="1"/>
  <c r="L115" i="1" s="1"/>
  <c r="J116" i="1"/>
  <c r="L116" i="1" s="1"/>
  <c r="P116" i="1" s="1"/>
  <c r="J117" i="1"/>
  <c r="L117" i="1" s="1"/>
  <c r="P117" i="1" s="1"/>
  <c r="J118" i="1"/>
  <c r="L118" i="1" s="1"/>
  <c r="P118" i="1" s="1"/>
  <c r="J119" i="1"/>
  <c r="L119" i="1" s="1"/>
  <c r="P119" i="1" s="1"/>
  <c r="J120" i="1"/>
  <c r="L120" i="1" s="1"/>
  <c r="P120" i="1" s="1"/>
  <c r="J121" i="1"/>
  <c r="L121" i="1" s="1"/>
  <c r="P121" i="1" s="1"/>
  <c r="J122" i="1"/>
  <c r="L122" i="1" s="1"/>
  <c r="P122" i="1" s="1"/>
  <c r="J123" i="1"/>
  <c r="L123" i="1" s="1"/>
  <c r="J124" i="1"/>
  <c r="L124" i="1" s="1"/>
  <c r="J125" i="1"/>
  <c r="L125" i="1" s="1"/>
  <c r="P125" i="1" s="1"/>
  <c r="J126" i="1"/>
  <c r="L126" i="1" s="1"/>
  <c r="J127" i="1"/>
  <c r="J128" i="1"/>
  <c r="L128" i="1" s="1"/>
  <c r="P128" i="1" s="1"/>
  <c r="J129" i="1"/>
  <c r="J130" i="1"/>
  <c r="L130" i="1" s="1"/>
  <c r="P130" i="1" s="1"/>
  <c r="J131" i="1"/>
  <c r="J132" i="1"/>
  <c r="L132" i="1" s="1"/>
  <c r="P132" i="1" s="1"/>
  <c r="J133" i="1"/>
  <c r="L133" i="1" s="1"/>
  <c r="P133" i="1" s="1"/>
  <c r="J134" i="1"/>
  <c r="L134" i="1" s="1"/>
  <c r="P134" i="1" s="1"/>
  <c r="J135" i="1"/>
  <c r="J136" i="1"/>
  <c r="L136" i="1" s="1"/>
  <c r="J137" i="1"/>
  <c r="L137" i="1" s="1"/>
  <c r="P137" i="1" s="1"/>
  <c r="J138" i="1"/>
  <c r="L138" i="1" s="1"/>
  <c r="J139" i="1"/>
  <c r="J140" i="1"/>
  <c r="L140" i="1" s="1"/>
  <c r="P140" i="1" s="1"/>
  <c r="J141" i="1"/>
  <c r="J142" i="1"/>
  <c r="L142" i="1" s="1"/>
  <c r="P142" i="1" s="1"/>
  <c r="J143" i="1"/>
  <c r="J144" i="1"/>
  <c r="L144" i="1" s="1"/>
  <c r="P144" i="1" s="1"/>
  <c r="J145" i="1"/>
  <c r="J146" i="1"/>
  <c r="L146" i="1" s="1"/>
  <c r="P146" i="1" s="1"/>
  <c r="J147" i="1"/>
  <c r="J148" i="1"/>
  <c r="J149" i="1"/>
  <c r="L149" i="1" s="1"/>
  <c r="P149" i="1" s="1"/>
  <c r="J150" i="1"/>
  <c r="L150" i="1" s="1"/>
  <c r="J151" i="1"/>
  <c r="J152" i="1"/>
  <c r="L152" i="1" s="1"/>
  <c r="P152" i="1" s="1"/>
  <c r="J153" i="1"/>
  <c r="L153" i="1" s="1"/>
  <c r="P153" i="1" s="1"/>
  <c r="J154" i="1"/>
  <c r="J155" i="1"/>
  <c r="L155" i="1" s="1"/>
  <c r="P155" i="1" s="1"/>
  <c r="J156" i="1"/>
  <c r="L156" i="1" s="1"/>
  <c r="P156" i="1" s="1"/>
  <c r="J157" i="1"/>
  <c r="J158" i="1"/>
  <c r="L158" i="1" s="1"/>
  <c r="P158" i="1" s="1"/>
  <c r="J159" i="1"/>
  <c r="L159" i="1" s="1"/>
  <c r="J160" i="1"/>
  <c r="J161" i="1"/>
  <c r="L161" i="1" s="1"/>
  <c r="P161" i="1" s="1"/>
  <c r="J162" i="1"/>
  <c r="L162" i="1" s="1"/>
  <c r="J163" i="1"/>
  <c r="L163" i="1" s="1"/>
  <c r="J164" i="1"/>
  <c r="L164" i="1" s="1"/>
  <c r="P164" i="1" s="1"/>
  <c r="J165" i="1"/>
  <c r="J166" i="1"/>
  <c r="L166" i="1" s="1"/>
  <c r="P166" i="1" s="1"/>
  <c r="J167" i="1"/>
  <c r="L167" i="1" s="1"/>
  <c r="P167" i="1" s="1"/>
  <c r="J168" i="1"/>
  <c r="L168" i="1" s="1"/>
  <c r="P168" i="1" s="1"/>
  <c r="J169" i="1"/>
  <c r="L169" i="1" s="1"/>
  <c r="P169" i="1" s="1"/>
  <c r="J170" i="1"/>
  <c r="J171" i="1"/>
  <c r="L171" i="1" s="1"/>
  <c r="J172" i="1"/>
  <c r="L172" i="1" s="1"/>
  <c r="J173" i="1"/>
  <c r="L173" i="1" s="1"/>
  <c r="P173" i="1" s="1"/>
  <c r="J174" i="1"/>
  <c r="L174" i="1" s="1"/>
  <c r="J175" i="1"/>
  <c r="J176" i="1"/>
  <c r="L176" i="1" s="1"/>
  <c r="P176" i="1" s="1"/>
  <c r="J177" i="1"/>
  <c r="L177" i="1" s="1"/>
  <c r="P177" i="1" s="1"/>
  <c r="J178" i="1"/>
  <c r="L178" i="1" s="1"/>
  <c r="P178" i="1" s="1"/>
  <c r="J179" i="1"/>
  <c r="L179" i="1" s="1"/>
  <c r="P179" i="1" s="1"/>
  <c r="J180" i="1"/>
  <c r="J181" i="1"/>
  <c r="L181" i="1" s="1"/>
  <c r="P181" i="1" s="1"/>
  <c r="J182" i="1"/>
  <c r="L182" i="1" s="1"/>
  <c r="P182" i="1" s="1"/>
  <c r="J183" i="1"/>
  <c r="L183" i="1" s="1"/>
  <c r="J184" i="1"/>
  <c r="L184" i="1" s="1"/>
  <c r="J185" i="1"/>
  <c r="J186" i="1"/>
  <c r="L186" i="1" s="1"/>
  <c r="J187" i="1"/>
  <c r="J188" i="1"/>
  <c r="L188" i="1" s="1"/>
  <c r="P188" i="1" s="1"/>
  <c r="J189" i="1"/>
  <c r="L189" i="1" s="1"/>
  <c r="P189" i="1" s="1"/>
  <c r="J190" i="1"/>
  <c r="L190" i="1" s="1"/>
  <c r="P190" i="1" s="1"/>
  <c r="J191" i="1"/>
  <c r="L191" i="1" s="1"/>
  <c r="P191" i="1" s="1"/>
  <c r="J192" i="1"/>
  <c r="L192" i="1" s="1"/>
  <c r="P192" i="1" s="1"/>
  <c r="J193" i="1"/>
  <c r="L193" i="1" s="1"/>
  <c r="P193" i="1" s="1"/>
  <c r="J194" i="1"/>
  <c r="L194" i="1" s="1"/>
  <c r="P194" i="1" s="1"/>
  <c r="J195" i="1"/>
  <c r="L195" i="1" s="1"/>
  <c r="J196" i="1"/>
  <c r="J197" i="1"/>
  <c r="L197" i="1" s="1"/>
  <c r="P197" i="1" s="1"/>
  <c r="J198" i="1"/>
  <c r="L198" i="1" s="1"/>
  <c r="J199" i="1"/>
  <c r="L199" i="1" s="1"/>
  <c r="J200" i="1"/>
  <c r="J201" i="1"/>
  <c r="L201" i="1" s="1"/>
  <c r="P201" i="1" s="1"/>
  <c r="J202" i="1"/>
  <c r="L202" i="1" s="1"/>
  <c r="P202" i="1" s="1"/>
  <c r="J203" i="1"/>
  <c r="L203" i="1" s="1"/>
  <c r="P203" i="1" s="1"/>
  <c r="J204" i="1"/>
  <c r="J205" i="1"/>
  <c r="L205" i="1" s="1"/>
  <c r="P205" i="1" s="1"/>
  <c r="J206" i="1"/>
  <c r="L206" i="1" s="1"/>
  <c r="P206" i="1" s="1"/>
  <c r="J207" i="1"/>
  <c r="L207" i="1" s="1"/>
  <c r="J208" i="1"/>
  <c r="L208" i="1" s="1"/>
  <c r="J209" i="1"/>
  <c r="L209" i="1" s="1"/>
  <c r="P209" i="1" s="1"/>
  <c r="J210" i="1"/>
  <c r="L210" i="1" s="1"/>
  <c r="J211" i="1"/>
  <c r="J212" i="1"/>
  <c r="L212" i="1" s="1"/>
  <c r="P212" i="1" s="1"/>
  <c r="J213" i="1"/>
  <c r="L213" i="1" s="1"/>
  <c r="P213" i="1" s="1"/>
  <c r="J214" i="1"/>
  <c r="L214" i="1" s="1"/>
  <c r="P214" i="1" s="1"/>
  <c r="J215" i="1"/>
  <c r="L215" i="1" s="1"/>
  <c r="P215" i="1" s="1"/>
  <c r="J216" i="1"/>
  <c r="L216" i="1" s="1"/>
  <c r="P216" i="1" s="1"/>
  <c r="J217" i="1"/>
  <c r="L217" i="1" s="1"/>
  <c r="P217" i="1" s="1"/>
  <c r="J218" i="1"/>
  <c r="J219" i="1"/>
  <c r="L219" i="1" s="1"/>
  <c r="J220" i="1"/>
  <c r="L220" i="1" s="1"/>
  <c r="J221" i="1"/>
  <c r="L221" i="1" s="1"/>
  <c r="P221" i="1" s="1"/>
  <c r="J222" i="1"/>
  <c r="L222" i="1" s="1"/>
  <c r="J223" i="1"/>
  <c r="L223" i="1" s="1"/>
  <c r="J224" i="1"/>
  <c r="L224" i="1" s="1"/>
  <c r="P224" i="1" s="1"/>
  <c r="J225" i="1"/>
  <c r="L225" i="1" s="1"/>
  <c r="P225" i="1" s="1"/>
  <c r="J226" i="1"/>
  <c r="L226" i="1" s="1"/>
  <c r="P226" i="1" s="1"/>
  <c r="J227" i="1"/>
  <c r="L227" i="1" s="1"/>
  <c r="P227" i="1" s="1"/>
  <c r="J228" i="1"/>
  <c r="L228" i="1" s="1"/>
  <c r="P228" i="1" s="1"/>
  <c r="J229" i="1"/>
  <c r="L229" i="1" s="1"/>
  <c r="P229" i="1" s="1"/>
  <c r="J230" i="1"/>
  <c r="L230" i="1" s="1"/>
  <c r="P230" i="1" s="1"/>
  <c r="J231" i="1"/>
  <c r="L231" i="1" s="1"/>
  <c r="J232" i="1"/>
  <c r="L232" i="1" s="1"/>
  <c r="J233" i="1"/>
  <c r="L233" i="1" s="1"/>
  <c r="P233" i="1" s="1"/>
  <c r="J234" i="1"/>
  <c r="L234" i="1" s="1"/>
  <c r="J235" i="1"/>
  <c r="L235" i="1" s="1"/>
  <c r="J236" i="1"/>
  <c r="L236" i="1" s="1"/>
  <c r="P236" i="1" s="1"/>
  <c r="J237" i="1"/>
  <c r="J238" i="1"/>
  <c r="L238" i="1" s="1"/>
  <c r="P238" i="1" s="1"/>
  <c r="J239" i="1"/>
  <c r="L239" i="1" s="1"/>
  <c r="P239" i="1" s="1"/>
  <c r="J240" i="1"/>
  <c r="L240" i="1" s="1"/>
  <c r="P240" i="1" s="1"/>
  <c r="J241" i="1"/>
  <c r="L241" i="1" s="1"/>
  <c r="P241" i="1" s="1"/>
  <c r="J242" i="1"/>
  <c r="L242" i="1" s="1"/>
  <c r="P242" i="1" s="1"/>
  <c r="J243" i="1"/>
  <c r="L243" i="1" s="1"/>
  <c r="J244" i="1"/>
  <c r="L244" i="1" s="1"/>
  <c r="J245" i="1"/>
  <c r="L245" i="1" s="1"/>
  <c r="P245" i="1" s="1"/>
  <c r="J246" i="1"/>
  <c r="L246" i="1" s="1"/>
  <c r="J247" i="1"/>
  <c r="L247" i="1" s="1"/>
  <c r="J248" i="1"/>
  <c r="L248" i="1" s="1"/>
  <c r="P248" i="1" s="1"/>
  <c r="J249" i="1"/>
  <c r="J250" i="1"/>
  <c r="L250" i="1" s="1"/>
  <c r="P250" i="1" s="1"/>
  <c r="J251" i="1"/>
  <c r="J252" i="1"/>
  <c r="L252" i="1" s="1"/>
  <c r="P252" i="1" s="1"/>
  <c r="J253" i="1"/>
  <c r="L253" i="1" s="1"/>
  <c r="P253" i="1" s="1"/>
  <c r="J254" i="1"/>
  <c r="J255" i="1"/>
  <c r="L255" i="1" s="1"/>
  <c r="J256" i="1"/>
  <c r="L256" i="1" s="1"/>
  <c r="J257" i="1"/>
  <c r="J258" i="1"/>
  <c r="L258" i="1" s="1"/>
  <c r="J259" i="1"/>
  <c r="L259" i="1" s="1"/>
  <c r="J260" i="1"/>
  <c r="J261" i="1"/>
  <c r="L261" i="1" s="1"/>
  <c r="P261" i="1" s="1"/>
  <c r="J262" i="1"/>
  <c r="L262" i="1" s="1"/>
  <c r="P262" i="1" s="1"/>
  <c r="J263" i="1"/>
  <c r="J264" i="1"/>
  <c r="L264" i="1" s="1"/>
  <c r="P264" i="1" s="1"/>
  <c r="J265" i="1"/>
  <c r="L265" i="1" s="1"/>
  <c r="P265" i="1" s="1"/>
  <c r="J266" i="1"/>
  <c r="J267" i="1"/>
  <c r="L267" i="1" s="1"/>
  <c r="J268" i="1"/>
  <c r="L268" i="1" s="1"/>
  <c r="J269" i="1"/>
  <c r="L269" i="1" s="1"/>
  <c r="P269" i="1" s="1"/>
  <c r="J270" i="1"/>
  <c r="J271" i="1"/>
  <c r="L271" i="1" s="1"/>
  <c r="J272" i="1"/>
  <c r="L272" i="1" s="1"/>
  <c r="P272" i="1" s="1"/>
  <c r="J273" i="1"/>
  <c r="L273" i="1" s="1"/>
  <c r="P273" i="1" s="1"/>
  <c r="J274" i="1"/>
  <c r="J275" i="1"/>
  <c r="L275" i="1" s="1"/>
  <c r="P275" i="1" s="1"/>
  <c r="J276" i="1"/>
  <c r="L276" i="1" s="1"/>
  <c r="P276" i="1" s="1"/>
  <c r="J277" i="1"/>
  <c r="L277" i="1" s="1"/>
  <c r="P277" i="1" s="1"/>
  <c r="J278" i="1"/>
  <c r="J279" i="1"/>
  <c r="L279" i="1" s="1"/>
  <c r="J280" i="1"/>
  <c r="L280" i="1" s="1"/>
  <c r="J281" i="1"/>
  <c r="L281" i="1" s="1"/>
  <c r="P281" i="1" s="1"/>
  <c r="J282" i="1"/>
  <c r="J283" i="1"/>
  <c r="J284" i="1"/>
  <c r="L284" i="1" s="1"/>
  <c r="P284" i="1" s="1"/>
  <c r="J285" i="1"/>
  <c r="L285" i="1" s="1"/>
  <c r="P285" i="1" s="1"/>
  <c r="J286" i="1"/>
  <c r="J287" i="1"/>
  <c r="J288" i="1"/>
  <c r="L288" i="1" s="1"/>
  <c r="P288" i="1" s="1"/>
  <c r="J289" i="1"/>
  <c r="L289" i="1" s="1"/>
  <c r="P289" i="1" s="1"/>
  <c r="J290" i="1"/>
  <c r="J291" i="1"/>
  <c r="J292" i="1"/>
  <c r="L292" i="1" s="1"/>
  <c r="J293" i="1"/>
  <c r="L293" i="1" s="1"/>
  <c r="P293" i="1" s="1"/>
  <c r="J294" i="1"/>
  <c r="J295" i="1"/>
  <c r="J296" i="1"/>
  <c r="L296" i="1" s="1"/>
  <c r="P296" i="1" s="1"/>
  <c r="J297" i="1"/>
  <c r="L297" i="1" s="1"/>
  <c r="P297" i="1" s="1"/>
  <c r="J298" i="1"/>
  <c r="J299" i="1"/>
  <c r="J300" i="1"/>
  <c r="L300" i="1" s="1"/>
  <c r="P300" i="1" s="1"/>
  <c r="J301" i="1"/>
  <c r="L301" i="1" s="1"/>
  <c r="P301" i="1" s="1"/>
  <c r="J302" i="1"/>
  <c r="J303" i="1"/>
  <c r="J304" i="1"/>
  <c r="L304" i="1" s="1"/>
  <c r="J305" i="1"/>
  <c r="L305" i="1" s="1"/>
  <c r="P305" i="1" s="1"/>
  <c r="J306" i="1"/>
  <c r="J307" i="1"/>
  <c r="J308" i="1"/>
  <c r="L308" i="1" s="1"/>
  <c r="P308" i="1" s="1"/>
  <c r="J309" i="1"/>
  <c r="L309" i="1" s="1"/>
  <c r="P309" i="1" s="1"/>
  <c r="J310" i="1"/>
  <c r="J311" i="1"/>
  <c r="L311" i="1" s="1"/>
  <c r="P311" i="1" s="1"/>
  <c r="J312" i="1"/>
  <c r="L312" i="1" s="1"/>
  <c r="P312" i="1" s="1"/>
  <c r="J313" i="1"/>
  <c r="J314" i="1"/>
  <c r="L314" i="1" s="1"/>
  <c r="P314" i="1" s="1"/>
  <c r="J315" i="1"/>
  <c r="L315" i="1" s="1"/>
  <c r="J316" i="1"/>
  <c r="J317" i="1"/>
  <c r="L317" i="1" s="1"/>
  <c r="P317" i="1" s="1"/>
  <c r="J318" i="1"/>
  <c r="L318" i="1" s="1"/>
  <c r="J319" i="1"/>
  <c r="J320" i="1"/>
  <c r="L320" i="1" s="1"/>
  <c r="P320" i="1" s="1"/>
  <c r="J321" i="1"/>
  <c r="L321" i="1" s="1"/>
  <c r="P321" i="1" s="1"/>
  <c r="J322" i="1"/>
  <c r="L322" i="1" s="1"/>
  <c r="P322" i="1" s="1"/>
  <c r="J323" i="1"/>
  <c r="L323" i="1" s="1"/>
  <c r="P323" i="1" s="1"/>
  <c r="J324" i="1"/>
  <c r="L324" i="1" s="1"/>
  <c r="P324" i="1" s="1"/>
  <c r="J325" i="1"/>
  <c r="J326" i="1"/>
  <c r="L326" i="1" s="1"/>
  <c r="P326" i="1" s="1"/>
  <c r="J327" i="1"/>
  <c r="L327" i="1" s="1"/>
  <c r="J328" i="1"/>
  <c r="L328" i="1" s="1"/>
  <c r="J329" i="1"/>
  <c r="J330" i="1"/>
  <c r="L330" i="1" s="1"/>
  <c r="J331" i="1"/>
  <c r="L331" i="1" s="1"/>
  <c r="J332" i="1"/>
  <c r="L332" i="1" s="1"/>
  <c r="P332" i="1" s="1"/>
  <c r="J333" i="1"/>
  <c r="J334" i="1"/>
  <c r="L334" i="1" s="1"/>
  <c r="P334" i="1" s="1"/>
  <c r="J335" i="1"/>
  <c r="L335" i="1" s="1"/>
  <c r="P335" i="1" s="1"/>
  <c r="J336" i="1"/>
  <c r="L336" i="1" s="1"/>
  <c r="P336" i="1" s="1"/>
  <c r="J337" i="1"/>
  <c r="J338" i="1"/>
  <c r="L338" i="1" s="1"/>
  <c r="P338" i="1" s="1"/>
  <c r="J339" i="1"/>
  <c r="L339" i="1" s="1"/>
  <c r="J340" i="1"/>
  <c r="L340" i="1" s="1"/>
  <c r="J341" i="1"/>
  <c r="J342" i="1"/>
  <c r="L342" i="1" s="1"/>
  <c r="J343" i="1"/>
  <c r="L343" i="1" s="1"/>
  <c r="J344" i="1"/>
  <c r="L344" i="1" s="1"/>
  <c r="P344" i="1" s="1"/>
  <c r="J345" i="1"/>
  <c r="L345" i="1" s="1"/>
  <c r="P345" i="1" s="1"/>
  <c r="J346" i="1"/>
  <c r="L346" i="1" s="1"/>
  <c r="P346" i="1" s="1"/>
  <c r="J347" i="1"/>
  <c r="L347" i="1" s="1"/>
  <c r="P347" i="1" s="1"/>
  <c r="J348" i="1"/>
  <c r="L348" i="1" s="1"/>
  <c r="P348" i="1" s="1"/>
  <c r="J349" i="1"/>
  <c r="L349" i="1" s="1"/>
  <c r="P349" i="1" s="1"/>
  <c r="J350" i="1"/>
  <c r="L350" i="1" s="1"/>
  <c r="P350" i="1" s="1"/>
  <c r="J351" i="1"/>
  <c r="L351" i="1" s="1"/>
  <c r="J352" i="1"/>
  <c r="L352" i="1" s="1"/>
  <c r="J353" i="1"/>
  <c r="L353" i="1" s="1"/>
  <c r="P353" i="1" s="1"/>
  <c r="J354" i="1"/>
  <c r="L354" i="1" s="1"/>
  <c r="J355" i="1"/>
  <c r="L355" i="1" s="1"/>
  <c r="J356" i="1"/>
  <c r="L356" i="1" s="1"/>
  <c r="P356" i="1" s="1"/>
  <c r="J2" i="1"/>
  <c r="L2" i="1" s="1"/>
  <c r="L360" i="1" s="1"/>
  <c r="L3" i="1"/>
  <c r="L5" i="1"/>
  <c r="P5" i="1" s="1"/>
  <c r="L7" i="1"/>
  <c r="P7" i="1" s="1"/>
  <c r="L9" i="1"/>
  <c r="P9" i="1" s="1"/>
  <c r="L11" i="1"/>
  <c r="P11" i="1" s="1"/>
  <c r="L13" i="1"/>
  <c r="P13" i="1" s="1"/>
  <c r="L15" i="1"/>
  <c r="P15" i="1" s="1"/>
  <c r="L17" i="1"/>
  <c r="P17" i="1" s="1"/>
  <c r="L19" i="1"/>
  <c r="L21" i="1"/>
  <c r="P21" i="1" s="1"/>
  <c r="L23" i="1"/>
  <c r="P23" i="1" s="1"/>
  <c r="L26" i="1"/>
  <c r="P26" i="1" s="1"/>
  <c r="L28" i="1"/>
  <c r="L31" i="1"/>
  <c r="L33" i="1"/>
  <c r="P33" i="1" s="1"/>
  <c r="L35" i="1"/>
  <c r="P35" i="1" s="1"/>
  <c r="L36" i="1"/>
  <c r="P36" i="1" s="1"/>
  <c r="L38" i="1"/>
  <c r="P38" i="1" s="1"/>
  <c r="L41" i="1"/>
  <c r="P41" i="1" s="1"/>
  <c r="L43" i="1"/>
  <c r="L46" i="1"/>
  <c r="P46" i="1" s="1"/>
  <c r="L47" i="1"/>
  <c r="P47" i="1" s="1"/>
  <c r="L49" i="1"/>
  <c r="P49" i="1" s="1"/>
  <c r="L51" i="1"/>
  <c r="L53" i="1"/>
  <c r="P53" i="1" s="1"/>
  <c r="L55" i="1"/>
  <c r="P55" i="1" s="1"/>
  <c r="L57" i="1"/>
  <c r="P57" i="1" s="1"/>
  <c r="L59" i="1"/>
  <c r="P59" i="1" s="1"/>
  <c r="L61" i="1"/>
  <c r="P61" i="1" s="1"/>
  <c r="L63" i="1"/>
  <c r="P63" i="1" s="1"/>
  <c r="L65" i="1"/>
  <c r="P65" i="1" s="1"/>
  <c r="L67" i="1"/>
  <c r="L71" i="1"/>
  <c r="P71" i="1" s="1"/>
  <c r="L75" i="1"/>
  <c r="P75" i="1" s="1"/>
  <c r="L77" i="1"/>
  <c r="P77" i="1" s="1"/>
  <c r="L79" i="1"/>
  <c r="L81" i="1"/>
  <c r="P81" i="1" s="1"/>
  <c r="L83" i="1"/>
  <c r="P83" i="1" s="1"/>
  <c r="L87" i="1"/>
  <c r="P87" i="1" s="1"/>
  <c r="L88" i="1"/>
  <c r="L91" i="1"/>
  <c r="L95" i="1"/>
  <c r="P95" i="1" s="1"/>
  <c r="L99" i="1"/>
  <c r="L103" i="1"/>
  <c r="L127" i="1"/>
  <c r="L129" i="1"/>
  <c r="P129" i="1" s="1"/>
  <c r="L131" i="1"/>
  <c r="P131" i="1" s="1"/>
  <c r="L135" i="1"/>
  <c r="L139" i="1"/>
  <c r="L141" i="1"/>
  <c r="P141" i="1" s="1"/>
  <c r="L143" i="1"/>
  <c r="P143" i="1" s="1"/>
  <c r="L145" i="1"/>
  <c r="P145" i="1" s="1"/>
  <c r="L147" i="1"/>
  <c r="L148" i="1"/>
  <c r="L151" i="1"/>
  <c r="L154" i="1"/>
  <c r="P154" i="1" s="1"/>
  <c r="L157" i="1"/>
  <c r="P157" i="1" s="1"/>
  <c r="L160" i="1"/>
  <c r="L165" i="1"/>
  <c r="P165" i="1" s="1"/>
  <c r="L170" i="1"/>
  <c r="P170" i="1" s="1"/>
  <c r="L175" i="1"/>
  <c r="L180" i="1"/>
  <c r="P180" i="1" s="1"/>
  <c r="L185" i="1"/>
  <c r="P185" i="1" s="1"/>
  <c r="L187" i="1"/>
  <c r="L196" i="1"/>
  <c r="L200" i="1"/>
  <c r="P200" i="1" s="1"/>
  <c r="L204" i="1"/>
  <c r="P204" i="1" s="1"/>
  <c r="L211" i="1"/>
  <c r="L218" i="1"/>
  <c r="P218" i="1" s="1"/>
  <c r="L237" i="1"/>
  <c r="P237" i="1" s="1"/>
  <c r="L249" i="1"/>
  <c r="P249" i="1" s="1"/>
  <c r="L251" i="1"/>
  <c r="P251" i="1" s="1"/>
  <c r="L254" i="1"/>
  <c r="P254" i="1" s="1"/>
  <c r="L257" i="1"/>
  <c r="P257" i="1" s="1"/>
  <c r="L260" i="1"/>
  <c r="P260" i="1" s="1"/>
  <c r="L263" i="1"/>
  <c r="P263" i="1" s="1"/>
  <c r="L266" i="1"/>
  <c r="P266" i="1" s="1"/>
  <c r="L270" i="1"/>
  <c r="L274" i="1"/>
  <c r="P274" i="1" s="1"/>
  <c r="L278" i="1"/>
  <c r="P278" i="1" s="1"/>
  <c r="L282" i="1"/>
  <c r="P282" i="1" s="1"/>
  <c r="L283" i="1"/>
  <c r="L286" i="1"/>
  <c r="P286" i="1" s="1"/>
  <c r="L287" i="1"/>
  <c r="P287" i="1" s="1"/>
  <c r="L290" i="1"/>
  <c r="P290" i="1" s="1"/>
  <c r="L291" i="1"/>
  <c r="P291" i="1" s="1"/>
  <c r="L294" i="1"/>
  <c r="P294" i="1" s="1"/>
  <c r="L295" i="1"/>
  <c r="L298" i="1"/>
  <c r="P298" i="1" s="1"/>
  <c r="L299" i="1"/>
  <c r="P299" i="1" s="1"/>
  <c r="L302" i="1"/>
  <c r="P302" i="1" s="1"/>
  <c r="L303" i="1"/>
  <c r="L306" i="1"/>
  <c r="P306" i="1" s="1"/>
  <c r="L307" i="1"/>
  <c r="L310" i="1"/>
  <c r="P310" i="1" s="1"/>
  <c r="L313" i="1"/>
  <c r="P313" i="1" s="1"/>
  <c r="L316" i="1"/>
  <c r="P316" i="1" s="1"/>
  <c r="L319" i="1"/>
  <c r="L325" i="1"/>
  <c r="P325" i="1" s="1"/>
  <c r="L329" i="1"/>
  <c r="P329" i="1" s="1"/>
  <c r="L333" i="1"/>
  <c r="P333" i="1" s="1"/>
  <c r="L337" i="1"/>
  <c r="P337" i="1" s="1"/>
  <c r="L341" i="1"/>
  <c r="P341" i="1" s="1"/>
  <c r="Y2" i="2" l="1"/>
  <c r="Z40" i="2"/>
  <c r="Y73" i="2"/>
  <c r="Y60" i="2"/>
  <c r="Y47" i="2"/>
  <c r="Y34" i="2"/>
  <c r="Y21" i="2"/>
  <c r="Y8" i="2"/>
  <c r="Y33" i="2"/>
  <c r="Y45" i="2"/>
  <c r="Y6" i="2"/>
  <c r="P2" i="1"/>
  <c r="V5" i="1" s="1"/>
  <c r="O45" i="2"/>
  <c r="O22" i="2"/>
  <c r="S45" i="2" s="1"/>
  <c r="Y70" i="2"/>
  <c r="Y57" i="2"/>
  <c r="Y44" i="2"/>
  <c r="Y31" i="2"/>
  <c r="Y18" i="2"/>
  <c r="Y5" i="2"/>
  <c r="Y7" i="2"/>
  <c r="Y71" i="2"/>
  <c r="Y19" i="2"/>
  <c r="O74" i="2"/>
  <c r="S63" i="2" s="1"/>
  <c r="Y69" i="2"/>
  <c r="Y56" i="2"/>
  <c r="Y43" i="2"/>
  <c r="Y30" i="2"/>
  <c r="Y17" i="2"/>
  <c r="Y4" i="2"/>
  <c r="Y59" i="2"/>
  <c r="Y58" i="2"/>
  <c r="Y32" i="2"/>
  <c r="O71" i="2"/>
  <c r="S10" i="2" s="1"/>
  <c r="Y68" i="2"/>
  <c r="Y55" i="2"/>
  <c r="Y42" i="2"/>
  <c r="Y29" i="2"/>
  <c r="Y16" i="2"/>
  <c r="Y3" i="2"/>
  <c r="Y20" i="2"/>
  <c r="Y67" i="2"/>
  <c r="Y54" i="2"/>
  <c r="Y41" i="2"/>
  <c r="Y28" i="2"/>
  <c r="Y15" i="2"/>
  <c r="Y46" i="2"/>
  <c r="Y66" i="2"/>
  <c r="Y53" i="2"/>
  <c r="Y40" i="2"/>
  <c r="Y26" i="2"/>
  <c r="Y72" i="2"/>
  <c r="O62" i="2"/>
  <c r="S60" i="2" s="1"/>
  <c r="O32" i="2"/>
  <c r="Z38" i="2"/>
  <c r="Y65" i="2"/>
  <c r="Y51" i="2"/>
  <c r="Y38" i="2"/>
  <c r="Y25" i="2"/>
  <c r="Y13" i="2"/>
  <c r="Z37" i="2"/>
  <c r="Y63" i="2"/>
  <c r="Y50" i="2"/>
  <c r="Y37" i="2"/>
  <c r="Y24" i="2"/>
  <c r="Y11" i="2"/>
  <c r="Y75" i="2"/>
  <c r="Y62" i="2"/>
  <c r="Y49" i="2"/>
  <c r="Y36" i="2"/>
  <c r="Y23" i="2"/>
  <c r="Y10" i="2"/>
  <c r="Y74" i="2"/>
  <c r="Y61" i="2"/>
  <c r="Y35" i="2"/>
  <c r="Y9" i="2"/>
  <c r="Z66" i="2"/>
  <c r="Z22" i="2"/>
  <c r="Z14" i="2"/>
  <c r="Z57" i="2"/>
  <c r="Z53" i="2"/>
  <c r="Z48" i="2"/>
  <c r="Z44" i="2"/>
  <c r="Z31" i="2"/>
  <c r="Z35" i="2"/>
  <c r="Z18" i="2"/>
  <c r="Z9" i="2"/>
  <c r="Z70" i="2"/>
  <c r="Z61" i="2"/>
  <c r="Z69" i="2"/>
  <c r="Z60" i="2"/>
  <c r="Z51" i="2"/>
  <c r="Z43" i="2"/>
  <c r="Z34" i="2"/>
  <c r="Z8" i="2"/>
  <c r="O38" i="2"/>
  <c r="S35" i="2" s="1"/>
  <c r="Z68" i="2"/>
  <c r="Z59" i="2"/>
  <c r="Z50" i="2"/>
  <c r="Z42" i="2"/>
  <c r="Z33" i="2"/>
  <c r="Z24" i="2"/>
  <c r="Z16" i="2"/>
  <c r="Z7" i="2"/>
  <c r="O65" i="2"/>
  <c r="S25" i="2" s="1"/>
  <c r="O47" i="2"/>
  <c r="S5" i="2" s="1"/>
  <c r="O19" i="2"/>
  <c r="S68" i="2" s="1"/>
  <c r="Z75" i="2"/>
  <c r="Z67" i="2"/>
  <c r="Z58" i="2"/>
  <c r="Z49" i="2"/>
  <c r="Z41" i="2"/>
  <c r="Z32" i="2"/>
  <c r="Z23" i="2"/>
  <c r="Z15" i="2"/>
  <c r="Z6" i="2"/>
  <c r="Z74" i="2"/>
  <c r="Z5" i="2"/>
  <c r="Z73" i="2"/>
  <c r="Z56" i="2"/>
  <c r="Z47" i="2"/>
  <c r="Z30" i="2"/>
  <c r="Z21" i="2"/>
  <c r="O56" i="2"/>
  <c r="S23" i="2" s="1"/>
  <c r="Z46" i="2"/>
  <c r="Z20" i="2"/>
  <c r="Z11" i="2"/>
  <c r="Z3" i="2"/>
  <c r="Z71" i="2"/>
  <c r="Z62" i="2"/>
  <c r="Z54" i="2"/>
  <c r="Z45" i="2"/>
  <c r="Z36" i="2"/>
  <c r="Z28" i="2"/>
  <c r="Z19" i="2"/>
  <c r="Z10" i="2"/>
  <c r="Z2" i="2"/>
  <c r="O75" i="2"/>
  <c r="S11" i="2" s="1"/>
  <c r="O58" i="2"/>
  <c r="S59" i="2" s="1"/>
  <c r="O6" i="2"/>
  <c r="S65" i="2" s="1"/>
  <c r="O69" i="2"/>
  <c r="O67" i="2"/>
  <c r="O16" i="2"/>
  <c r="S14" i="2" s="1"/>
  <c r="O15" i="2"/>
  <c r="S67" i="2" s="1"/>
  <c r="O73" i="2"/>
  <c r="S51" i="2" s="1"/>
  <c r="O60" i="2"/>
  <c r="O50" i="2"/>
  <c r="S75" i="2" s="1"/>
  <c r="O8" i="2"/>
  <c r="S28" i="2" s="1"/>
  <c r="O59" i="2"/>
  <c r="S7" i="2" s="1"/>
  <c r="O7" i="2"/>
  <c r="S3" i="2" s="1"/>
  <c r="O34" i="2"/>
  <c r="S54" i="2" s="1"/>
  <c r="O51" i="2"/>
  <c r="S22" i="2" s="1"/>
  <c r="O35" i="2"/>
  <c r="O61" i="2"/>
  <c r="S48" i="2" s="1"/>
  <c r="O70" i="2"/>
  <c r="S62" i="2" s="1"/>
  <c r="O3" i="2"/>
  <c r="S2" i="2" s="1"/>
  <c r="O11" i="2"/>
  <c r="S13" i="2" s="1"/>
  <c r="O9" i="2"/>
  <c r="S42" i="2" s="1"/>
  <c r="S9" i="2"/>
  <c r="S21" i="2"/>
  <c r="S20" i="2"/>
  <c r="S32" i="2"/>
  <c r="S31" i="2"/>
  <c r="S53" i="2"/>
  <c r="O72" i="2"/>
  <c r="L72" i="2"/>
  <c r="L65" i="2"/>
  <c r="O63" i="2"/>
  <c r="S24" i="2" s="1"/>
  <c r="L63" i="2"/>
  <c r="O55" i="2"/>
  <c r="S6" i="2" s="1"/>
  <c r="L55" i="2"/>
  <c r="L48" i="2"/>
  <c r="L41" i="2"/>
  <c r="L40" i="2"/>
  <c r="L38" i="2"/>
  <c r="O37" i="2"/>
  <c r="S36" i="2" s="1"/>
  <c r="L37" i="2"/>
  <c r="L36" i="2"/>
  <c r="L33" i="2"/>
  <c r="L30" i="2"/>
  <c r="O29" i="2"/>
  <c r="L29" i="2"/>
  <c r="L26" i="2"/>
  <c r="L25" i="2"/>
  <c r="L22" i="2"/>
  <c r="L21" i="2"/>
  <c r="L17" i="2"/>
  <c r="L14" i="2"/>
  <c r="L13" i="2"/>
  <c r="L4" i="2"/>
  <c r="S40" i="2"/>
  <c r="O10" i="2"/>
  <c r="S46" i="2" s="1"/>
  <c r="O20" i="2"/>
  <c r="S18" i="2" s="1"/>
  <c r="D81" i="2" l="1"/>
  <c r="M2" i="2" s="1"/>
  <c r="D86" i="2"/>
  <c r="S61" i="2"/>
  <c r="S17" i="2"/>
  <c r="S72" i="2"/>
  <c r="S15" i="2"/>
  <c r="S66" i="2"/>
  <c r="S49" i="2"/>
  <c r="H82" i="2"/>
  <c r="G82" i="2"/>
  <c r="F82" i="2"/>
  <c r="D8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H85" i="2"/>
  <c r="G85" i="2"/>
  <c r="F85" i="2"/>
  <c r="D85" i="2"/>
  <c r="H86" i="2"/>
  <c r="G86" i="2"/>
  <c r="F86" i="2"/>
  <c r="H83" i="2"/>
  <c r="G83" i="2"/>
  <c r="F83" i="2"/>
  <c r="D83" i="2"/>
  <c r="V28" i="2"/>
  <c r="V29" i="2"/>
  <c r="V30" i="2"/>
  <c r="V31" i="2"/>
  <c r="V32" i="2"/>
  <c r="V33" i="2"/>
  <c r="V34" i="2"/>
  <c r="V35" i="2"/>
  <c r="V36" i="2"/>
  <c r="V37" i="2"/>
  <c r="V38" i="2"/>
  <c r="H84" i="2"/>
  <c r="G84" i="2"/>
  <c r="F84" i="2"/>
  <c r="D84" i="2"/>
  <c r="M40" i="2" s="1"/>
  <c r="V40" i="2"/>
  <c r="V41" i="2"/>
  <c r="V42" i="2"/>
  <c r="V43" i="2"/>
  <c r="V44" i="2"/>
  <c r="V45" i="2"/>
  <c r="V46" i="2"/>
  <c r="V47" i="2"/>
  <c r="V48" i="2"/>
  <c r="V49" i="2"/>
  <c r="V50" i="2"/>
  <c r="V51" i="2"/>
  <c r="S4" i="2"/>
  <c r="S74" i="2"/>
  <c r="H81" i="2"/>
  <c r="G81" i="2"/>
  <c r="F81" i="2"/>
  <c r="V2" i="2"/>
  <c r="V3" i="2"/>
  <c r="V4" i="2"/>
  <c r="V5" i="2"/>
  <c r="V6" i="2"/>
  <c r="V7" i="2"/>
  <c r="V8" i="2"/>
  <c r="V9" i="2"/>
  <c r="V10" i="2"/>
  <c r="V11" i="2"/>
  <c r="M3" i="2"/>
  <c r="S8" i="2"/>
  <c r="S50" i="2"/>
  <c r="S26" i="2"/>
  <c r="S34" i="2"/>
  <c r="V65" i="2" l="1"/>
  <c r="V66" i="2"/>
  <c r="V68" i="2"/>
  <c r="V70" i="2"/>
  <c r="V71" i="2"/>
  <c r="V72" i="2"/>
  <c r="V73" i="2"/>
  <c r="V74" i="2"/>
  <c r="V69" i="2"/>
  <c r="V75" i="2"/>
  <c r="V55" i="2"/>
  <c r="V58" i="2"/>
  <c r="V59" i="2"/>
  <c r="V63" i="2"/>
  <c r="V57" i="2"/>
  <c r="V56" i="2"/>
  <c r="V62" i="2"/>
  <c r="V54" i="2"/>
  <c r="V53" i="2"/>
  <c r="M11" i="2"/>
  <c r="W11" i="2" s="1"/>
  <c r="M10" i="2"/>
  <c r="W10" i="2" s="1"/>
  <c r="M9" i="2"/>
  <c r="W9" i="2" s="1"/>
  <c r="M8" i="2"/>
  <c r="W8" i="2" s="1"/>
  <c r="M7" i="2"/>
  <c r="W7" i="2" s="1"/>
  <c r="M6" i="2"/>
  <c r="W6" i="2" s="1"/>
  <c r="M5" i="2"/>
  <c r="W5" i="2" s="1"/>
  <c r="M4" i="2"/>
  <c r="W4" i="2" s="1"/>
  <c r="W3" i="2"/>
  <c r="W2" i="2"/>
  <c r="M51" i="2"/>
  <c r="W51" i="2" s="1"/>
  <c r="M50" i="2"/>
  <c r="W50" i="2" s="1"/>
  <c r="M49" i="2"/>
  <c r="W49" i="2" s="1"/>
  <c r="M48" i="2"/>
  <c r="W48" i="2" s="1"/>
  <c r="M47" i="2"/>
  <c r="W47" i="2" s="1"/>
  <c r="M46" i="2"/>
  <c r="W46" i="2" s="1"/>
  <c r="M45" i="2"/>
  <c r="W45" i="2" s="1"/>
  <c r="M44" i="2"/>
  <c r="W44" i="2" s="1"/>
  <c r="M43" i="2"/>
  <c r="W43" i="2" s="1"/>
  <c r="M42" i="2"/>
  <c r="W42" i="2" s="1"/>
  <c r="M41" i="2"/>
  <c r="W41" i="2" s="1"/>
  <c r="W40" i="2"/>
  <c r="M38" i="2"/>
  <c r="W38" i="2" s="1"/>
  <c r="M37" i="2"/>
  <c r="W37" i="2" s="1"/>
  <c r="M36" i="2"/>
  <c r="W36" i="2" s="1"/>
  <c r="M35" i="2"/>
  <c r="W35" i="2" s="1"/>
  <c r="M34" i="2"/>
  <c r="W34" i="2" s="1"/>
  <c r="M33" i="2"/>
  <c r="W33" i="2" s="1"/>
  <c r="M32" i="2"/>
  <c r="W32" i="2" s="1"/>
  <c r="M31" i="2"/>
  <c r="W31" i="2" s="1"/>
  <c r="M30" i="2"/>
  <c r="W30" i="2" s="1"/>
  <c r="M29" i="2"/>
  <c r="W29" i="2" s="1"/>
  <c r="M28" i="2"/>
  <c r="W28" i="2" s="1"/>
  <c r="V67" i="2"/>
  <c r="M75" i="2"/>
  <c r="W75" i="2" s="1"/>
  <c r="M74" i="2"/>
  <c r="W74" i="2" s="1"/>
  <c r="M73" i="2"/>
  <c r="W73" i="2" s="1"/>
  <c r="M72" i="2"/>
  <c r="W72" i="2" s="1"/>
  <c r="M71" i="2"/>
  <c r="W71" i="2" s="1"/>
  <c r="M70" i="2"/>
  <c r="W70" i="2" s="1"/>
  <c r="M69" i="2"/>
  <c r="W69" i="2" s="1"/>
  <c r="M68" i="2"/>
  <c r="W68" i="2" s="1"/>
  <c r="M67" i="2"/>
  <c r="M66" i="2"/>
  <c r="W66" i="2" s="1"/>
  <c r="M65" i="2"/>
  <c r="W65" i="2" s="1"/>
  <c r="V61" i="2"/>
  <c r="V60" i="2"/>
  <c r="M63" i="2"/>
  <c r="W63" i="2" s="1"/>
  <c r="M62" i="2"/>
  <c r="W62" i="2" s="1"/>
  <c r="M61" i="2"/>
  <c r="M60" i="2"/>
  <c r="M59" i="2"/>
  <c r="W59" i="2" s="1"/>
  <c r="M58" i="2"/>
  <c r="W58" i="2" s="1"/>
  <c r="M57" i="2"/>
  <c r="W57" i="2" s="1"/>
  <c r="M56" i="2"/>
  <c r="W56" i="2" s="1"/>
  <c r="M55" i="2"/>
  <c r="W55" i="2" s="1"/>
  <c r="M54" i="2"/>
  <c r="W54" i="2" s="1"/>
  <c r="M53" i="2"/>
  <c r="W53" i="2" s="1"/>
  <c r="M26" i="2"/>
  <c r="W26" i="2" s="1"/>
  <c r="M25" i="2"/>
  <c r="W25" i="2" s="1"/>
  <c r="M24" i="2"/>
  <c r="W24" i="2" s="1"/>
  <c r="M23" i="2"/>
  <c r="W23" i="2" s="1"/>
  <c r="M22" i="2"/>
  <c r="W22" i="2" s="1"/>
  <c r="M21" i="2"/>
  <c r="W21" i="2" s="1"/>
  <c r="M20" i="2"/>
  <c r="W20" i="2" s="1"/>
  <c r="M19" i="2"/>
  <c r="W19" i="2" s="1"/>
  <c r="M18" i="2"/>
  <c r="W18" i="2" s="1"/>
  <c r="M17" i="2"/>
  <c r="W17" i="2" s="1"/>
  <c r="M16" i="2"/>
  <c r="W16" i="2" s="1"/>
  <c r="M15" i="2"/>
  <c r="W15" i="2" s="1"/>
  <c r="M14" i="2"/>
  <c r="W14" i="2" s="1"/>
  <c r="M13" i="2"/>
  <c r="W13" i="2" s="1"/>
  <c r="W60" i="2" l="1"/>
  <c r="W61" i="2"/>
  <c r="W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<sst xmlns="http://schemas.openxmlformats.org/spreadsheetml/2006/main" count="503" uniqueCount="58">
  <si>
    <t>ID</t>
  </si>
  <si>
    <t>Created</t>
  </si>
  <si>
    <t>BSSID</t>
  </si>
  <si>
    <t>Position X</t>
  </si>
  <si>
    <t>Position Y</t>
  </si>
  <si>
    <t>Position Z</t>
  </si>
  <si>
    <t>Ap X</t>
  </si>
  <si>
    <t>Ap Y</t>
  </si>
  <si>
    <t>Ap Z</t>
  </si>
  <si>
    <t>Distance Actual</t>
  </si>
  <si>
    <t>Distance Estimate</t>
  </si>
  <si>
    <t>Estimate error</t>
  </si>
  <si>
    <t>Standard Deviation</t>
  </si>
  <si>
    <t>Success</t>
  </si>
  <si>
    <t>RSS</t>
  </si>
  <si>
    <t>Includes 0</t>
  </si>
  <si>
    <t>08:b4:b1:85:14:21</t>
  </si>
  <si>
    <t>08:b4:b1:85:11:61</t>
  </si>
  <si>
    <t>Average error:</t>
  </si>
  <si>
    <t>% success:</t>
  </si>
  <si>
    <t>Min error:</t>
  </si>
  <si>
    <t>% includes 0</t>
  </si>
  <si>
    <t>Max error:</t>
  </si>
  <si>
    <t>MAX Failed rss:</t>
  </si>
  <si>
    <t>Median error:</t>
  </si>
  <si>
    <t>MIN Success rss:</t>
  </si>
  <si>
    <t>MAX success distance</t>
  </si>
  <si>
    <t>MIN Failed distance</t>
  </si>
  <si>
    <t>08:b4:b1:85:2e:57</t>
  </si>
  <si>
    <t>08:b4:b1:85:4a:f5</t>
  </si>
  <si>
    <t>08:b4:b1:85:12:ab</t>
  </si>
  <si>
    <t>08:b4:b1:85:12:95</t>
  </si>
  <si>
    <t>Average estimate error</t>
  </si>
  <si>
    <t>RSS at one meter</t>
  </si>
  <si>
    <t>n estimate</t>
  </si>
  <si>
    <t>Average n</t>
  </si>
  <si>
    <t>RSS distance</t>
  </si>
  <si>
    <t>Distance error</t>
  </si>
  <si>
    <t>Using n=1.6</t>
  </si>
  <si>
    <t>n estimates:</t>
  </si>
  <si>
    <t>N used</t>
  </si>
  <si>
    <t>Old average</t>
  </si>
  <si>
    <t>New average</t>
  </si>
  <si>
    <t>new median</t>
  </si>
  <si>
    <t>new min</t>
  </si>
  <si>
    <t>new max</t>
  </si>
  <si>
    <t>RSS distance OLD n</t>
  </si>
  <si>
    <t>RSS Distance Error Old N</t>
  </si>
  <si>
    <t>Error 1.6</t>
  </si>
  <si>
    <t>Average</t>
  </si>
  <si>
    <t>Median</t>
  </si>
  <si>
    <t>Min</t>
  </si>
  <si>
    <t>Max</t>
  </si>
  <si>
    <t>Under 1000</t>
  </si>
  <si>
    <t>Under 2000</t>
  </si>
  <si>
    <t>Under 3000</t>
  </si>
  <si>
    <t>Under 5000</t>
  </si>
  <si>
    <t>Under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</si>
</sst>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8">
    <xf numFmtId="0" fontId="0" fillId="0" borderId="0"/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14" fontId="3" fillId="0" borderId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14" fontId="3" fillId="0" borderId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</cellStyleXfs>
  <cellXfs count="37">
    <xf numFmtId="0" fontId="0" fillId="0" borderId="0" xfId="0"/>
    <xf numFmtId="14" fontId="0" fillId="0" borderId="0" xfId="3" applyFont="1">
      <alignment horizontal="left"/>
    </xf>
    <xf numFmtId="0" fontId="0" fillId="0" borderId="0" xfId="7" applyFont="1">
      <alignment horizontal="left"/>
    </xf>
    <xf numFmtId="0" fontId="0" fillId="0" borderId="0" xfId="8" applyFont="1">
      <alignment horizontal="right"/>
    </xf>
    <xf numFmtId="0" fontId="0" fillId="0" borderId="0" xfId="9" applyFont="1">
      <alignment horizontal="right"/>
    </xf>
    <xf numFmtId="0" fontId="0" fillId="0" borderId="0" xfId="10" applyFont="1">
      <alignment horizontal="right"/>
    </xf>
    <xf numFmtId="0" fontId="0" fillId="0" borderId="0" xfId="11" applyFont="1">
      <alignment horizontal="right"/>
    </xf>
    <xf numFmtId="0" fontId="0" fillId="0" borderId="0" xfId="12" applyFont="1">
      <alignment horizontal="right"/>
    </xf>
    <xf numFmtId="0" fontId="0" fillId="0" borderId="0" xfId="13" applyFont="1">
      <alignment horizontal="left"/>
    </xf>
    <xf numFmtId="0" fontId="0" fillId="0" borderId="0" xfId="14" applyFont="1">
      <alignment horizontal="left"/>
    </xf>
    <xf numFmtId="0" fontId="2" fillId="0" borderId="0" xfId="1" applyFont="1">
      <alignment horizontal="left"/>
    </xf>
    <xf numFmtId="0" fontId="1" fillId="0" borderId="0" xfId="1" applyFont="1">
      <alignment horizontal="left"/>
    </xf>
    <xf numFmtId="0" fontId="1" fillId="0" borderId="0" xfId="2" applyFont="1">
      <alignment horizontal="left"/>
    </xf>
    <xf numFmtId="14" fontId="1" fillId="0" borderId="0" xfId="3" applyFont="1">
      <alignment horizontal="left"/>
    </xf>
    <xf numFmtId="0" fontId="1" fillId="0" borderId="0" xfId="7" applyFont="1">
      <alignment horizontal="left"/>
    </xf>
    <xf numFmtId="0" fontId="1" fillId="0" borderId="0" xfId="8" applyFont="1">
      <alignment horizontal="right"/>
    </xf>
    <xf numFmtId="0" fontId="1" fillId="0" borderId="0" xfId="9" applyFont="1">
      <alignment horizontal="right"/>
    </xf>
    <xf numFmtId="0" fontId="1" fillId="0" borderId="0" xfId="10" applyFont="1">
      <alignment horizontal="right"/>
    </xf>
    <xf numFmtId="0" fontId="1" fillId="0" borderId="0" xfId="11" applyFont="1">
      <alignment horizontal="right"/>
    </xf>
    <xf numFmtId="0" fontId="1" fillId="0" borderId="0" xfId="12" applyFont="1">
      <alignment horizontal="right"/>
    </xf>
    <xf numFmtId="0" fontId="1" fillId="0" borderId="0" xfId="13" applyFont="1">
      <alignment horizontal="left"/>
    </xf>
    <xf numFmtId="0" fontId="1" fillId="0" borderId="0" xfId="14" applyFont="1">
      <alignment horizontal="left"/>
    </xf>
    <xf numFmtId="0" fontId="0" fillId="0" borderId="0" xfId="1" applyFont="1">
      <alignment horizontal="left"/>
    </xf>
    <xf numFmtId="0" fontId="0" fillId="0" borderId="0" xfId="2" applyFont="1">
      <alignment horizontal="left"/>
    </xf>
    <xf numFmtId="0" fontId="0" fillId="0" borderId="0" xfId="17" applyFont="1">
      <alignment horizontal="right"/>
    </xf>
    <xf numFmtId="0" fontId="0" fillId="0" borderId="0" xfId="15" applyFont="1">
      <alignment horizontal="right"/>
    </xf>
    <xf numFmtId="0" fontId="0" fillId="0" borderId="0" xfId="16" applyFont="1">
      <alignment horizontal="right"/>
    </xf>
    <xf numFmtId="0" fontId="2" fillId="0" borderId="0" xfId="0" applyFont="1" applyAlignment="1">
      <alignment horizontal="left"/>
    </xf>
    <xf numFmtId="10" fontId="0" fillId="0" borderId="0" xfId="13" applyNumberFormat="1" applyFont="1">
      <alignment horizontal="left"/>
    </xf>
    <xf numFmtId="1" fontId="0" fillId="0" borderId="0" xfId="3" applyNumberFormat="1" applyFont="1">
      <alignment horizontal="left"/>
    </xf>
    <xf numFmtId="10" fontId="1" fillId="0" borderId="0" xfId="2" applyNumberFormat="1" applyFont="1">
      <alignment horizontal="left"/>
    </xf>
    <xf numFmtId="0" fontId="4" fillId="2" borderId="0" xfId="0" applyFont="1" applyFill="1"/>
    <xf numFmtId="0" fontId="4" fillId="2" borderId="1" xfId="0" applyFont="1" applyFill="1" applyBorder="1"/>
    <xf numFmtId="0" fontId="1" fillId="0" borderId="0" xfId="15" applyFont="1">
      <alignment horizontal="right"/>
    </xf>
    <xf numFmtId="0" fontId="0" fillId="0" borderId="0" xfId="0"/>
    <xf numFmtId="0" fontId="1" fillId="0" borderId="0" xfId="15" applyFont="1">
      <alignment horizontal="right"/>
    </xf>
    <xf numFmtId="10" fontId="0" fillId="0" borderId="0" xfId="0" applyNumberFormat="1"/>
  </cellXfs>
  <cellStyles count="18">
    <cellStyle name="Column0_Style" xfId="1" xr:uid="{00000000-0005-0000-0000-000006000000}"/>
    <cellStyle name="Column1_Style" xfId="2" xr:uid="{00000000-0005-0000-0000-000007000000}"/>
    <cellStyle name="Column10_Style" xfId="11" xr:uid="{00000000-0005-0000-0000-000010000000}"/>
    <cellStyle name="Column11_Style" xfId="12" xr:uid="{00000000-0005-0000-0000-000011000000}"/>
    <cellStyle name="Column12_Style" xfId="13" xr:uid="{00000000-0005-0000-0000-000012000000}"/>
    <cellStyle name="Column13_Style" xfId="14" xr:uid="{00000000-0005-0000-0000-000013000000}"/>
    <cellStyle name="Column14_Style" xfId="15" xr:uid="{00000000-0005-0000-0000-000014000000}"/>
    <cellStyle name="Column15_Style" xfId="16" xr:uid="{00000000-0005-0000-0000-000015000000}"/>
    <cellStyle name="Column16_Style" xfId="17" xr:uid="{00000000-0005-0000-0000-000016000000}"/>
    <cellStyle name="Column2_Style" xfId="3" xr:uid="{00000000-0005-0000-0000-000008000000}"/>
    <cellStyle name="Column3_Style" xfId="4" xr:uid="{00000000-0005-0000-0000-000009000000}"/>
    <cellStyle name="Column4_Style" xfId="5" xr:uid="{00000000-0005-0000-0000-00000A000000}"/>
    <cellStyle name="Column5_Style" xfId="6" xr:uid="{00000000-0005-0000-0000-00000B000000}"/>
    <cellStyle name="Column6_Style" xfId="7" xr:uid="{00000000-0005-0000-0000-00000C000000}"/>
    <cellStyle name="Column7_Style" xfId="8" xr:uid="{00000000-0005-0000-0000-00000D000000}"/>
    <cellStyle name="Column8_Style" xfId="9" xr:uid="{00000000-0005-0000-0000-00000E000000}"/>
    <cellStyle name="Column9_Style" xfId="10" xr:uid="{00000000-0005-0000-0000-00000F000000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RTT real</a:t>
            </a:r>
            <a:r>
              <a:rPr lang="en-GB" baseline="0"/>
              <a:t> vs estimated distance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257"/>
              <c:pt idx="0">
                <c:v>10485.4945317247</c:v>
              </c:pt>
              <c:pt idx="1">
                <c:v>10485.4945317247</c:v>
              </c:pt>
              <c:pt idx="2">
                <c:v>10485.4945317247</c:v>
              </c:pt>
              <c:pt idx="3">
                <c:v>10485.4945317247</c:v>
              </c:pt>
              <c:pt idx="4">
                <c:v>10485.4945317247</c:v>
              </c:pt>
              <c:pt idx="5">
                <c:v>10485.4945317247</c:v>
              </c:pt>
              <c:pt idx="6">
                <c:v>10485.4945317247</c:v>
              </c:pt>
              <c:pt idx="7">
                <c:v>10485.4945317247</c:v>
              </c:pt>
              <c:pt idx="8">
                <c:v>10485.4945317247</c:v>
              </c:pt>
              <c:pt idx="9">
                <c:v>10485.4945317247</c:v>
              </c:pt>
              <c:pt idx="10">
                <c:v>8196.2691321474904</c:v>
              </c:pt>
              <c:pt idx="11">
                <c:v>30157.332497411699</c:v>
              </c:pt>
              <c:pt idx="12">
                <c:v>25040.767495996301</c:v>
              </c:pt>
              <c:pt idx="13">
                <c:v>8196.2691321474904</c:v>
              </c:pt>
              <c:pt idx="14">
                <c:v>30157.332497411699</c:v>
              </c:pt>
              <c:pt idx="15">
                <c:v>25040.767495996301</c:v>
              </c:pt>
              <c:pt idx="16">
                <c:v>8196.2691321474904</c:v>
              </c:pt>
              <c:pt idx="17">
                <c:v>30157.332497411699</c:v>
              </c:pt>
              <c:pt idx="18">
                <c:v>25040.767495996301</c:v>
              </c:pt>
              <c:pt idx="19">
                <c:v>8196.2691321474904</c:v>
              </c:pt>
              <c:pt idx="20">
                <c:v>30157.332497411699</c:v>
              </c:pt>
              <c:pt idx="21">
                <c:v>25040.767495996301</c:v>
              </c:pt>
              <c:pt idx="22">
                <c:v>8196.2691321474904</c:v>
              </c:pt>
              <c:pt idx="23">
                <c:v>30157.332497411699</c:v>
              </c:pt>
              <c:pt idx="24">
                <c:v>25040.767495996301</c:v>
              </c:pt>
              <c:pt idx="25">
                <c:v>23979.0406611383</c:v>
              </c:pt>
              <c:pt idx="26">
                <c:v>30885.3489019304</c:v>
              </c:pt>
              <c:pt idx="27">
                <c:v>23979.0406611383</c:v>
              </c:pt>
              <c:pt idx="28">
                <c:v>30885.3489019304</c:v>
              </c:pt>
              <c:pt idx="29">
                <c:v>23979.0406611383</c:v>
              </c:pt>
              <c:pt idx="30">
                <c:v>30885.3489019304</c:v>
              </c:pt>
              <c:pt idx="31">
                <c:v>23979.0406611383</c:v>
              </c:pt>
              <c:pt idx="32">
                <c:v>30885.3489019304</c:v>
              </c:pt>
              <c:pt idx="33">
                <c:v>23979.0406611383</c:v>
              </c:pt>
              <c:pt idx="34">
                <c:v>30885.3489019304</c:v>
              </c:pt>
              <c:pt idx="35">
                <c:v>18501.5295115796</c:v>
              </c:pt>
              <c:pt idx="36">
                <c:v>45998.834565822202</c:v>
              </c:pt>
              <c:pt idx="37">
                <c:v>26864.9127105671</c:v>
              </c:pt>
              <c:pt idx="38">
                <c:v>18501.5295115796</c:v>
              </c:pt>
              <c:pt idx="39">
                <c:v>45998.834565822202</c:v>
              </c:pt>
              <c:pt idx="40">
                <c:v>26864.9127105671</c:v>
              </c:pt>
              <c:pt idx="41">
                <c:v>18501.5295115796</c:v>
              </c:pt>
              <c:pt idx="42">
                <c:v>26864.9127105671</c:v>
              </c:pt>
              <c:pt idx="43">
                <c:v>18501.5295115796</c:v>
              </c:pt>
              <c:pt idx="44">
                <c:v>26864.9127105671</c:v>
              </c:pt>
              <c:pt idx="45">
                <c:v>18501.5295115796</c:v>
              </c:pt>
              <c:pt idx="46">
                <c:v>45998.834565822202</c:v>
              </c:pt>
              <c:pt idx="47">
                <c:v>26864.9127105671</c:v>
              </c:pt>
              <c:pt idx="48">
                <c:v>44213.642208290497</c:v>
              </c:pt>
              <c:pt idx="49">
                <c:v>23585.5483801642</c:v>
              </c:pt>
              <c:pt idx="50">
                <c:v>13488.8257644981</c:v>
              </c:pt>
              <c:pt idx="51">
                <c:v>44213.642208290497</c:v>
              </c:pt>
              <c:pt idx="52">
                <c:v>23585.5483801642</c:v>
              </c:pt>
              <c:pt idx="53">
                <c:v>13488.8257644981</c:v>
              </c:pt>
              <c:pt idx="54">
                <c:v>44213.642208290497</c:v>
              </c:pt>
              <c:pt idx="55">
                <c:v>23585.5483801642</c:v>
              </c:pt>
              <c:pt idx="56">
                <c:v>13488.8257644981</c:v>
              </c:pt>
              <c:pt idx="57">
                <c:v>44213.642208290497</c:v>
              </c:pt>
              <c:pt idx="58">
                <c:v>23585.5483801642</c:v>
              </c:pt>
              <c:pt idx="59">
                <c:v>13488.8257644981</c:v>
              </c:pt>
              <c:pt idx="60">
                <c:v>44213.642208290497</c:v>
              </c:pt>
              <c:pt idx="61">
                <c:v>23585.5483801642</c:v>
              </c:pt>
              <c:pt idx="62">
                <c:v>32134.0200748686</c:v>
              </c:pt>
              <c:pt idx="63">
                <c:v>5860.8248094753499</c:v>
              </c:pt>
              <c:pt idx="64">
                <c:v>34287.172721756797</c:v>
              </c:pt>
              <c:pt idx="65">
                <c:v>13853.8673560425</c:v>
              </c:pt>
              <c:pt idx="66">
                <c:v>32134.0200748686</c:v>
              </c:pt>
              <c:pt idx="67">
                <c:v>5860.8248094753499</c:v>
              </c:pt>
              <c:pt idx="68">
                <c:v>34287.172721756797</c:v>
              </c:pt>
              <c:pt idx="69">
                <c:v>13853.8673560425</c:v>
              </c:pt>
              <c:pt idx="70">
                <c:v>32134.0200748686</c:v>
              </c:pt>
              <c:pt idx="71">
                <c:v>5860.8248094753499</c:v>
              </c:pt>
              <c:pt idx="72">
                <c:v>34287.172721756797</c:v>
              </c:pt>
              <c:pt idx="73">
                <c:v>13853.8673560425</c:v>
              </c:pt>
              <c:pt idx="74">
                <c:v>32134.0200748686</c:v>
              </c:pt>
              <c:pt idx="75">
                <c:v>5860.8248094753499</c:v>
              </c:pt>
              <c:pt idx="76">
                <c:v>34287.172721756797</c:v>
              </c:pt>
              <c:pt idx="77">
                <c:v>13853.8673560425</c:v>
              </c:pt>
              <c:pt idx="78">
                <c:v>32134.0200748686</c:v>
              </c:pt>
              <c:pt idx="79">
                <c:v>5860.8248094753499</c:v>
              </c:pt>
              <c:pt idx="80">
                <c:v>34287.172721756797</c:v>
              </c:pt>
              <c:pt idx="81">
                <c:v>13853.8673560425</c:v>
              </c:pt>
              <c:pt idx="82">
                <c:v>6185.64295814241</c:v>
              </c:pt>
              <c:pt idx="83">
                <c:v>5092.5599059577098</c:v>
              </c:pt>
              <c:pt idx="84">
                <c:v>6185.64295814241</c:v>
              </c:pt>
              <c:pt idx="85">
                <c:v>26346.775708036701</c:v>
              </c:pt>
              <c:pt idx="86">
                <c:v>5092.5599059577098</c:v>
              </c:pt>
              <c:pt idx="87">
                <c:v>6185.64295814241</c:v>
              </c:pt>
              <c:pt idx="88">
                <c:v>26346.775708036701</c:v>
              </c:pt>
              <c:pt idx="89">
                <c:v>5092.5599059577098</c:v>
              </c:pt>
              <c:pt idx="90">
                <c:v>6185.64295814241</c:v>
              </c:pt>
              <c:pt idx="91">
                <c:v>5092.5599059577098</c:v>
              </c:pt>
              <c:pt idx="92">
                <c:v>6185.64295814241</c:v>
              </c:pt>
              <c:pt idx="93">
                <c:v>5092.5599059577098</c:v>
              </c:pt>
              <c:pt idx="94">
                <c:v>14169.5208271549</c:v>
              </c:pt>
              <c:pt idx="95">
                <c:v>6827.2168586866801</c:v>
              </c:pt>
              <c:pt idx="96">
                <c:v>14169.5208271549</c:v>
              </c:pt>
              <c:pt idx="97">
                <c:v>6827.2168586866801</c:v>
              </c:pt>
              <c:pt idx="98">
                <c:v>14169.5208271549</c:v>
              </c:pt>
              <c:pt idx="99">
                <c:v>6827.2168586866801</c:v>
              </c:pt>
              <c:pt idx="100">
                <c:v>14169.5208271549</c:v>
              </c:pt>
              <c:pt idx="101">
                <c:v>6827.2168586866801</c:v>
              </c:pt>
              <c:pt idx="102">
                <c:v>14169.5208271549</c:v>
              </c:pt>
              <c:pt idx="103">
                <c:v>6827.2168586866801</c:v>
              </c:pt>
              <c:pt idx="104">
                <c:v>37356.111543539097</c:v>
              </c:pt>
              <c:pt idx="105">
                <c:v>24220.328091231</c:v>
              </c:pt>
              <c:pt idx="106">
                <c:v>11638.361541144001</c:v>
              </c:pt>
              <c:pt idx="107">
                <c:v>13813.6051630166</c:v>
              </c:pt>
              <c:pt idx="108">
                <c:v>37356.111543539097</c:v>
              </c:pt>
              <c:pt idx="109">
                <c:v>24220.328091231</c:v>
              </c:pt>
              <c:pt idx="110">
                <c:v>11638.361541144001</c:v>
              </c:pt>
              <c:pt idx="111">
                <c:v>13813.6051630166</c:v>
              </c:pt>
              <c:pt idx="112">
                <c:v>37356.111543539097</c:v>
              </c:pt>
              <c:pt idx="113">
                <c:v>24220.328091231</c:v>
              </c:pt>
              <c:pt idx="114">
                <c:v>11638.361541144001</c:v>
              </c:pt>
              <c:pt idx="115">
                <c:v>13813.6051630166</c:v>
              </c:pt>
              <c:pt idx="116">
                <c:v>37356.111543539097</c:v>
              </c:pt>
              <c:pt idx="117">
                <c:v>24220.328091231</c:v>
              </c:pt>
              <c:pt idx="118">
                <c:v>11638.361541144001</c:v>
              </c:pt>
              <c:pt idx="119">
                <c:v>13813.6051630166</c:v>
              </c:pt>
              <c:pt idx="120">
                <c:v>37356.111543539097</c:v>
              </c:pt>
              <c:pt idx="121">
                <c:v>24220.328091231</c:v>
              </c:pt>
              <c:pt idx="122">
                <c:v>11638.361541144001</c:v>
              </c:pt>
              <c:pt idx="123">
                <c:v>13813.6051630166</c:v>
              </c:pt>
              <c:pt idx="124">
                <c:v>35694.426193674597</c:v>
              </c:pt>
              <c:pt idx="125">
                <c:v>30971.853993248798</c:v>
              </c:pt>
              <c:pt idx="126">
                <c:v>7610.5279100871603</c:v>
              </c:pt>
              <c:pt idx="127">
                <c:v>20234.964555381499</c:v>
              </c:pt>
              <c:pt idx="128">
                <c:v>35694.426193674597</c:v>
              </c:pt>
              <c:pt idx="129">
                <c:v>30971.853993248798</c:v>
              </c:pt>
              <c:pt idx="130">
                <c:v>7610.5279100871603</c:v>
              </c:pt>
              <c:pt idx="131">
                <c:v>20234.964555381499</c:v>
              </c:pt>
              <c:pt idx="132">
                <c:v>35694.426193674597</c:v>
              </c:pt>
              <c:pt idx="133">
                <c:v>7610.5279100871603</c:v>
              </c:pt>
              <c:pt idx="134">
                <c:v>20234.964555381499</c:v>
              </c:pt>
              <c:pt idx="135">
                <c:v>35694.426193674597</c:v>
              </c:pt>
              <c:pt idx="136">
                <c:v>7610.5279100871603</c:v>
              </c:pt>
              <c:pt idx="137">
                <c:v>20234.964555381499</c:v>
              </c:pt>
              <c:pt idx="138">
                <c:v>35694.426193674597</c:v>
              </c:pt>
              <c:pt idx="139">
                <c:v>7610.5279100871603</c:v>
              </c:pt>
              <c:pt idx="140">
                <c:v>20234.964555381499</c:v>
              </c:pt>
              <c:pt idx="141">
                <c:v>24465.515604456799</c:v>
              </c:pt>
              <c:pt idx="142">
                <c:v>35974.298855750298</c:v>
              </c:pt>
              <c:pt idx="143">
                <c:v>5320.7458703654602</c:v>
              </c:pt>
              <c:pt idx="144">
                <c:v>39481.489982984102</c:v>
              </c:pt>
              <c:pt idx="145">
                <c:v>25051.0805888</c:v>
              </c:pt>
              <c:pt idx="146">
                <c:v>24465.515604456799</c:v>
              </c:pt>
              <c:pt idx="147">
                <c:v>35974.298855750298</c:v>
              </c:pt>
              <c:pt idx="148">
                <c:v>5320.7458703654602</c:v>
              </c:pt>
              <c:pt idx="149">
                <c:v>39481.489982984102</c:v>
              </c:pt>
              <c:pt idx="150">
                <c:v>25051.0805888</c:v>
              </c:pt>
              <c:pt idx="151">
                <c:v>24465.515604456799</c:v>
              </c:pt>
              <c:pt idx="152">
                <c:v>5320.7458703654602</c:v>
              </c:pt>
              <c:pt idx="153">
                <c:v>39481.489982984102</c:v>
              </c:pt>
              <c:pt idx="154">
                <c:v>25051.0805888</c:v>
              </c:pt>
              <c:pt idx="155">
                <c:v>24465.515604456799</c:v>
              </c:pt>
              <c:pt idx="156">
                <c:v>35974.298855750298</c:v>
              </c:pt>
              <c:pt idx="157">
                <c:v>5320.7458703654602</c:v>
              </c:pt>
              <c:pt idx="158">
                <c:v>39481.489982984102</c:v>
              </c:pt>
              <c:pt idx="159">
                <c:v>25051.0805888</c:v>
              </c:pt>
              <c:pt idx="160">
                <c:v>24465.515604456799</c:v>
              </c:pt>
              <c:pt idx="161">
                <c:v>35974.298855750298</c:v>
              </c:pt>
              <c:pt idx="162">
                <c:v>5320.7458703654602</c:v>
              </c:pt>
              <c:pt idx="163">
                <c:v>39481.489982984102</c:v>
              </c:pt>
              <c:pt idx="164">
                <c:v>25051.0805888</c:v>
              </c:pt>
              <c:pt idx="165">
                <c:v>20962.345130364702</c:v>
              </c:pt>
              <c:pt idx="166">
                <c:v>28708.697529184599</c:v>
              </c:pt>
              <c:pt idx="167">
                <c:v>10507.4971601202</c:v>
              </c:pt>
              <c:pt idx="168">
                <c:v>18715.467586276998</c:v>
              </c:pt>
              <c:pt idx="169">
                <c:v>20962.345130364702</c:v>
              </c:pt>
              <c:pt idx="170">
                <c:v>10507.4971601202</c:v>
              </c:pt>
              <c:pt idx="171">
                <c:v>18715.467586276998</c:v>
              </c:pt>
              <c:pt idx="172">
                <c:v>20962.345130364702</c:v>
              </c:pt>
              <c:pt idx="173">
                <c:v>28708.697529184599</c:v>
              </c:pt>
              <c:pt idx="174">
                <c:v>10507.4971601202</c:v>
              </c:pt>
              <c:pt idx="175">
                <c:v>18715.467586276998</c:v>
              </c:pt>
              <c:pt idx="176">
                <c:v>20962.345130364702</c:v>
              </c:pt>
              <c:pt idx="177">
                <c:v>28708.697529184599</c:v>
              </c:pt>
              <c:pt idx="178">
                <c:v>10507.4971601202</c:v>
              </c:pt>
              <c:pt idx="179">
                <c:v>18715.467586276998</c:v>
              </c:pt>
              <c:pt idx="180">
                <c:v>20962.345130364702</c:v>
              </c:pt>
              <c:pt idx="181">
                <c:v>10507.4971601202</c:v>
              </c:pt>
              <c:pt idx="182">
                <c:v>18715.467586276998</c:v>
              </c:pt>
              <c:pt idx="183">
                <c:v>7592.5146225830304</c:v>
              </c:pt>
              <c:pt idx="184">
                <c:v>28178.271001523201</c:v>
              </c:pt>
              <c:pt idx="185">
                <c:v>7592.5146225830304</c:v>
              </c:pt>
              <c:pt idx="186">
                <c:v>28178.271001523201</c:v>
              </c:pt>
              <c:pt idx="187">
                <c:v>7592.5146225830304</c:v>
              </c:pt>
              <c:pt idx="188">
                <c:v>28178.271001523201</c:v>
              </c:pt>
              <c:pt idx="189">
                <c:v>7592.5146225830304</c:v>
              </c:pt>
              <c:pt idx="190">
                <c:v>28178.271001523201</c:v>
              </c:pt>
              <c:pt idx="191">
                <c:v>7592.5146225830304</c:v>
              </c:pt>
              <c:pt idx="192">
                <c:v>28178.271001523201</c:v>
              </c:pt>
              <c:pt idx="193">
                <c:v>37504.7274030646</c:v>
              </c:pt>
              <c:pt idx="194">
                <c:v>17574.765949099601</c:v>
              </c:pt>
              <c:pt idx="195">
                <c:v>16841.286792826199</c:v>
              </c:pt>
              <c:pt idx="196">
                <c:v>37504.7274030646</c:v>
              </c:pt>
              <c:pt idx="197">
                <c:v>17574.765949099601</c:v>
              </c:pt>
              <c:pt idx="198">
                <c:v>16841.286792826199</c:v>
              </c:pt>
              <c:pt idx="199">
                <c:v>37504.7274030646</c:v>
              </c:pt>
              <c:pt idx="200">
                <c:v>17574.765949099601</c:v>
              </c:pt>
              <c:pt idx="201">
                <c:v>16841.286792826199</c:v>
              </c:pt>
              <c:pt idx="202">
                <c:v>37504.7274030646</c:v>
              </c:pt>
              <c:pt idx="203">
                <c:v>17574.765949099601</c:v>
              </c:pt>
              <c:pt idx="204">
                <c:v>16841.286792826199</c:v>
              </c:pt>
              <c:pt idx="205">
                <c:v>17574.765949099601</c:v>
              </c:pt>
              <c:pt idx="206">
                <c:v>16841.286792826199</c:v>
              </c:pt>
              <c:pt idx="207">
                <c:v>19610.727773461502</c:v>
              </c:pt>
              <c:pt idx="208">
                <c:v>11448.034337589401</c:v>
              </c:pt>
              <c:pt idx="209">
                <c:v>19610.727773461502</c:v>
              </c:pt>
              <c:pt idx="210">
                <c:v>11448.034337589401</c:v>
              </c:pt>
              <c:pt idx="211">
                <c:v>19610.727773461502</c:v>
              </c:pt>
              <c:pt idx="212">
                <c:v>11448.034337589401</c:v>
              </c:pt>
              <c:pt idx="213">
                <c:v>19610.727773461502</c:v>
              </c:pt>
              <c:pt idx="214">
                <c:v>11448.034337589401</c:v>
              </c:pt>
              <c:pt idx="215">
                <c:v>19610.727773461502</c:v>
              </c:pt>
              <c:pt idx="216">
                <c:v>11448.034337589401</c:v>
              </c:pt>
              <c:pt idx="217">
                <c:v>24101.456602108501</c:v>
              </c:pt>
              <c:pt idx="218">
                <c:v>7162.5452797253602</c:v>
              </c:pt>
              <c:pt idx="219">
                <c:v>24101.456602108501</c:v>
              </c:pt>
              <c:pt idx="220">
                <c:v>7162.5452797253602</c:v>
              </c:pt>
              <c:pt idx="221">
                <c:v>24101.456602108501</c:v>
              </c:pt>
              <c:pt idx="222">
                <c:v>7162.5452797253602</c:v>
              </c:pt>
              <c:pt idx="223">
                <c:v>24101.456602108501</c:v>
              </c:pt>
              <c:pt idx="224">
                <c:v>7162.5452797253602</c:v>
              </c:pt>
              <c:pt idx="225">
                <c:v>24101.456602108501</c:v>
              </c:pt>
              <c:pt idx="226">
                <c:v>7162.5452797253602</c:v>
              </c:pt>
              <c:pt idx="227">
                <c:v>23249.360439058401</c:v>
              </c:pt>
              <c:pt idx="228">
                <c:v>17730.474377739301</c:v>
              </c:pt>
              <c:pt idx="229">
                <c:v>2933.6095504771802</c:v>
              </c:pt>
              <c:pt idx="230">
                <c:v>23249.360439058401</c:v>
              </c:pt>
              <c:pt idx="231">
                <c:v>17730.474377739301</c:v>
              </c:pt>
              <c:pt idx="232">
                <c:v>2933.6095504771802</c:v>
              </c:pt>
              <c:pt idx="233">
                <c:v>23249.360439058401</c:v>
              </c:pt>
              <c:pt idx="234">
                <c:v>17730.474377739301</c:v>
              </c:pt>
              <c:pt idx="235">
                <c:v>2933.6095504771802</c:v>
              </c:pt>
              <c:pt idx="236">
                <c:v>23249.360439058401</c:v>
              </c:pt>
              <c:pt idx="237">
                <c:v>17730.474377739301</c:v>
              </c:pt>
              <c:pt idx="238">
                <c:v>2933.6095504771802</c:v>
              </c:pt>
              <c:pt idx="239">
                <c:v>23249.360439058401</c:v>
              </c:pt>
              <c:pt idx="240">
                <c:v>17730.474377739301</c:v>
              </c:pt>
              <c:pt idx="241">
                <c:v>2933.6095504771802</c:v>
              </c:pt>
              <c:pt idx="242">
                <c:v>14480.9881439653</c:v>
              </c:pt>
              <c:pt idx="243">
                <c:v>31830.999385651699</c:v>
              </c:pt>
              <c:pt idx="244">
                <c:v>11264.116498831499</c:v>
              </c:pt>
              <c:pt idx="245">
                <c:v>14480.9881439653</c:v>
              </c:pt>
              <c:pt idx="246">
                <c:v>31830.999385651699</c:v>
              </c:pt>
              <c:pt idx="247">
                <c:v>11264.116498831499</c:v>
              </c:pt>
              <c:pt idx="248">
                <c:v>14480.9881439653</c:v>
              </c:pt>
              <c:pt idx="249">
                <c:v>31830.999385651699</c:v>
              </c:pt>
              <c:pt idx="250">
                <c:v>11264.116498831499</c:v>
              </c:pt>
              <c:pt idx="251">
                <c:v>14480.9881439653</c:v>
              </c:pt>
              <c:pt idx="252">
                <c:v>31830.999385651699</c:v>
              </c:pt>
              <c:pt idx="253">
                <c:v>11264.116498831499</c:v>
              </c:pt>
              <c:pt idx="254">
                <c:v>14480.9881439653</c:v>
              </c:pt>
              <c:pt idx="255">
                <c:v>31830.999385651699</c:v>
              </c:pt>
              <c:pt idx="256">
                <c:v>11264.116498831499</c:v>
              </c:pt>
            </c:numLit>
          </c:xVal>
          <c:yVal>
            <c:numLit>
              <c:formatCode>General</c:formatCode>
              <c:ptCount val="257"/>
              <c:pt idx="0">
                <c:v>10625</c:v>
              </c:pt>
              <c:pt idx="1">
                <c:v>10625</c:v>
              </c:pt>
              <c:pt idx="2">
                <c:v>10750</c:v>
              </c:pt>
              <c:pt idx="3">
                <c:v>11375</c:v>
              </c:pt>
              <c:pt idx="4">
                <c:v>11500</c:v>
              </c:pt>
              <c:pt idx="5">
                <c:v>10500</c:v>
              </c:pt>
              <c:pt idx="6">
                <c:v>10500</c:v>
              </c:pt>
              <c:pt idx="7">
                <c:v>11250</c:v>
              </c:pt>
              <c:pt idx="8">
                <c:v>10750</c:v>
              </c:pt>
              <c:pt idx="9">
                <c:v>10750</c:v>
              </c:pt>
              <c:pt idx="10">
                <c:v>7187</c:v>
              </c:pt>
              <c:pt idx="11">
                <c:v>31187</c:v>
              </c:pt>
              <c:pt idx="12">
                <c:v>26812</c:v>
              </c:pt>
              <c:pt idx="13">
                <c:v>7187</c:v>
              </c:pt>
              <c:pt idx="14">
                <c:v>31187</c:v>
              </c:pt>
              <c:pt idx="15">
                <c:v>26687</c:v>
              </c:pt>
              <c:pt idx="16">
                <c:v>7500</c:v>
              </c:pt>
              <c:pt idx="17">
                <c:v>30750</c:v>
              </c:pt>
              <c:pt idx="18">
                <c:v>26687</c:v>
              </c:pt>
              <c:pt idx="19">
                <c:v>7000</c:v>
              </c:pt>
              <c:pt idx="20">
                <c:v>31000</c:v>
              </c:pt>
              <c:pt idx="21">
                <c:v>26500</c:v>
              </c:pt>
              <c:pt idx="22">
                <c:v>7000</c:v>
              </c:pt>
              <c:pt idx="23">
                <c:v>31187</c:v>
              </c:pt>
              <c:pt idx="24">
                <c:v>26500</c:v>
              </c:pt>
              <c:pt idx="25">
                <c:v>25187</c:v>
              </c:pt>
              <c:pt idx="26">
                <c:v>33000</c:v>
              </c:pt>
              <c:pt idx="27">
                <c:v>24750</c:v>
              </c:pt>
              <c:pt idx="28">
                <c:v>33000</c:v>
              </c:pt>
              <c:pt idx="29">
                <c:v>24437</c:v>
              </c:pt>
              <c:pt idx="30">
                <c:v>32812</c:v>
              </c:pt>
              <c:pt idx="31">
                <c:v>24750</c:v>
              </c:pt>
              <c:pt idx="32">
                <c:v>32812</c:v>
              </c:pt>
              <c:pt idx="33">
                <c:v>24750</c:v>
              </c:pt>
              <c:pt idx="34">
                <c:v>33125</c:v>
              </c:pt>
              <c:pt idx="35">
                <c:v>20375</c:v>
              </c:pt>
              <c:pt idx="36">
                <c:v>53812</c:v>
              </c:pt>
              <c:pt idx="37">
                <c:v>29500</c:v>
              </c:pt>
              <c:pt idx="38">
                <c:v>19000</c:v>
              </c:pt>
              <c:pt idx="39">
                <c:v>51562</c:v>
              </c:pt>
              <c:pt idx="40">
                <c:v>37000</c:v>
              </c:pt>
              <c:pt idx="41">
                <c:v>20500</c:v>
              </c:pt>
              <c:pt idx="42">
                <c:v>37000</c:v>
              </c:pt>
              <c:pt idx="43">
                <c:v>19937</c:v>
              </c:pt>
              <c:pt idx="44">
                <c:v>35812</c:v>
              </c:pt>
              <c:pt idx="45">
                <c:v>19750</c:v>
              </c:pt>
              <c:pt idx="46">
                <c:v>51437</c:v>
              </c:pt>
              <c:pt idx="47">
                <c:v>36750</c:v>
              </c:pt>
              <c:pt idx="48">
                <c:v>44500</c:v>
              </c:pt>
              <c:pt idx="49">
                <c:v>26062</c:v>
              </c:pt>
              <c:pt idx="50">
                <c:v>15437</c:v>
              </c:pt>
              <c:pt idx="51">
                <c:v>44812</c:v>
              </c:pt>
              <c:pt idx="52">
                <c:v>26062</c:v>
              </c:pt>
              <c:pt idx="53">
                <c:v>16187</c:v>
              </c:pt>
              <c:pt idx="54">
                <c:v>44500</c:v>
              </c:pt>
              <c:pt idx="55">
                <c:v>26250</c:v>
              </c:pt>
              <c:pt idx="56">
                <c:v>16187</c:v>
              </c:pt>
              <c:pt idx="57">
                <c:v>44687</c:v>
              </c:pt>
              <c:pt idx="58">
                <c:v>26375</c:v>
              </c:pt>
              <c:pt idx="59">
                <c:v>18000</c:v>
              </c:pt>
              <c:pt idx="60">
                <c:v>44687</c:v>
              </c:pt>
              <c:pt idx="61">
                <c:v>26375</c:v>
              </c:pt>
              <c:pt idx="62">
                <c:v>33562</c:v>
              </c:pt>
              <c:pt idx="63">
                <c:v>6250</c:v>
              </c:pt>
              <c:pt idx="64">
                <c:v>36000</c:v>
              </c:pt>
              <c:pt idx="65">
                <c:v>21000</c:v>
              </c:pt>
              <c:pt idx="66">
                <c:v>33562</c:v>
              </c:pt>
              <c:pt idx="67">
                <c:v>5812</c:v>
              </c:pt>
              <c:pt idx="68">
                <c:v>35250</c:v>
              </c:pt>
              <c:pt idx="69">
                <c:v>18000</c:v>
              </c:pt>
              <c:pt idx="70">
                <c:v>33250</c:v>
              </c:pt>
              <c:pt idx="71">
                <c:v>6000</c:v>
              </c:pt>
              <c:pt idx="72">
                <c:v>36125</c:v>
              </c:pt>
              <c:pt idx="73">
                <c:v>15875</c:v>
              </c:pt>
              <c:pt idx="74">
                <c:v>35375</c:v>
              </c:pt>
              <c:pt idx="75">
                <c:v>5375</c:v>
              </c:pt>
              <c:pt idx="76">
                <c:v>36000</c:v>
              </c:pt>
              <c:pt idx="77">
                <c:v>15437</c:v>
              </c:pt>
              <c:pt idx="78">
                <c:v>35250</c:v>
              </c:pt>
              <c:pt idx="79">
                <c:v>5687</c:v>
              </c:pt>
              <c:pt idx="80">
                <c:v>36250</c:v>
              </c:pt>
              <c:pt idx="81">
                <c:v>15000</c:v>
              </c:pt>
              <c:pt idx="82">
                <c:v>9562</c:v>
              </c:pt>
              <c:pt idx="83">
                <c:v>14062</c:v>
              </c:pt>
              <c:pt idx="84">
                <c:v>9000</c:v>
              </c:pt>
              <c:pt idx="85">
                <c:v>43187</c:v>
              </c:pt>
              <c:pt idx="86">
                <c:v>13750</c:v>
              </c:pt>
              <c:pt idx="87">
                <c:v>7625</c:v>
              </c:pt>
              <c:pt idx="88">
                <c:v>43750</c:v>
              </c:pt>
              <c:pt idx="89">
                <c:v>13750</c:v>
              </c:pt>
              <c:pt idx="90">
                <c:v>7500</c:v>
              </c:pt>
              <c:pt idx="91">
                <c:v>13750</c:v>
              </c:pt>
              <c:pt idx="92">
                <c:v>7625</c:v>
              </c:pt>
              <c:pt idx="93">
                <c:v>13750</c:v>
              </c:pt>
              <c:pt idx="94">
                <c:v>16500</c:v>
              </c:pt>
              <c:pt idx="95">
                <c:v>7187</c:v>
              </c:pt>
              <c:pt idx="96">
                <c:v>19187</c:v>
              </c:pt>
              <c:pt idx="97">
                <c:v>7000</c:v>
              </c:pt>
              <c:pt idx="98">
                <c:v>20812</c:v>
              </c:pt>
              <c:pt idx="99">
                <c:v>6875</c:v>
              </c:pt>
              <c:pt idx="100">
                <c:v>22625</c:v>
              </c:pt>
              <c:pt idx="101">
                <c:v>6875</c:v>
              </c:pt>
              <c:pt idx="102">
                <c:v>21437</c:v>
              </c:pt>
              <c:pt idx="103">
                <c:v>8375</c:v>
              </c:pt>
              <c:pt idx="104">
                <c:v>41812</c:v>
              </c:pt>
              <c:pt idx="105">
                <c:v>30250</c:v>
              </c:pt>
              <c:pt idx="106">
                <c:v>16625</c:v>
              </c:pt>
              <c:pt idx="107">
                <c:v>19937</c:v>
              </c:pt>
              <c:pt idx="108">
                <c:v>42562</c:v>
              </c:pt>
              <c:pt idx="109">
                <c:v>30125</c:v>
              </c:pt>
              <c:pt idx="110">
                <c:v>15750</c:v>
              </c:pt>
              <c:pt idx="111">
                <c:v>20062</c:v>
              </c:pt>
              <c:pt idx="112">
                <c:v>40750</c:v>
              </c:pt>
              <c:pt idx="113">
                <c:v>30125</c:v>
              </c:pt>
              <c:pt idx="114">
                <c:v>15562</c:v>
              </c:pt>
              <c:pt idx="115">
                <c:v>19750</c:v>
              </c:pt>
              <c:pt idx="116">
                <c:v>39875</c:v>
              </c:pt>
              <c:pt idx="117">
                <c:v>30125</c:v>
              </c:pt>
              <c:pt idx="118">
                <c:v>14812</c:v>
              </c:pt>
              <c:pt idx="119">
                <c:v>20375</c:v>
              </c:pt>
              <c:pt idx="120">
                <c:v>39562</c:v>
              </c:pt>
              <c:pt idx="121">
                <c:v>31000</c:v>
              </c:pt>
              <c:pt idx="122">
                <c:v>14687</c:v>
              </c:pt>
              <c:pt idx="123">
                <c:v>19500</c:v>
              </c:pt>
              <c:pt idx="124">
                <c:v>35250</c:v>
              </c:pt>
              <c:pt idx="125">
                <c:v>37187</c:v>
              </c:pt>
              <c:pt idx="126">
                <c:v>10937</c:v>
              </c:pt>
              <c:pt idx="127">
                <c:v>24875</c:v>
              </c:pt>
              <c:pt idx="128">
                <c:v>35500</c:v>
              </c:pt>
              <c:pt idx="129">
                <c:v>36562</c:v>
              </c:pt>
              <c:pt idx="130">
                <c:v>10000</c:v>
              </c:pt>
              <c:pt idx="131">
                <c:v>26500</c:v>
              </c:pt>
              <c:pt idx="132">
                <c:v>36562</c:v>
              </c:pt>
              <c:pt idx="133">
                <c:v>10312</c:v>
              </c:pt>
              <c:pt idx="134">
                <c:v>26812</c:v>
              </c:pt>
              <c:pt idx="135">
                <c:v>35812</c:v>
              </c:pt>
              <c:pt idx="136">
                <c:v>9750</c:v>
              </c:pt>
              <c:pt idx="137">
                <c:v>27000</c:v>
              </c:pt>
              <c:pt idx="138">
                <c:v>35500</c:v>
              </c:pt>
              <c:pt idx="139">
                <c:v>9750</c:v>
              </c:pt>
              <c:pt idx="140">
                <c:v>26375</c:v>
              </c:pt>
              <c:pt idx="141">
                <c:v>24125</c:v>
              </c:pt>
              <c:pt idx="142">
                <c:v>36562</c:v>
              </c:pt>
              <c:pt idx="143">
                <c:v>5687</c:v>
              </c:pt>
              <c:pt idx="144">
                <c:v>50812</c:v>
              </c:pt>
              <c:pt idx="145">
                <c:v>25750</c:v>
              </c:pt>
              <c:pt idx="146">
                <c:v>24000</c:v>
              </c:pt>
              <c:pt idx="147">
                <c:v>36750</c:v>
              </c:pt>
              <c:pt idx="148">
                <c:v>5062</c:v>
              </c:pt>
              <c:pt idx="149">
                <c:v>51000</c:v>
              </c:pt>
              <c:pt idx="150">
                <c:v>25187</c:v>
              </c:pt>
              <c:pt idx="151">
                <c:v>24437</c:v>
              </c:pt>
              <c:pt idx="152">
                <c:v>5687</c:v>
              </c:pt>
              <c:pt idx="153">
                <c:v>51875</c:v>
              </c:pt>
              <c:pt idx="154">
                <c:v>25500</c:v>
              </c:pt>
              <c:pt idx="155">
                <c:v>25187</c:v>
              </c:pt>
              <c:pt idx="156">
                <c:v>36750</c:v>
              </c:pt>
              <c:pt idx="157">
                <c:v>5250</c:v>
              </c:pt>
              <c:pt idx="158">
                <c:v>53250</c:v>
              </c:pt>
              <c:pt idx="159">
                <c:v>25312</c:v>
              </c:pt>
              <c:pt idx="160">
                <c:v>25750</c:v>
              </c:pt>
              <c:pt idx="161">
                <c:v>36437</c:v>
              </c:pt>
              <c:pt idx="162">
                <c:v>5812</c:v>
              </c:pt>
              <c:pt idx="163">
                <c:v>51437</c:v>
              </c:pt>
              <c:pt idx="164">
                <c:v>25500</c:v>
              </c:pt>
              <c:pt idx="165">
                <c:v>21750</c:v>
              </c:pt>
              <c:pt idx="166">
                <c:v>37625</c:v>
              </c:pt>
              <c:pt idx="167">
                <c:v>11500</c:v>
              </c:pt>
              <c:pt idx="168">
                <c:v>25500</c:v>
              </c:pt>
              <c:pt idx="169">
                <c:v>22750</c:v>
              </c:pt>
              <c:pt idx="170">
                <c:v>11687</c:v>
              </c:pt>
              <c:pt idx="171">
                <c:v>24437</c:v>
              </c:pt>
              <c:pt idx="172">
                <c:v>21750</c:v>
              </c:pt>
              <c:pt idx="173">
                <c:v>36750</c:v>
              </c:pt>
              <c:pt idx="174">
                <c:v>12000</c:v>
              </c:pt>
              <c:pt idx="175">
                <c:v>26500</c:v>
              </c:pt>
              <c:pt idx="176">
                <c:v>21250</c:v>
              </c:pt>
              <c:pt idx="177">
                <c:v>36000</c:v>
              </c:pt>
              <c:pt idx="178">
                <c:v>12125</c:v>
              </c:pt>
              <c:pt idx="179">
                <c:v>26500</c:v>
              </c:pt>
              <c:pt idx="180">
                <c:v>21437</c:v>
              </c:pt>
              <c:pt idx="181">
                <c:v>11812</c:v>
              </c:pt>
              <c:pt idx="182">
                <c:v>25312</c:v>
              </c:pt>
              <c:pt idx="183">
                <c:v>8250</c:v>
              </c:pt>
              <c:pt idx="184">
                <c:v>28750</c:v>
              </c:pt>
              <c:pt idx="185">
                <c:v>8250</c:v>
              </c:pt>
              <c:pt idx="186">
                <c:v>28937</c:v>
              </c:pt>
              <c:pt idx="187">
                <c:v>9125</c:v>
              </c:pt>
              <c:pt idx="188">
                <c:v>29250</c:v>
              </c:pt>
              <c:pt idx="189">
                <c:v>8687</c:v>
              </c:pt>
              <c:pt idx="190">
                <c:v>28937</c:v>
              </c:pt>
              <c:pt idx="191">
                <c:v>9000</c:v>
              </c:pt>
              <c:pt idx="192">
                <c:v>28937</c:v>
              </c:pt>
              <c:pt idx="193">
                <c:v>40750</c:v>
              </c:pt>
              <c:pt idx="194">
                <c:v>18000</c:v>
              </c:pt>
              <c:pt idx="195">
                <c:v>17375</c:v>
              </c:pt>
              <c:pt idx="196">
                <c:v>41687</c:v>
              </c:pt>
              <c:pt idx="197">
                <c:v>19750</c:v>
              </c:pt>
              <c:pt idx="198">
                <c:v>17375</c:v>
              </c:pt>
              <c:pt idx="199">
                <c:v>40937</c:v>
              </c:pt>
              <c:pt idx="200">
                <c:v>19750</c:v>
              </c:pt>
              <c:pt idx="201">
                <c:v>17250</c:v>
              </c:pt>
              <c:pt idx="202">
                <c:v>41062</c:v>
              </c:pt>
              <c:pt idx="203">
                <c:v>18562</c:v>
              </c:pt>
              <c:pt idx="204">
                <c:v>18250</c:v>
              </c:pt>
              <c:pt idx="205">
                <c:v>19625</c:v>
              </c:pt>
              <c:pt idx="206">
                <c:v>17500</c:v>
              </c:pt>
              <c:pt idx="207">
                <c:v>19937</c:v>
              </c:pt>
              <c:pt idx="208">
                <c:v>10500</c:v>
              </c:pt>
              <c:pt idx="209">
                <c:v>20250</c:v>
              </c:pt>
              <c:pt idx="210">
                <c:v>10937</c:v>
              </c:pt>
              <c:pt idx="211">
                <c:v>19625</c:v>
              </c:pt>
              <c:pt idx="212">
                <c:v>10937</c:v>
              </c:pt>
              <c:pt idx="213">
                <c:v>20500</c:v>
              </c:pt>
              <c:pt idx="214">
                <c:v>11250</c:v>
              </c:pt>
              <c:pt idx="215">
                <c:v>20812</c:v>
              </c:pt>
              <c:pt idx="216">
                <c:v>10500</c:v>
              </c:pt>
              <c:pt idx="217">
                <c:v>25937</c:v>
              </c:pt>
              <c:pt idx="218">
                <c:v>8062</c:v>
              </c:pt>
              <c:pt idx="219">
                <c:v>26375</c:v>
              </c:pt>
              <c:pt idx="220">
                <c:v>7500</c:v>
              </c:pt>
              <c:pt idx="221">
                <c:v>25312</c:v>
              </c:pt>
              <c:pt idx="222">
                <c:v>7312</c:v>
              </c:pt>
              <c:pt idx="223">
                <c:v>28500</c:v>
              </c:pt>
              <c:pt idx="224">
                <c:v>7500</c:v>
              </c:pt>
              <c:pt idx="225">
                <c:v>28625</c:v>
              </c:pt>
              <c:pt idx="226">
                <c:v>7312</c:v>
              </c:pt>
              <c:pt idx="227">
                <c:v>23062</c:v>
              </c:pt>
              <c:pt idx="228">
                <c:v>21250</c:v>
              </c:pt>
              <c:pt idx="229">
                <c:v>3000</c:v>
              </c:pt>
              <c:pt idx="230">
                <c:v>24250</c:v>
              </c:pt>
              <c:pt idx="231">
                <c:v>19187</c:v>
              </c:pt>
              <c:pt idx="232">
                <c:v>2062</c:v>
              </c:pt>
              <c:pt idx="233">
                <c:v>24000</c:v>
              </c:pt>
              <c:pt idx="234">
                <c:v>18875</c:v>
              </c:pt>
              <c:pt idx="235">
                <c:v>2812</c:v>
              </c:pt>
              <c:pt idx="236">
                <c:v>23062</c:v>
              </c:pt>
              <c:pt idx="237">
                <c:v>18750</c:v>
              </c:pt>
              <c:pt idx="238">
                <c:v>3125</c:v>
              </c:pt>
              <c:pt idx="239">
                <c:v>22937</c:v>
              </c:pt>
              <c:pt idx="240">
                <c:v>18000</c:v>
              </c:pt>
              <c:pt idx="241">
                <c:v>3250</c:v>
              </c:pt>
              <c:pt idx="242">
                <c:v>27437</c:v>
              </c:pt>
              <c:pt idx="243">
                <c:v>37937</c:v>
              </c:pt>
              <c:pt idx="244">
                <c:v>18750</c:v>
              </c:pt>
              <c:pt idx="245">
                <c:v>26687</c:v>
              </c:pt>
              <c:pt idx="246">
                <c:v>37625</c:v>
              </c:pt>
              <c:pt idx="247">
                <c:v>18875</c:v>
              </c:pt>
              <c:pt idx="248">
                <c:v>25500</c:v>
              </c:pt>
              <c:pt idx="249">
                <c:v>40312</c:v>
              </c:pt>
              <c:pt idx="250">
                <c:v>18750</c:v>
              </c:pt>
              <c:pt idx="251">
                <c:v>26062</c:v>
              </c:pt>
              <c:pt idx="252">
                <c:v>43187</c:v>
              </c:pt>
              <c:pt idx="253">
                <c:v>19312</c:v>
              </c:pt>
              <c:pt idx="254">
                <c:v>26375</c:v>
              </c:pt>
              <c:pt idx="255">
                <c:v>41812</c:v>
              </c:pt>
              <c:pt idx="256">
                <c:v>19312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54B-45F6-A9B8-76D6BD42E23F}"/>
            </c:ext>
          </c:extLst>
        </c:ser>
        <c:ser>
          <c:idx val="1"/>
          <c:order val="1"/>
          <c:tx>
            <c:v>x=y line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254B-45F6-A9B8-76D6BD42E23F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54B-45F6-A9B8-76D6BD42E23F}"/>
              </c:ext>
            </c:extLst>
          </c:dPt>
          <c:trendline>
            <c:spPr>
              <a:ln w="9525" cap="rnd">
                <a:noFill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noFill/>
                <a:round/>
              </a:ln>
              <a:effectLst/>
            </c:spPr>
          </c:errBars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54B-45F6-A9B8-76D6BD42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05256"/>
        <c:axId val="769403336"/>
      </c:scatterChart>
      <c:valAx>
        <c:axId val="769405256"/>
        <c:scaling>
          <c:orientation val="minMax"/>
          <c:max val="6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03336"/>
        <c:crosses val="autoZero"/>
        <c:crossBetween val="midCat"/>
      </c:valAx>
      <c:valAx>
        <c:axId val="769403336"/>
        <c:scaling>
          <c:orientation val="minMax"/>
          <c:max val="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0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Estimate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Distance Actual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Export'!$M$2:$M$356</c:f>
                <c:numCache>
                  <c:formatCode>General</c:formatCode>
                  <c:ptCount val="355"/>
                  <c:pt idx="0">
                    <c:v>630</c:v>
                  </c:pt>
                  <c:pt idx="1">
                    <c:v>0</c:v>
                  </c:pt>
                  <c:pt idx="2">
                    <c:v>810</c:v>
                  </c:pt>
                  <c:pt idx="3">
                    <c:v>0</c:v>
                  </c:pt>
                  <c:pt idx="4">
                    <c:v>705</c:v>
                  </c:pt>
                  <c:pt idx="5">
                    <c:v>0</c:v>
                  </c:pt>
                  <c:pt idx="6">
                    <c:v>900</c:v>
                  </c:pt>
                  <c:pt idx="7">
                    <c:v>0</c:v>
                  </c:pt>
                  <c:pt idx="8">
                    <c:v>825</c:v>
                  </c:pt>
                  <c:pt idx="9">
                    <c:v>0</c:v>
                  </c:pt>
                  <c:pt idx="10">
                    <c:v>735</c:v>
                  </c:pt>
                  <c:pt idx="11">
                    <c:v>0</c:v>
                  </c:pt>
                  <c:pt idx="12">
                    <c:v>855</c:v>
                  </c:pt>
                  <c:pt idx="13">
                    <c:v>0</c:v>
                  </c:pt>
                  <c:pt idx="14">
                    <c:v>765</c:v>
                  </c:pt>
                  <c:pt idx="15">
                    <c:v>0</c:v>
                  </c:pt>
                  <c:pt idx="16">
                    <c:v>660</c:v>
                  </c:pt>
                  <c:pt idx="17">
                    <c:v>0</c:v>
                  </c:pt>
                  <c:pt idx="18">
                    <c:v>525</c:v>
                  </c:pt>
                  <c:pt idx="19">
                    <c:v>0</c:v>
                  </c:pt>
                  <c:pt idx="20">
                    <c:v>540</c:v>
                  </c:pt>
                  <c:pt idx="21">
                    <c:v>0</c:v>
                  </c:pt>
                  <c:pt idx="22">
                    <c:v>570</c:v>
                  </c:pt>
                  <c:pt idx="23">
                    <c:v>1185</c:v>
                  </c:pt>
                  <c:pt idx="24">
                    <c:v>0</c:v>
                  </c:pt>
                  <c:pt idx="25">
                    <c:v>615</c:v>
                  </c:pt>
                  <c:pt idx="26">
                    <c:v>0</c:v>
                  </c:pt>
                  <c:pt idx="27">
                    <c:v>585</c:v>
                  </c:pt>
                  <c:pt idx="28">
                    <c:v>1365</c:v>
                  </c:pt>
                  <c:pt idx="29">
                    <c:v>0</c:v>
                  </c:pt>
                  <c:pt idx="30">
                    <c:v>510</c:v>
                  </c:pt>
                  <c:pt idx="31">
                    <c:v>0</c:v>
                  </c:pt>
                  <c:pt idx="32">
                    <c:v>510</c:v>
                  </c:pt>
                  <c:pt idx="33">
                    <c:v>735</c:v>
                  </c:pt>
                  <c:pt idx="34">
                    <c:v>0</c:v>
                  </c:pt>
                  <c:pt idx="35">
                    <c:v>720</c:v>
                  </c:pt>
                  <c:pt idx="36">
                    <c:v>0</c:v>
                  </c:pt>
                  <c:pt idx="37">
                    <c:v>690</c:v>
                  </c:pt>
                  <c:pt idx="38">
                    <c:v>570</c:v>
                  </c:pt>
                  <c:pt idx="39">
                    <c:v>0</c:v>
                  </c:pt>
                  <c:pt idx="40">
                    <c:v>600</c:v>
                  </c:pt>
                  <c:pt idx="41">
                    <c:v>0</c:v>
                  </c:pt>
                  <c:pt idx="42">
                    <c:v>570</c:v>
                  </c:pt>
                  <c:pt idx="43">
                    <c:v>630</c:v>
                  </c:pt>
                  <c:pt idx="44">
                    <c:v>0</c:v>
                  </c:pt>
                  <c:pt idx="45">
                    <c:v>0</c:v>
                  </c:pt>
                  <c:pt idx="46">
                    <c:v>645</c:v>
                  </c:pt>
                  <c:pt idx="47">
                    <c:v>0</c:v>
                  </c:pt>
                  <c:pt idx="48">
                    <c:v>750</c:v>
                  </c:pt>
                  <c:pt idx="49">
                    <c:v>0</c:v>
                  </c:pt>
                  <c:pt idx="50">
                    <c:v>525</c:v>
                  </c:pt>
                  <c:pt idx="51">
                    <c:v>0</c:v>
                  </c:pt>
                  <c:pt idx="52">
                    <c:v>1095</c:v>
                  </c:pt>
                  <c:pt idx="53">
                    <c:v>0</c:v>
                  </c:pt>
                  <c:pt idx="54">
                    <c:v>540</c:v>
                  </c:pt>
                  <c:pt idx="55">
                    <c:v>0</c:v>
                  </c:pt>
                  <c:pt idx="56">
                    <c:v>1020</c:v>
                  </c:pt>
                  <c:pt idx="57">
                    <c:v>0</c:v>
                  </c:pt>
                  <c:pt idx="58">
                    <c:v>660</c:v>
                  </c:pt>
                  <c:pt idx="59">
                    <c:v>0</c:v>
                  </c:pt>
                  <c:pt idx="60">
                    <c:v>885</c:v>
                  </c:pt>
                  <c:pt idx="61">
                    <c:v>0</c:v>
                  </c:pt>
                  <c:pt idx="62">
                    <c:v>675</c:v>
                  </c:pt>
                  <c:pt idx="63">
                    <c:v>0</c:v>
                  </c:pt>
                  <c:pt idx="64">
                    <c:v>735</c:v>
                  </c:pt>
                  <c:pt idx="65">
                    <c:v>0</c:v>
                  </c:pt>
                  <c:pt idx="66">
                    <c:v>615</c:v>
                  </c:pt>
                  <c:pt idx="67">
                    <c:v>0</c:v>
                  </c:pt>
                  <c:pt idx="68">
                    <c:v>675</c:v>
                  </c:pt>
                  <c:pt idx="69">
                    <c:v>0</c:v>
                  </c:pt>
                  <c:pt idx="70">
                    <c:v>750</c:v>
                  </c:pt>
                  <c:pt idx="71">
                    <c:v>1050</c:v>
                  </c:pt>
                  <c:pt idx="72">
                    <c:v>630</c:v>
                  </c:pt>
                  <c:pt idx="73">
                    <c:v>0</c:v>
                  </c:pt>
                  <c:pt idx="74">
                    <c:v>705</c:v>
                  </c:pt>
                  <c:pt idx="75">
                    <c:v>0</c:v>
                  </c:pt>
                  <c:pt idx="76">
                    <c:v>915</c:v>
                  </c:pt>
                  <c:pt idx="77">
                    <c:v>0</c:v>
                  </c:pt>
                  <c:pt idx="78">
                    <c:v>705</c:v>
                  </c:pt>
                  <c:pt idx="79">
                    <c:v>0</c:v>
                  </c:pt>
                  <c:pt idx="80">
                    <c:v>1635</c:v>
                  </c:pt>
                  <c:pt idx="81">
                    <c:v>0</c:v>
                  </c:pt>
                  <c:pt idx="82">
                    <c:v>735</c:v>
                  </c:pt>
                  <c:pt idx="83">
                    <c:v>0</c:v>
                  </c:pt>
                  <c:pt idx="84">
                    <c:v>615</c:v>
                  </c:pt>
                  <c:pt idx="85">
                    <c:v>0</c:v>
                  </c:pt>
                  <c:pt idx="86">
                    <c:v>0</c:v>
                  </c:pt>
                  <c:pt idx="87">
                    <c:v>540</c:v>
                  </c:pt>
                  <c:pt idx="88">
                    <c:v>645</c:v>
                  </c:pt>
                  <c:pt idx="89">
                    <c:v>0</c:v>
                  </c:pt>
                  <c:pt idx="90">
                    <c:v>645</c:v>
                  </c:pt>
                  <c:pt idx="91">
                    <c:v>840</c:v>
                  </c:pt>
                  <c:pt idx="92">
                    <c:v>615</c:v>
                  </c:pt>
                  <c:pt idx="93">
                    <c:v>0</c:v>
                  </c:pt>
                  <c:pt idx="94">
                    <c:v>645</c:v>
                  </c:pt>
                  <c:pt idx="95">
                    <c:v>600</c:v>
                  </c:pt>
                  <c:pt idx="96">
                    <c:v>600</c:v>
                  </c:pt>
                  <c:pt idx="97">
                    <c:v>0</c:v>
                  </c:pt>
                  <c:pt idx="98">
                    <c:v>645</c:v>
                  </c:pt>
                  <c:pt idx="99">
                    <c:v>585</c:v>
                  </c:pt>
                  <c:pt idx="100">
                    <c:v>585</c:v>
                  </c:pt>
                  <c:pt idx="101">
                    <c:v>0</c:v>
                  </c:pt>
                  <c:pt idx="102">
                    <c:v>705</c:v>
                  </c:pt>
                  <c:pt idx="103">
                    <c:v>630</c:v>
                  </c:pt>
                  <c:pt idx="104">
                    <c:v>615</c:v>
                  </c:pt>
                  <c:pt idx="105">
                    <c:v>585</c:v>
                  </c:pt>
                  <c:pt idx="106">
                    <c:v>690</c:v>
                  </c:pt>
                  <c:pt idx="107">
                    <c:v>525</c:v>
                  </c:pt>
                  <c:pt idx="108">
                    <c:v>630</c:v>
                  </c:pt>
                  <c:pt idx="109">
                    <c:v>555</c:v>
                  </c:pt>
                  <c:pt idx="110">
                    <c:v>570</c:v>
                  </c:pt>
                  <c:pt idx="111">
                    <c:v>540</c:v>
                  </c:pt>
                  <c:pt idx="112">
                    <c:v>1695</c:v>
                  </c:pt>
                  <c:pt idx="113">
                    <c:v>585</c:v>
                  </c:pt>
                  <c:pt idx="114">
                    <c:v>720</c:v>
                  </c:pt>
                  <c:pt idx="115">
                    <c:v>510</c:v>
                  </c:pt>
                  <c:pt idx="116">
                    <c:v>660</c:v>
                  </c:pt>
                  <c:pt idx="117">
                    <c:v>630</c:v>
                  </c:pt>
                  <c:pt idx="118">
                    <c:v>525</c:v>
                  </c:pt>
                  <c:pt idx="119">
                    <c:v>690</c:v>
                  </c:pt>
                  <c:pt idx="120">
                    <c:v>915</c:v>
                  </c:pt>
                  <c:pt idx="121">
                    <c:v>615</c:v>
                  </c:pt>
                  <c:pt idx="122">
                    <c:v>690</c:v>
                  </c:pt>
                  <c:pt idx="123">
                    <c:v>690</c:v>
                  </c:pt>
                  <c:pt idx="124">
                    <c:v>465</c:v>
                  </c:pt>
                  <c:pt idx="125">
                    <c:v>0</c:v>
                  </c:pt>
                  <c:pt idx="126">
                    <c:v>720</c:v>
                  </c:pt>
                  <c:pt idx="127">
                    <c:v>0</c:v>
                  </c:pt>
                  <c:pt idx="128">
                    <c:v>750</c:v>
                  </c:pt>
                  <c:pt idx="129">
                    <c:v>0</c:v>
                  </c:pt>
                  <c:pt idx="130">
                    <c:v>600</c:v>
                  </c:pt>
                  <c:pt idx="131">
                    <c:v>0</c:v>
                  </c:pt>
                  <c:pt idx="132">
                    <c:v>690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0</c:v>
                  </c:pt>
                  <c:pt idx="136">
                    <c:v>630</c:v>
                  </c:pt>
                  <c:pt idx="137">
                    <c:v>0</c:v>
                  </c:pt>
                  <c:pt idx="138">
                    <c:v>600</c:v>
                  </c:pt>
                  <c:pt idx="139">
                    <c:v>0</c:v>
                  </c:pt>
                  <c:pt idx="140">
                    <c:v>420</c:v>
                  </c:pt>
                  <c:pt idx="141">
                    <c:v>0</c:v>
                  </c:pt>
                  <c:pt idx="142">
                    <c:v>585</c:v>
                  </c:pt>
                  <c:pt idx="143">
                    <c:v>0</c:v>
                  </c:pt>
                  <c:pt idx="144">
                    <c:v>600</c:v>
                  </c:pt>
                  <c:pt idx="145">
                    <c:v>615</c:v>
                  </c:pt>
                  <c:pt idx="146">
                    <c:v>0</c:v>
                  </c:pt>
                  <c:pt idx="147">
                    <c:v>540</c:v>
                  </c:pt>
                  <c:pt idx="148">
                    <c:v>1995</c:v>
                  </c:pt>
                  <c:pt idx="149">
                    <c:v>0</c:v>
                  </c:pt>
                  <c:pt idx="150">
                    <c:v>585</c:v>
                  </c:pt>
                  <c:pt idx="151">
                    <c:v>1305</c:v>
                  </c:pt>
                  <c:pt idx="152">
                    <c:v>0</c:v>
                  </c:pt>
                  <c:pt idx="153">
                    <c:v>615</c:v>
                  </c:pt>
                  <c:pt idx="154">
                    <c:v>705</c:v>
                  </c:pt>
                  <c:pt idx="155">
                    <c:v>0</c:v>
                  </c:pt>
                  <c:pt idx="156">
                    <c:v>615</c:v>
                  </c:pt>
                  <c:pt idx="157">
                    <c:v>570</c:v>
                  </c:pt>
                  <c:pt idx="158">
                    <c:v>0</c:v>
                  </c:pt>
                  <c:pt idx="159">
                    <c:v>660</c:v>
                  </c:pt>
                  <c:pt idx="160">
                    <c:v>1710</c:v>
                  </c:pt>
                  <c:pt idx="161">
                    <c:v>660</c:v>
                  </c:pt>
                  <c:pt idx="162">
                    <c:v>690</c:v>
                  </c:pt>
                  <c:pt idx="163">
                    <c:v>0</c:v>
                  </c:pt>
                  <c:pt idx="164">
                    <c:v>615</c:v>
                  </c:pt>
                  <c:pt idx="165">
                    <c:v>1560</c:v>
                  </c:pt>
                  <c:pt idx="166">
                    <c:v>660</c:v>
                  </c:pt>
                  <c:pt idx="167">
                    <c:v>570</c:v>
                  </c:pt>
                  <c:pt idx="168">
                    <c:v>0</c:v>
                  </c:pt>
                  <c:pt idx="169">
                    <c:v>795</c:v>
                  </c:pt>
                  <c:pt idx="170">
                    <c:v>645</c:v>
                  </c:pt>
                  <c:pt idx="171">
                    <c:v>645</c:v>
                  </c:pt>
                  <c:pt idx="172">
                    <c:v>600</c:v>
                  </c:pt>
                  <c:pt idx="173">
                    <c:v>0</c:v>
                  </c:pt>
                  <c:pt idx="174">
                    <c:v>660</c:v>
                  </c:pt>
                  <c:pt idx="175">
                    <c:v>585</c:v>
                  </c:pt>
                  <c:pt idx="176">
                    <c:v>630</c:v>
                  </c:pt>
                  <c:pt idx="177">
                    <c:v>690</c:v>
                  </c:pt>
                  <c:pt idx="178">
                    <c:v>0</c:v>
                  </c:pt>
                  <c:pt idx="179">
                    <c:v>900</c:v>
                  </c:pt>
                  <c:pt idx="180">
                    <c:v>720</c:v>
                  </c:pt>
                  <c:pt idx="181">
                    <c:v>585</c:v>
                  </c:pt>
                  <c:pt idx="182">
                    <c:v>690</c:v>
                  </c:pt>
                  <c:pt idx="183">
                    <c:v>0</c:v>
                  </c:pt>
                  <c:pt idx="184">
                    <c:v>840</c:v>
                  </c:pt>
                  <c:pt idx="185">
                    <c:v>825</c:v>
                  </c:pt>
                  <c:pt idx="186">
                    <c:v>0</c:v>
                  </c:pt>
                  <c:pt idx="187">
                    <c:v>735</c:v>
                  </c:pt>
                  <c:pt idx="188">
                    <c:v>1155</c:v>
                  </c:pt>
                  <c:pt idx="189">
                    <c:v>660</c:v>
                  </c:pt>
                  <c:pt idx="190">
                    <c:v>780</c:v>
                  </c:pt>
                  <c:pt idx="191">
                    <c:v>705</c:v>
                  </c:pt>
                  <c:pt idx="192">
                    <c:v>810</c:v>
                  </c:pt>
                  <c:pt idx="193">
                    <c:v>810</c:v>
                  </c:pt>
                  <c:pt idx="194">
                    <c:v>0</c:v>
                  </c:pt>
                  <c:pt idx="195">
                    <c:v>735</c:v>
                  </c:pt>
                  <c:pt idx="196">
                    <c:v>480</c:v>
                  </c:pt>
                  <c:pt idx="197">
                    <c:v>585</c:v>
                  </c:pt>
                  <c:pt idx="198">
                    <c:v>0</c:v>
                  </c:pt>
                  <c:pt idx="199">
                    <c:v>645</c:v>
                  </c:pt>
                  <c:pt idx="200">
                    <c:v>645</c:v>
                  </c:pt>
                  <c:pt idx="201">
                    <c:v>795</c:v>
                  </c:pt>
                  <c:pt idx="202">
                    <c:v>0</c:v>
                  </c:pt>
                  <c:pt idx="203">
                    <c:v>705</c:v>
                  </c:pt>
                  <c:pt idx="204">
                    <c:v>945</c:v>
                  </c:pt>
                  <c:pt idx="205">
                    <c:v>750</c:v>
                  </c:pt>
                  <c:pt idx="206">
                    <c:v>495</c:v>
                  </c:pt>
                  <c:pt idx="207">
                    <c:v>570</c:v>
                  </c:pt>
                  <c:pt idx="208">
                    <c:v>105</c:v>
                  </c:pt>
                  <c:pt idx="209">
                    <c:v>690</c:v>
                  </c:pt>
                  <c:pt idx="210">
                    <c:v>645</c:v>
                  </c:pt>
                  <c:pt idx="211">
                    <c:v>315</c:v>
                  </c:pt>
                  <c:pt idx="212">
                    <c:v>555</c:v>
                  </c:pt>
                  <c:pt idx="213">
                    <c:v>525</c:v>
                  </c:pt>
                  <c:pt idx="214">
                    <c:v>675</c:v>
                  </c:pt>
                  <c:pt idx="215">
                    <c:v>705</c:v>
                  </c:pt>
                  <c:pt idx="216">
                    <c:v>0</c:v>
                  </c:pt>
                  <c:pt idx="217">
                    <c:v>630</c:v>
                  </c:pt>
                  <c:pt idx="218">
                    <c:v>240</c:v>
                  </c:pt>
                  <c:pt idx="219">
                    <c:v>555</c:v>
                  </c:pt>
                  <c:pt idx="220">
                    <c:v>930</c:v>
                  </c:pt>
                  <c:pt idx="221">
                    <c:v>795</c:v>
                  </c:pt>
                  <c:pt idx="222">
                    <c:v>645</c:v>
                  </c:pt>
                  <c:pt idx="223">
                    <c:v>1245</c:v>
                  </c:pt>
                  <c:pt idx="224">
                    <c:v>705</c:v>
                  </c:pt>
                  <c:pt idx="225">
                    <c:v>720</c:v>
                  </c:pt>
                  <c:pt idx="226">
                    <c:v>765</c:v>
                  </c:pt>
                  <c:pt idx="227">
                    <c:v>585</c:v>
                  </c:pt>
                  <c:pt idx="228">
                    <c:v>690</c:v>
                  </c:pt>
                  <c:pt idx="229">
                    <c:v>645</c:v>
                  </c:pt>
                  <c:pt idx="230">
                    <c:v>705</c:v>
                  </c:pt>
                  <c:pt idx="231">
                    <c:v>0</c:v>
                  </c:pt>
                  <c:pt idx="232">
                    <c:v>465</c:v>
                  </c:pt>
                  <c:pt idx="233">
                    <c:v>930</c:v>
                  </c:pt>
                  <c:pt idx="234">
                    <c:v>735</c:v>
                  </c:pt>
                  <c:pt idx="235">
                    <c:v>0</c:v>
                  </c:pt>
                  <c:pt idx="236">
                    <c:v>465</c:v>
                  </c:pt>
                  <c:pt idx="237">
                    <c:v>1185</c:v>
                  </c:pt>
                  <c:pt idx="238">
                    <c:v>765</c:v>
                  </c:pt>
                  <c:pt idx="239">
                    <c:v>780</c:v>
                  </c:pt>
                  <c:pt idx="240">
                    <c:v>720</c:v>
                  </c:pt>
                  <c:pt idx="241">
                    <c:v>540</c:v>
                  </c:pt>
                  <c:pt idx="242">
                    <c:v>720</c:v>
                  </c:pt>
                  <c:pt idx="243">
                    <c:v>0</c:v>
                  </c:pt>
                  <c:pt idx="244">
                    <c:v>465</c:v>
                  </c:pt>
                  <c:pt idx="245">
                    <c:v>855</c:v>
                  </c:pt>
                  <c:pt idx="246">
                    <c:v>585</c:v>
                  </c:pt>
                  <c:pt idx="247">
                    <c:v>0</c:v>
                  </c:pt>
                  <c:pt idx="248">
                    <c:v>705</c:v>
                  </c:pt>
                  <c:pt idx="249">
                    <c:v>1245</c:v>
                  </c:pt>
                  <c:pt idx="250">
                    <c:v>750</c:v>
                  </c:pt>
                  <c:pt idx="251">
                    <c:v>720</c:v>
                  </c:pt>
                  <c:pt idx="252">
                    <c:v>0</c:v>
                  </c:pt>
                  <c:pt idx="253">
                    <c:v>675</c:v>
                  </c:pt>
                  <c:pt idx="254">
                    <c:v>645</c:v>
                  </c:pt>
                  <c:pt idx="255">
                    <c:v>0</c:v>
                  </c:pt>
                  <c:pt idx="256">
                    <c:v>630</c:v>
                  </c:pt>
                  <c:pt idx="257">
                    <c:v>780</c:v>
                  </c:pt>
                  <c:pt idx="258">
                    <c:v>0</c:v>
                  </c:pt>
                  <c:pt idx="259">
                    <c:v>750</c:v>
                  </c:pt>
                  <c:pt idx="260">
                    <c:v>660</c:v>
                  </c:pt>
                  <c:pt idx="261">
                    <c:v>0</c:v>
                  </c:pt>
                  <c:pt idx="262">
                    <c:v>615</c:v>
                  </c:pt>
                  <c:pt idx="263">
                    <c:v>615</c:v>
                  </c:pt>
                  <c:pt idx="264">
                    <c:v>0</c:v>
                  </c:pt>
                  <c:pt idx="265">
                    <c:v>825</c:v>
                  </c:pt>
                  <c:pt idx="266">
                    <c:v>690</c:v>
                  </c:pt>
                  <c:pt idx="267">
                    <c:v>630</c:v>
                  </c:pt>
                  <c:pt idx="268">
                    <c:v>0</c:v>
                  </c:pt>
                  <c:pt idx="269">
                    <c:v>750</c:v>
                  </c:pt>
                  <c:pt idx="270">
                    <c:v>600</c:v>
                  </c:pt>
                  <c:pt idx="271">
                    <c:v>870</c:v>
                  </c:pt>
                  <c:pt idx="272">
                    <c:v>0</c:v>
                  </c:pt>
                  <c:pt idx="273">
                    <c:v>675</c:v>
                  </c:pt>
                  <c:pt idx="274">
                    <c:v>705</c:v>
                  </c:pt>
                  <c:pt idx="275">
                    <c:v>720</c:v>
                  </c:pt>
                  <c:pt idx="276">
                    <c:v>0</c:v>
                  </c:pt>
                  <c:pt idx="277">
                    <c:v>795</c:v>
                  </c:pt>
                  <c:pt idx="278">
                    <c:v>615</c:v>
                  </c:pt>
                  <c:pt idx="279">
                    <c:v>660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660</c:v>
                  </c:pt>
                  <c:pt idx="283">
                    <c:v>600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990</c:v>
                  </c:pt>
                  <c:pt idx="287">
                    <c:v>645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825</c:v>
                  </c:pt>
                  <c:pt idx="291">
                    <c:v>630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765</c:v>
                  </c:pt>
                  <c:pt idx="295">
                    <c:v>750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840</c:v>
                  </c:pt>
                  <c:pt idx="299">
                    <c:v>870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1230</c:v>
                  </c:pt>
                  <c:pt idx="303">
                    <c:v>780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540</c:v>
                  </c:pt>
                  <c:pt idx="307">
                    <c:v>645</c:v>
                  </c:pt>
                  <c:pt idx="308">
                    <c:v>0</c:v>
                  </c:pt>
                  <c:pt idx="309">
                    <c:v>945</c:v>
                  </c:pt>
                  <c:pt idx="310">
                    <c:v>810</c:v>
                  </c:pt>
                  <c:pt idx="311">
                    <c:v>0</c:v>
                  </c:pt>
                  <c:pt idx="312">
                    <c:v>825</c:v>
                  </c:pt>
                  <c:pt idx="313">
                    <c:v>690</c:v>
                  </c:pt>
                  <c:pt idx="314">
                    <c:v>0</c:v>
                  </c:pt>
                  <c:pt idx="315">
                    <c:v>885</c:v>
                  </c:pt>
                  <c:pt idx="316">
                    <c:v>600</c:v>
                  </c:pt>
                  <c:pt idx="317">
                    <c:v>0</c:v>
                  </c:pt>
                  <c:pt idx="318">
                    <c:v>870</c:v>
                  </c:pt>
                  <c:pt idx="319">
                    <c:v>615</c:v>
                  </c:pt>
                  <c:pt idx="320">
                    <c:v>825</c:v>
                  </c:pt>
                  <c:pt idx="321">
                    <c:v>2250</c:v>
                  </c:pt>
                  <c:pt idx="322">
                    <c:v>555</c:v>
                  </c:pt>
                  <c:pt idx="323">
                    <c:v>0</c:v>
                  </c:pt>
                  <c:pt idx="324">
                    <c:v>690</c:v>
                  </c:pt>
                  <c:pt idx="325">
                    <c:v>570</c:v>
                  </c:pt>
                  <c:pt idx="326">
                    <c:v>600</c:v>
                  </c:pt>
                  <c:pt idx="327">
                    <c:v>0</c:v>
                  </c:pt>
                  <c:pt idx="328">
                    <c:v>600</c:v>
                  </c:pt>
                  <c:pt idx="329">
                    <c:v>720</c:v>
                  </c:pt>
                  <c:pt idx="330">
                    <c:v>615</c:v>
                  </c:pt>
                  <c:pt idx="331">
                    <c:v>0</c:v>
                  </c:pt>
                  <c:pt idx="332">
                    <c:v>450</c:v>
                  </c:pt>
                  <c:pt idx="333">
                    <c:v>540</c:v>
                  </c:pt>
                  <c:pt idx="334">
                    <c:v>660</c:v>
                  </c:pt>
                  <c:pt idx="335">
                    <c:v>0</c:v>
                  </c:pt>
                  <c:pt idx="336">
                    <c:v>480</c:v>
                  </c:pt>
                  <c:pt idx="337">
                    <c:v>585</c:v>
                  </c:pt>
                  <c:pt idx="338">
                    <c:v>690</c:v>
                  </c:pt>
                  <c:pt idx="339">
                    <c:v>0</c:v>
                  </c:pt>
                  <c:pt idx="340">
                    <c:v>630</c:v>
                  </c:pt>
                  <c:pt idx="341">
                    <c:v>1005</c:v>
                  </c:pt>
                  <c:pt idx="342">
                    <c:v>600</c:v>
                  </c:pt>
                  <c:pt idx="343">
                    <c:v>525</c:v>
                  </c:pt>
                  <c:pt idx="344">
                    <c:v>225</c:v>
                  </c:pt>
                  <c:pt idx="345">
                    <c:v>540</c:v>
                  </c:pt>
                  <c:pt idx="346">
                    <c:v>600</c:v>
                  </c:pt>
                  <c:pt idx="347">
                    <c:v>2145</c:v>
                  </c:pt>
                  <c:pt idx="348">
                    <c:v>615</c:v>
                  </c:pt>
                  <c:pt idx="349">
                    <c:v>615</c:v>
                  </c:pt>
                  <c:pt idx="350">
                    <c:v>270</c:v>
                  </c:pt>
                  <c:pt idx="351">
                    <c:v>645</c:v>
                  </c:pt>
                  <c:pt idx="352">
                    <c:v>810</c:v>
                  </c:pt>
                  <c:pt idx="353">
                    <c:v>1590</c:v>
                  </c:pt>
                  <c:pt idx="354">
                    <c:v>540</c:v>
                  </c:pt>
                </c:numCache>
              </c:numRef>
            </c:plus>
            <c:minus>
              <c:numRef>
                <c:f>'Data Export'!$M$2:$M$356</c:f>
                <c:numCache>
                  <c:formatCode>General</c:formatCode>
                  <c:ptCount val="355"/>
                  <c:pt idx="0">
                    <c:v>630</c:v>
                  </c:pt>
                  <c:pt idx="1">
                    <c:v>0</c:v>
                  </c:pt>
                  <c:pt idx="2">
                    <c:v>810</c:v>
                  </c:pt>
                  <c:pt idx="3">
                    <c:v>0</c:v>
                  </c:pt>
                  <c:pt idx="4">
                    <c:v>705</c:v>
                  </c:pt>
                  <c:pt idx="5">
                    <c:v>0</c:v>
                  </c:pt>
                  <c:pt idx="6">
                    <c:v>900</c:v>
                  </c:pt>
                  <c:pt idx="7">
                    <c:v>0</c:v>
                  </c:pt>
                  <c:pt idx="8">
                    <c:v>825</c:v>
                  </c:pt>
                  <c:pt idx="9">
                    <c:v>0</c:v>
                  </c:pt>
                  <c:pt idx="10">
                    <c:v>735</c:v>
                  </c:pt>
                  <c:pt idx="11">
                    <c:v>0</c:v>
                  </c:pt>
                  <c:pt idx="12">
                    <c:v>855</c:v>
                  </c:pt>
                  <c:pt idx="13">
                    <c:v>0</c:v>
                  </c:pt>
                  <c:pt idx="14">
                    <c:v>765</c:v>
                  </c:pt>
                  <c:pt idx="15">
                    <c:v>0</c:v>
                  </c:pt>
                  <c:pt idx="16">
                    <c:v>660</c:v>
                  </c:pt>
                  <c:pt idx="17">
                    <c:v>0</c:v>
                  </c:pt>
                  <c:pt idx="18">
                    <c:v>525</c:v>
                  </c:pt>
                  <c:pt idx="19">
                    <c:v>0</c:v>
                  </c:pt>
                  <c:pt idx="20">
                    <c:v>540</c:v>
                  </c:pt>
                  <c:pt idx="21">
                    <c:v>0</c:v>
                  </c:pt>
                  <c:pt idx="22">
                    <c:v>570</c:v>
                  </c:pt>
                  <c:pt idx="23">
                    <c:v>1185</c:v>
                  </c:pt>
                  <c:pt idx="24">
                    <c:v>0</c:v>
                  </c:pt>
                  <c:pt idx="25">
                    <c:v>615</c:v>
                  </c:pt>
                  <c:pt idx="26">
                    <c:v>0</c:v>
                  </c:pt>
                  <c:pt idx="27">
                    <c:v>585</c:v>
                  </c:pt>
                  <c:pt idx="28">
                    <c:v>1365</c:v>
                  </c:pt>
                  <c:pt idx="29">
                    <c:v>0</c:v>
                  </c:pt>
                  <c:pt idx="30">
                    <c:v>510</c:v>
                  </c:pt>
                  <c:pt idx="31">
                    <c:v>0</c:v>
                  </c:pt>
                  <c:pt idx="32">
                    <c:v>510</c:v>
                  </c:pt>
                  <c:pt idx="33">
                    <c:v>735</c:v>
                  </c:pt>
                  <c:pt idx="34">
                    <c:v>0</c:v>
                  </c:pt>
                  <c:pt idx="35">
                    <c:v>720</c:v>
                  </c:pt>
                  <c:pt idx="36">
                    <c:v>0</c:v>
                  </c:pt>
                  <c:pt idx="37">
                    <c:v>690</c:v>
                  </c:pt>
                  <c:pt idx="38">
                    <c:v>570</c:v>
                  </c:pt>
                  <c:pt idx="39">
                    <c:v>0</c:v>
                  </c:pt>
                  <c:pt idx="40">
                    <c:v>600</c:v>
                  </c:pt>
                  <c:pt idx="41">
                    <c:v>0</c:v>
                  </c:pt>
                  <c:pt idx="42">
                    <c:v>570</c:v>
                  </c:pt>
                  <c:pt idx="43">
                    <c:v>630</c:v>
                  </c:pt>
                  <c:pt idx="44">
                    <c:v>0</c:v>
                  </c:pt>
                  <c:pt idx="45">
                    <c:v>0</c:v>
                  </c:pt>
                  <c:pt idx="46">
                    <c:v>645</c:v>
                  </c:pt>
                  <c:pt idx="47">
                    <c:v>0</c:v>
                  </c:pt>
                  <c:pt idx="48">
                    <c:v>750</c:v>
                  </c:pt>
                  <c:pt idx="49">
                    <c:v>0</c:v>
                  </c:pt>
                  <c:pt idx="50">
                    <c:v>525</c:v>
                  </c:pt>
                  <c:pt idx="51">
                    <c:v>0</c:v>
                  </c:pt>
                  <c:pt idx="52">
                    <c:v>1095</c:v>
                  </c:pt>
                  <c:pt idx="53">
                    <c:v>0</c:v>
                  </c:pt>
                  <c:pt idx="54">
                    <c:v>540</c:v>
                  </c:pt>
                  <c:pt idx="55">
                    <c:v>0</c:v>
                  </c:pt>
                  <c:pt idx="56">
                    <c:v>1020</c:v>
                  </c:pt>
                  <c:pt idx="57">
                    <c:v>0</c:v>
                  </c:pt>
                  <c:pt idx="58">
                    <c:v>660</c:v>
                  </c:pt>
                  <c:pt idx="59">
                    <c:v>0</c:v>
                  </c:pt>
                  <c:pt idx="60">
                    <c:v>885</c:v>
                  </c:pt>
                  <c:pt idx="61">
                    <c:v>0</c:v>
                  </c:pt>
                  <c:pt idx="62">
                    <c:v>675</c:v>
                  </c:pt>
                  <c:pt idx="63">
                    <c:v>0</c:v>
                  </c:pt>
                  <c:pt idx="64">
                    <c:v>735</c:v>
                  </c:pt>
                  <c:pt idx="65">
                    <c:v>0</c:v>
                  </c:pt>
                  <c:pt idx="66">
                    <c:v>615</c:v>
                  </c:pt>
                  <c:pt idx="67">
                    <c:v>0</c:v>
                  </c:pt>
                  <c:pt idx="68">
                    <c:v>675</c:v>
                  </c:pt>
                  <c:pt idx="69">
                    <c:v>0</c:v>
                  </c:pt>
                  <c:pt idx="70">
                    <c:v>750</c:v>
                  </c:pt>
                  <c:pt idx="71">
                    <c:v>1050</c:v>
                  </c:pt>
                  <c:pt idx="72">
                    <c:v>630</c:v>
                  </c:pt>
                  <c:pt idx="73">
                    <c:v>0</c:v>
                  </c:pt>
                  <c:pt idx="74">
                    <c:v>705</c:v>
                  </c:pt>
                  <c:pt idx="75">
                    <c:v>0</c:v>
                  </c:pt>
                  <c:pt idx="76">
                    <c:v>915</c:v>
                  </c:pt>
                  <c:pt idx="77">
                    <c:v>0</c:v>
                  </c:pt>
                  <c:pt idx="78">
                    <c:v>705</c:v>
                  </c:pt>
                  <c:pt idx="79">
                    <c:v>0</c:v>
                  </c:pt>
                  <c:pt idx="80">
                    <c:v>1635</c:v>
                  </c:pt>
                  <c:pt idx="81">
                    <c:v>0</c:v>
                  </c:pt>
                  <c:pt idx="82">
                    <c:v>735</c:v>
                  </c:pt>
                  <c:pt idx="83">
                    <c:v>0</c:v>
                  </c:pt>
                  <c:pt idx="84">
                    <c:v>615</c:v>
                  </c:pt>
                  <c:pt idx="85">
                    <c:v>0</c:v>
                  </c:pt>
                  <c:pt idx="86">
                    <c:v>0</c:v>
                  </c:pt>
                  <c:pt idx="87">
                    <c:v>540</c:v>
                  </c:pt>
                  <c:pt idx="88">
                    <c:v>645</c:v>
                  </c:pt>
                  <c:pt idx="89">
                    <c:v>0</c:v>
                  </c:pt>
                  <c:pt idx="90">
                    <c:v>645</c:v>
                  </c:pt>
                  <c:pt idx="91">
                    <c:v>840</c:v>
                  </c:pt>
                  <c:pt idx="92">
                    <c:v>615</c:v>
                  </c:pt>
                  <c:pt idx="93">
                    <c:v>0</c:v>
                  </c:pt>
                  <c:pt idx="94">
                    <c:v>645</c:v>
                  </c:pt>
                  <c:pt idx="95">
                    <c:v>600</c:v>
                  </c:pt>
                  <c:pt idx="96">
                    <c:v>600</c:v>
                  </c:pt>
                  <c:pt idx="97">
                    <c:v>0</c:v>
                  </c:pt>
                  <c:pt idx="98">
                    <c:v>645</c:v>
                  </c:pt>
                  <c:pt idx="99">
                    <c:v>585</c:v>
                  </c:pt>
                  <c:pt idx="100">
                    <c:v>585</c:v>
                  </c:pt>
                  <c:pt idx="101">
                    <c:v>0</c:v>
                  </c:pt>
                  <c:pt idx="102">
                    <c:v>705</c:v>
                  </c:pt>
                  <c:pt idx="103">
                    <c:v>630</c:v>
                  </c:pt>
                  <c:pt idx="104">
                    <c:v>615</c:v>
                  </c:pt>
                  <c:pt idx="105">
                    <c:v>585</c:v>
                  </c:pt>
                  <c:pt idx="106">
                    <c:v>690</c:v>
                  </c:pt>
                  <c:pt idx="107">
                    <c:v>525</c:v>
                  </c:pt>
                  <c:pt idx="108">
                    <c:v>630</c:v>
                  </c:pt>
                  <c:pt idx="109">
                    <c:v>555</c:v>
                  </c:pt>
                  <c:pt idx="110">
                    <c:v>570</c:v>
                  </c:pt>
                  <c:pt idx="111">
                    <c:v>540</c:v>
                  </c:pt>
                  <c:pt idx="112">
                    <c:v>1695</c:v>
                  </c:pt>
                  <c:pt idx="113">
                    <c:v>585</c:v>
                  </c:pt>
                  <c:pt idx="114">
                    <c:v>720</c:v>
                  </c:pt>
                  <c:pt idx="115">
                    <c:v>510</c:v>
                  </c:pt>
                  <c:pt idx="116">
                    <c:v>660</c:v>
                  </c:pt>
                  <c:pt idx="117">
                    <c:v>630</c:v>
                  </c:pt>
                  <c:pt idx="118">
                    <c:v>525</c:v>
                  </c:pt>
                  <c:pt idx="119">
                    <c:v>690</c:v>
                  </c:pt>
                  <c:pt idx="120">
                    <c:v>915</c:v>
                  </c:pt>
                  <c:pt idx="121">
                    <c:v>615</c:v>
                  </c:pt>
                  <c:pt idx="122">
                    <c:v>690</c:v>
                  </c:pt>
                  <c:pt idx="123">
                    <c:v>690</c:v>
                  </c:pt>
                  <c:pt idx="124">
                    <c:v>465</c:v>
                  </c:pt>
                  <c:pt idx="125">
                    <c:v>0</c:v>
                  </c:pt>
                  <c:pt idx="126">
                    <c:v>720</c:v>
                  </c:pt>
                  <c:pt idx="127">
                    <c:v>0</c:v>
                  </c:pt>
                  <c:pt idx="128">
                    <c:v>750</c:v>
                  </c:pt>
                  <c:pt idx="129">
                    <c:v>0</c:v>
                  </c:pt>
                  <c:pt idx="130">
                    <c:v>600</c:v>
                  </c:pt>
                  <c:pt idx="131">
                    <c:v>0</c:v>
                  </c:pt>
                  <c:pt idx="132">
                    <c:v>690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0</c:v>
                  </c:pt>
                  <c:pt idx="136">
                    <c:v>630</c:v>
                  </c:pt>
                  <c:pt idx="137">
                    <c:v>0</c:v>
                  </c:pt>
                  <c:pt idx="138">
                    <c:v>600</c:v>
                  </c:pt>
                  <c:pt idx="139">
                    <c:v>0</c:v>
                  </c:pt>
                  <c:pt idx="140">
                    <c:v>420</c:v>
                  </c:pt>
                  <c:pt idx="141">
                    <c:v>0</c:v>
                  </c:pt>
                  <c:pt idx="142">
                    <c:v>585</c:v>
                  </c:pt>
                  <c:pt idx="143">
                    <c:v>0</c:v>
                  </c:pt>
                  <c:pt idx="144">
                    <c:v>600</c:v>
                  </c:pt>
                  <c:pt idx="145">
                    <c:v>615</c:v>
                  </c:pt>
                  <c:pt idx="146">
                    <c:v>0</c:v>
                  </c:pt>
                  <c:pt idx="147">
                    <c:v>540</c:v>
                  </c:pt>
                  <c:pt idx="148">
                    <c:v>1995</c:v>
                  </c:pt>
                  <c:pt idx="149">
                    <c:v>0</c:v>
                  </c:pt>
                  <c:pt idx="150">
                    <c:v>585</c:v>
                  </c:pt>
                  <c:pt idx="151">
                    <c:v>1305</c:v>
                  </c:pt>
                  <c:pt idx="152">
                    <c:v>0</c:v>
                  </c:pt>
                  <c:pt idx="153">
                    <c:v>615</c:v>
                  </c:pt>
                  <c:pt idx="154">
                    <c:v>705</c:v>
                  </c:pt>
                  <c:pt idx="155">
                    <c:v>0</c:v>
                  </c:pt>
                  <c:pt idx="156">
                    <c:v>615</c:v>
                  </c:pt>
                  <c:pt idx="157">
                    <c:v>570</c:v>
                  </c:pt>
                  <c:pt idx="158">
                    <c:v>0</c:v>
                  </c:pt>
                  <c:pt idx="159">
                    <c:v>660</c:v>
                  </c:pt>
                  <c:pt idx="160">
                    <c:v>1710</c:v>
                  </c:pt>
                  <c:pt idx="161">
                    <c:v>660</c:v>
                  </c:pt>
                  <c:pt idx="162">
                    <c:v>690</c:v>
                  </c:pt>
                  <c:pt idx="163">
                    <c:v>0</c:v>
                  </c:pt>
                  <c:pt idx="164">
                    <c:v>615</c:v>
                  </c:pt>
                  <c:pt idx="165">
                    <c:v>1560</c:v>
                  </c:pt>
                  <c:pt idx="166">
                    <c:v>660</c:v>
                  </c:pt>
                  <c:pt idx="167">
                    <c:v>570</c:v>
                  </c:pt>
                  <c:pt idx="168">
                    <c:v>0</c:v>
                  </c:pt>
                  <c:pt idx="169">
                    <c:v>795</c:v>
                  </c:pt>
                  <c:pt idx="170">
                    <c:v>645</c:v>
                  </c:pt>
                  <c:pt idx="171">
                    <c:v>645</c:v>
                  </c:pt>
                  <c:pt idx="172">
                    <c:v>600</c:v>
                  </c:pt>
                  <c:pt idx="173">
                    <c:v>0</c:v>
                  </c:pt>
                  <c:pt idx="174">
                    <c:v>660</c:v>
                  </c:pt>
                  <c:pt idx="175">
                    <c:v>585</c:v>
                  </c:pt>
                  <c:pt idx="176">
                    <c:v>630</c:v>
                  </c:pt>
                  <c:pt idx="177">
                    <c:v>690</c:v>
                  </c:pt>
                  <c:pt idx="178">
                    <c:v>0</c:v>
                  </c:pt>
                  <c:pt idx="179">
                    <c:v>900</c:v>
                  </c:pt>
                  <c:pt idx="180">
                    <c:v>720</c:v>
                  </c:pt>
                  <c:pt idx="181">
                    <c:v>585</c:v>
                  </c:pt>
                  <c:pt idx="182">
                    <c:v>690</c:v>
                  </c:pt>
                  <c:pt idx="183">
                    <c:v>0</c:v>
                  </c:pt>
                  <c:pt idx="184">
                    <c:v>840</c:v>
                  </c:pt>
                  <c:pt idx="185">
                    <c:v>825</c:v>
                  </c:pt>
                  <c:pt idx="186">
                    <c:v>0</c:v>
                  </c:pt>
                  <c:pt idx="187">
                    <c:v>735</c:v>
                  </c:pt>
                  <c:pt idx="188">
                    <c:v>1155</c:v>
                  </c:pt>
                  <c:pt idx="189">
                    <c:v>660</c:v>
                  </c:pt>
                  <c:pt idx="190">
                    <c:v>780</c:v>
                  </c:pt>
                  <c:pt idx="191">
                    <c:v>705</c:v>
                  </c:pt>
                  <c:pt idx="192">
                    <c:v>810</c:v>
                  </c:pt>
                  <c:pt idx="193">
                    <c:v>810</c:v>
                  </c:pt>
                  <c:pt idx="194">
                    <c:v>0</c:v>
                  </c:pt>
                  <c:pt idx="195">
                    <c:v>735</c:v>
                  </c:pt>
                  <c:pt idx="196">
                    <c:v>480</c:v>
                  </c:pt>
                  <c:pt idx="197">
                    <c:v>585</c:v>
                  </c:pt>
                  <c:pt idx="198">
                    <c:v>0</c:v>
                  </c:pt>
                  <c:pt idx="199">
                    <c:v>645</c:v>
                  </c:pt>
                  <c:pt idx="200">
                    <c:v>645</c:v>
                  </c:pt>
                  <c:pt idx="201">
                    <c:v>795</c:v>
                  </c:pt>
                  <c:pt idx="202">
                    <c:v>0</c:v>
                  </c:pt>
                  <c:pt idx="203">
                    <c:v>705</c:v>
                  </c:pt>
                  <c:pt idx="204">
                    <c:v>945</c:v>
                  </c:pt>
                  <c:pt idx="205">
                    <c:v>750</c:v>
                  </c:pt>
                  <c:pt idx="206">
                    <c:v>495</c:v>
                  </c:pt>
                  <c:pt idx="207">
                    <c:v>570</c:v>
                  </c:pt>
                  <c:pt idx="208">
                    <c:v>105</c:v>
                  </c:pt>
                  <c:pt idx="209">
                    <c:v>690</c:v>
                  </c:pt>
                  <c:pt idx="210">
                    <c:v>645</c:v>
                  </c:pt>
                  <c:pt idx="211">
                    <c:v>315</c:v>
                  </c:pt>
                  <c:pt idx="212">
                    <c:v>555</c:v>
                  </c:pt>
                  <c:pt idx="213">
                    <c:v>525</c:v>
                  </c:pt>
                  <c:pt idx="214">
                    <c:v>675</c:v>
                  </c:pt>
                  <c:pt idx="215">
                    <c:v>705</c:v>
                  </c:pt>
                  <c:pt idx="216">
                    <c:v>0</c:v>
                  </c:pt>
                  <c:pt idx="217">
                    <c:v>630</c:v>
                  </c:pt>
                  <c:pt idx="218">
                    <c:v>240</c:v>
                  </c:pt>
                  <c:pt idx="219">
                    <c:v>555</c:v>
                  </c:pt>
                  <c:pt idx="220">
                    <c:v>930</c:v>
                  </c:pt>
                  <c:pt idx="221">
                    <c:v>795</c:v>
                  </c:pt>
                  <c:pt idx="222">
                    <c:v>645</c:v>
                  </c:pt>
                  <c:pt idx="223">
                    <c:v>1245</c:v>
                  </c:pt>
                  <c:pt idx="224">
                    <c:v>705</c:v>
                  </c:pt>
                  <c:pt idx="225">
                    <c:v>720</c:v>
                  </c:pt>
                  <c:pt idx="226">
                    <c:v>765</c:v>
                  </c:pt>
                  <c:pt idx="227">
                    <c:v>585</c:v>
                  </c:pt>
                  <c:pt idx="228">
                    <c:v>690</c:v>
                  </c:pt>
                  <c:pt idx="229">
                    <c:v>645</c:v>
                  </c:pt>
                  <c:pt idx="230">
                    <c:v>705</c:v>
                  </c:pt>
                  <c:pt idx="231">
                    <c:v>0</c:v>
                  </c:pt>
                  <c:pt idx="232">
                    <c:v>465</c:v>
                  </c:pt>
                  <c:pt idx="233">
                    <c:v>930</c:v>
                  </c:pt>
                  <c:pt idx="234">
                    <c:v>735</c:v>
                  </c:pt>
                  <c:pt idx="235">
                    <c:v>0</c:v>
                  </c:pt>
                  <c:pt idx="236">
                    <c:v>465</c:v>
                  </c:pt>
                  <c:pt idx="237">
                    <c:v>1185</c:v>
                  </c:pt>
                  <c:pt idx="238">
                    <c:v>765</c:v>
                  </c:pt>
                  <c:pt idx="239">
                    <c:v>780</c:v>
                  </c:pt>
                  <c:pt idx="240">
                    <c:v>720</c:v>
                  </c:pt>
                  <c:pt idx="241">
                    <c:v>540</c:v>
                  </c:pt>
                  <c:pt idx="242">
                    <c:v>720</c:v>
                  </c:pt>
                  <c:pt idx="243">
                    <c:v>0</c:v>
                  </c:pt>
                  <c:pt idx="244">
                    <c:v>465</c:v>
                  </c:pt>
                  <c:pt idx="245">
                    <c:v>855</c:v>
                  </c:pt>
                  <c:pt idx="246">
                    <c:v>585</c:v>
                  </c:pt>
                  <c:pt idx="247">
                    <c:v>0</c:v>
                  </c:pt>
                  <c:pt idx="248">
                    <c:v>705</c:v>
                  </c:pt>
                  <c:pt idx="249">
                    <c:v>1245</c:v>
                  </c:pt>
                  <c:pt idx="250">
                    <c:v>750</c:v>
                  </c:pt>
                  <c:pt idx="251">
                    <c:v>720</c:v>
                  </c:pt>
                  <c:pt idx="252">
                    <c:v>0</c:v>
                  </c:pt>
                  <c:pt idx="253">
                    <c:v>675</c:v>
                  </c:pt>
                  <c:pt idx="254">
                    <c:v>645</c:v>
                  </c:pt>
                  <c:pt idx="255">
                    <c:v>0</c:v>
                  </c:pt>
                  <c:pt idx="256">
                    <c:v>630</c:v>
                  </c:pt>
                  <c:pt idx="257">
                    <c:v>780</c:v>
                  </c:pt>
                  <c:pt idx="258">
                    <c:v>0</c:v>
                  </c:pt>
                  <c:pt idx="259">
                    <c:v>750</c:v>
                  </c:pt>
                  <c:pt idx="260">
                    <c:v>660</c:v>
                  </c:pt>
                  <c:pt idx="261">
                    <c:v>0</c:v>
                  </c:pt>
                  <c:pt idx="262">
                    <c:v>615</c:v>
                  </c:pt>
                  <c:pt idx="263">
                    <c:v>615</c:v>
                  </c:pt>
                  <c:pt idx="264">
                    <c:v>0</c:v>
                  </c:pt>
                  <c:pt idx="265">
                    <c:v>825</c:v>
                  </c:pt>
                  <c:pt idx="266">
                    <c:v>690</c:v>
                  </c:pt>
                  <c:pt idx="267">
                    <c:v>630</c:v>
                  </c:pt>
                  <c:pt idx="268">
                    <c:v>0</c:v>
                  </c:pt>
                  <c:pt idx="269">
                    <c:v>750</c:v>
                  </c:pt>
                  <c:pt idx="270">
                    <c:v>600</c:v>
                  </c:pt>
                  <c:pt idx="271">
                    <c:v>870</c:v>
                  </c:pt>
                  <c:pt idx="272">
                    <c:v>0</c:v>
                  </c:pt>
                  <c:pt idx="273">
                    <c:v>675</c:v>
                  </c:pt>
                  <c:pt idx="274">
                    <c:v>705</c:v>
                  </c:pt>
                  <c:pt idx="275">
                    <c:v>720</c:v>
                  </c:pt>
                  <c:pt idx="276">
                    <c:v>0</c:v>
                  </c:pt>
                  <c:pt idx="277">
                    <c:v>795</c:v>
                  </c:pt>
                  <c:pt idx="278">
                    <c:v>615</c:v>
                  </c:pt>
                  <c:pt idx="279">
                    <c:v>660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660</c:v>
                  </c:pt>
                  <c:pt idx="283">
                    <c:v>600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990</c:v>
                  </c:pt>
                  <c:pt idx="287">
                    <c:v>645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825</c:v>
                  </c:pt>
                  <c:pt idx="291">
                    <c:v>630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765</c:v>
                  </c:pt>
                  <c:pt idx="295">
                    <c:v>750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840</c:v>
                  </c:pt>
                  <c:pt idx="299">
                    <c:v>870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1230</c:v>
                  </c:pt>
                  <c:pt idx="303">
                    <c:v>780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540</c:v>
                  </c:pt>
                  <c:pt idx="307">
                    <c:v>645</c:v>
                  </c:pt>
                  <c:pt idx="308">
                    <c:v>0</c:v>
                  </c:pt>
                  <c:pt idx="309">
                    <c:v>945</c:v>
                  </c:pt>
                  <c:pt idx="310">
                    <c:v>810</c:v>
                  </c:pt>
                  <c:pt idx="311">
                    <c:v>0</c:v>
                  </c:pt>
                  <c:pt idx="312">
                    <c:v>825</c:v>
                  </c:pt>
                  <c:pt idx="313">
                    <c:v>690</c:v>
                  </c:pt>
                  <c:pt idx="314">
                    <c:v>0</c:v>
                  </c:pt>
                  <c:pt idx="315">
                    <c:v>885</c:v>
                  </c:pt>
                  <c:pt idx="316">
                    <c:v>600</c:v>
                  </c:pt>
                  <c:pt idx="317">
                    <c:v>0</c:v>
                  </c:pt>
                  <c:pt idx="318">
                    <c:v>870</c:v>
                  </c:pt>
                  <c:pt idx="319">
                    <c:v>615</c:v>
                  </c:pt>
                  <c:pt idx="320">
                    <c:v>825</c:v>
                  </c:pt>
                  <c:pt idx="321">
                    <c:v>2250</c:v>
                  </c:pt>
                  <c:pt idx="322">
                    <c:v>555</c:v>
                  </c:pt>
                  <c:pt idx="323">
                    <c:v>0</c:v>
                  </c:pt>
                  <c:pt idx="324">
                    <c:v>690</c:v>
                  </c:pt>
                  <c:pt idx="325">
                    <c:v>570</c:v>
                  </c:pt>
                  <c:pt idx="326">
                    <c:v>600</c:v>
                  </c:pt>
                  <c:pt idx="327">
                    <c:v>0</c:v>
                  </c:pt>
                  <c:pt idx="328">
                    <c:v>600</c:v>
                  </c:pt>
                  <c:pt idx="329">
                    <c:v>720</c:v>
                  </c:pt>
                  <c:pt idx="330">
                    <c:v>615</c:v>
                  </c:pt>
                  <c:pt idx="331">
                    <c:v>0</c:v>
                  </c:pt>
                  <c:pt idx="332">
                    <c:v>450</c:v>
                  </c:pt>
                  <c:pt idx="333">
                    <c:v>540</c:v>
                  </c:pt>
                  <c:pt idx="334">
                    <c:v>660</c:v>
                  </c:pt>
                  <c:pt idx="335">
                    <c:v>0</c:v>
                  </c:pt>
                  <c:pt idx="336">
                    <c:v>480</c:v>
                  </c:pt>
                  <c:pt idx="337">
                    <c:v>585</c:v>
                  </c:pt>
                  <c:pt idx="338">
                    <c:v>690</c:v>
                  </c:pt>
                  <c:pt idx="339">
                    <c:v>0</c:v>
                  </c:pt>
                  <c:pt idx="340">
                    <c:v>630</c:v>
                  </c:pt>
                  <c:pt idx="341">
                    <c:v>1005</c:v>
                  </c:pt>
                  <c:pt idx="342">
                    <c:v>600</c:v>
                  </c:pt>
                  <c:pt idx="343">
                    <c:v>525</c:v>
                  </c:pt>
                  <c:pt idx="344">
                    <c:v>225</c:v>
                  </c:pt>
                  <c:pt idx="345">
                    <c:v>540</c:v>
                  </c:pt>
                  <c:pt idx="346">
                    <c:v>600</c:v>
                  </c:pt>
                  <c:pt idx="347">
                    <c:v>2145</c:v>
                  </c:pt>
                  <c:pt idx="348">
                    <c:v>615</c:v>
                  </c:pt>
                  <c:pt idx="349">
                    <c:v>615</c:v>
                  </c:pt>
                  <c:pt idx="350">
                    <c:v>270</c:v>
                  </c:pt>
                  <c:pt idx="351">
                    <c:v>645</c:v>
                  </c:pt>
                  <c:pt idx="352">
                    <c:v>810</c:v>
                  </c:pt>
                  <c:pt idx="353">
                    <c:v>1590</c:v>
                  </c:pt>
                  <c:pt idx="354">
                    <c:v>540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257"/>
              <c:pt idx="0">
                <c:v>10485</c:v>
              </c:pt>
              <c:pt idx="1">
                <c:v>10485</c:v>
              </c:pt>
              <c:pt idx="2">
                <c:v>10485</c:v>
              </c:pt>
              <c:pt idx="3">
                <c:v>10485</c:v>
              </c:pt>
              <c:pt idx="4">
                <c:v>10485</c:v>
              </c:pt>
              <c:pt idx="5">
                <c:v>10485</c:v>
              </c:pt>
              <c:pt idx="6">
                <c:v>10485</c:v>
              </c:pt>
              <c:pt idx="7">
                <c:v>10485</c:v>
              </c:pt>
              <c:pt idx="8">
                <c:v>10485</c:v>
              </c:pt>
              <c:pt idx="9">
                <c:v>10485</c:v>
              </c:pt>
              <c:pt idx="10">
                <c:v>8196</c:v>
              </c:pt>
              <c:pt idx="11">
                <c:v>30157</c:v>
              </c:pt>
              <c:pt idx="12">
                <c:v>25041</c:v>
              </c:pt>
              <c:pt idx="13">
                <c:v>8196</c:v>
              </c:pt>
              <c:pt idx="14">
                <c:v>30157</c:v>
              </c:pt>
              <c:pt idx="15">
                <c:v>25041</c:v>
              </c:pt>
              <c:pt idx="16">
                <c:v>8196</c:v>
              </c:pt>
              <c:pt idx="17">
                <c:v>30157</c:v>
              </c:pt>
              <c:pt idx="18">
                <c:v>25041</c:v>
              </c:pt>
              <c:pt idx="19">
                <c:v>8196</c:v>
              </c:pt>
              <c:pt idx="20">
                <c:v>30157</c:v>
              </c:pt>
              <c:pt idx="21">
                <c:v>25041</c:v>
              </c:pt>
              <c:pt idx="22">
                <c:v>8196</c:v>
              </c:pt>
              <c:pt idx="23">
                <c:v>30157</c:v>
              </c:pt>
              <c:pt idx="24">
                <c:v>25041</c:v>
              </c:pt>
              <c:pt idx="25">
                <c:v>23979</c:v>
              </c:pt>
              <c:pt idx="26">
                <c:v>30885</c:v>
              </c:pt>
              <c:pt idx="27">
                <c:v>23979</c:v>
              </c:pt>
              <c:pt idx="28">
                <c:v>30885</c:v>
              </c:pt>
              <c:pt idx="29">
                <c:v>23979</c:v>
              </c:pt>
              <c:pt idx="30">
                <c:v>30885</c:v>
              </c:pt>
              <c:pt idx="31">
                <c:v>23979</c:v>
              </c:pt>
              <c:pt idx="32">
                <c:v>30885</c:v>
              </c:pt>
              <c:pt idx="33">
                <c:v>23979</c:v>
              </c:pt>
              <c:pt idx="34">
                <c:v>30885</c:v>
              </c:pt>
              <c:pt idx="35">
                <c:v>18502</c:v>
              </c:pt>
              <c:pt idx="36">
                <c:v>45999</c:v>
              </c:pt>
              <c:pt idx="37">
                <c:v>26865</c:v>
              </c:pt>
              <c:pt idx="38">
                <c:v>18502</c:v>
              </c:pt>
              <c:pt idx="39">
                <c:v>45999</c:v>
              </c:pt>
              <c:pt idx="40">
                <c:v>26865</c:v>
              </c:pt>
              <c:pt idx="41">
                <c:v>18502</c:v>
              </c:pt>
              <c:pt idx="42">
                <c:v>26865</c:v>
              </c:pt>
              <c:pt idx="43">
                <c:v>18502</c:v>
              </c:pt>
              <c:pt idx="44">
                <c:v>26865</c:v>
              </c:pt>
              <c:pt idx="45">
                <c:v>18502</c:v>
              </c:pt>
              <c:pt idx="46">
                <c:v>45999</c:v>
              </c:pt>
              <c:pt idx="47">
                <c:v>26865</c:v>
              </c:pt>
              <c:pt idx="48">
                <c:v>44214</c:v>
              </c:pt>
              <c:pt idx="49">
                <c:v>23586</c:v>
              </c:pt>
              <c:pt idx="50">
                <c:v>13489</c:v>
              </c:pt>
              <c:pt idx="51">
                <c:v>44214</c:v>
              </c:pt>
              <c:pt idx="52">
                <c:v>23586</c:v>
              </c:pt>
              <c:pt idx="53">
                <c:v>13489</c:v>
              </c:pt>
              <c:pt idx="54">
                <c:v>44214</c:v>
              </c:pt>
              <c:pt idx="55">
                <c:v>23586</c:v>
              </c:pt>
              <c:pt idx="56">
                <c:v>13489</c:v>
              </c:pt>
              <c:pt idx="57">
                <c:v>44214</c:v>
              </c:pt>
              <c:pt idx="58">
                <c:v>23586</c:v>
              </c:pt>
              <c:pt idx="59">
                <c:v>13489</c:v>
              </c:pt>
              <c:pt idx="60">
                <c:v>44214</c:v>
              </c:pt>
              <c:pt idx="61">
                <c:v>23586</c:v>
              </c:pt>
              <c:pt idx="62">
                <c:v>32134</c:v>
              </c:pt>
              <c:pt idx="63">
                <c:v>5861</c:v>
              </c:pt>
              <c:pt idx="64">
                <c:v>34287</c:v>
              </c:pt>
              <c:pt idx="65">
                <c:v>13854</c:v>
              </c:pt>
              <c:pt idx="66">
                <c:v>32134</c:v>
              </c:pt>
              <c:pt idx="67">
                <c:v>5861</c:v>
              </c:pt>
              <c:pt idx="68">
                <c:v>34287</c:v>
              </c:pt>
              <c:pt idx="69">
                <c:v>13854</c:v>
              </c:pt>
              <c:pt idx="70">
                <c:v>32134</c:v>
              </c:pt>
              <c:pt idx="71">
                <c:v>5861</c:v>
              </c:pt>
              <c:pt idx="72">
                <c:v>34287</c:v>
              </c:pt>
              <c:pt idx="73">
                <c:v>13854</c:v>
              </c:pt>
              <c:pt idx="74">
                <c:v>32134</c:v>
              </c:pt>
              <c:pt idx="75">
                <c:v>5861</c:v>
              </c:pt>
              <c:pt idx="76">
                <c:v>34287</c:v>
              </c:pt>
              <c:pt idx="77">
                <c:v>13854</c:v>
              </c:pt>
              <c:pt idx="78">
                <c:v>32134</c:v>
              </c:pt>
              <c:pt idx="79">
                <c:v>5861</c:v>
              </c:pt>
              <c:pt idx="80">
                <c:v>34287</c:v>
              </c:pt>
              <c:pt idx="81">
                <c:v>13854</c:v>
              </c:pt>
              <c:pt idx="82">
                <c:v>6186</c:v>
              </c:pt>
              <c:pt idx="83">
                <c:v>5093</c:v>
              </c:pt>
              <c:pt idx="84">
                <c:v>6186</c:v>
              </c:pt>
              <c:pt idx="85">
                <c:v>26347</c:v>
              </c:pt>
              <c:pt idx="86">
                <c:v>5093</c:v>
              </c:pt>
              <c:pt idx="87">
                <c:v>6186</c:v>
              </c:pt>
              <c:pt idx="88">
                <c:v>26347</c:v>
              </c:pt>
              <c:pt idx="89">
                <c:v>5093</c:v>
              </c:pt>
              <c:pt idx="90">
                <c:v>6186</c:v>
              </c:pt>
              <c:pt idx="91">
                <c:v>5093</c:v>
              </c:pt>
              <c:pt idx="92">
                <c:v>6186</c:v>
              </c:pt>
              <c:pt idx="93">
                <c:v>5093</c:v>
              </c:pt>
              <c:pt idx="94">
                <c:v>14170</c:v>
              </c:pt>
              <c:pt idx="95">
                <c:v>6827</c:v>
              </c:pt>
              <c:pt idx="96">
                <c:v>14170</c:v>
              </c:pt>
              <c:pt idx="97">
                <c:v>6827</c:v>
              </c:pt>
              <c:pt idx="98">
                <c:v>14170</c:v>
              </c:pt>
              <c:pt idx="99">
                <c:v>6827</c:v>
              </c:pt>
              <c:pt idx="100">
                <c:v>14170</c:v>
              </c:pt>
              <c:pt idx="101">
                <c:v>6827</c:v>
              </c:pt>
              <c:pt idx="102">
                <c:v>14170</c:v>
              </c:pt>
              <c:pt idx="103">
                <c:v>6827</c:v>
              </c:pt>
              <c:pt idx="104">
                <c:v>37356</c:v>
              </c:pt>
              <c:pt idx="105">
                <c:v>24220</c:v>
              </c:pt>
              <c:pt idx="106">
                <c:v>11638</c:v>
              </c:pt>
              <c:pt idx="107">
                <c:v>13814</c:v>
              </c:pt>
              <c:pt idx="108">
                <c:v>37356</c:v>
              </c:pt>
              <c:pt idx="109">
                <c:v>24220</c:v>
              </c:pt>
              <c:pt idx="110">
                <c:v>11638</c:v>
              </c:pt>
              <c:pt idx="111">
                <c:v>13814</c:v>
              </c:pt>
              <c:pt idx="112">
                <c:v>37356</c:v>
              </c:pt>
              <c:pt idx="113">
                <c:v>24220</c:v>
              </c:pt>
              <c:pt idx="114">
                <c:v>11638</c:v>
              </c:pt>
              <c:pt idx="115">
                <c:v>13814</c:v>
              </c:pt>
              <c:pt idx="116">
                <c:v>37356</c:v>
              </c:pt>
              <c:pt idx="117">
                <c:v>24220</c:v>
              </c:pt>
              <c:pt idx="118">
                <c:v>11638</c:v>
              </c:pt>
              <c:pt idx="119">
                <c:v>13814</c:v>
              </c:pt>
              <c:pt idx="120">
                <c:v>37356</c:v>
              </c:pt>
              <c:pt idx="121">
                <c:v>24220</c:v>
              </c:pt>
              <c:pt idx="122">
                <c:v>11638</c:v>
              </c:pt>
              <c:pt idx="123">
                <c:v>13814</c:v>
              </c:pt>
              <c:pt idx="124">
                <c:v>35694</c:v>
              </c:pt>
              <c:pt idx="125">
                <c:v>30972</c:v>
              </c:pt>
              <c:pt idx="126">
                <c:v>7611</c:v>
              </c:pt>
              <c:pt idx="127">
                <c:v>20235</c:v>
              </c:pt>
              <c:pt idx="128">
                <c:v>35694</c:v>
              </c:pt>
              <c:pt idx="129">
                <c:v>30972</c:v>
              </c:pt>
              <c:pt idx="130">
                <c:v>7611</c:v>
              </c:pt>
              <c:pt idx="131">
                <c:v>20235</c:v>
              </c:pt>
              <c:pt idx="132">
                <c:v>35694</c:v>
              </c:pt>
              <c:pt idx="133">
                <c:v>7611</c:v>
              </c:pt>
              <c:pt idx="134">
                <c:v>20235</c:v>
              </c:pt>
              <c:pt idx="135">
                <c:v>35694</c:v>
              </c:pt>
              <c:pt idx="136">
                <c:v>7611</c:v>
              </c:pt>
              <c:pt idx="137">
                <c:v>20235</c:v>
              </c:pt>
              <c:pt idx="138">
                <c:v>35694</c:v>
              </c:pt>
              <c:pt idx="139">
                <c:v>7611</c:v>
              </c:pt>
              <c:pt idx="140">
                <c:v>20235</c:v>
              </c:pt>
              <c:pt idx="141">
                <c:v>24466</c:v>
              </c:pt>
              <c:pt idx="142">
                <c:v>35974</c:v>
              </c:pt>
              <c:pt idx="143">
                <c:v>5321</c:v>
              </c:pt>
              <c:pt idx="144">
                <c:v>39481</c:v>
              </c:pt>
              <c:pt idx="145">
                <c:v>25051</c:v>
              </c:pt>
              <c:pt idx="146">
                <c:v>24466</c:v>
              </c:pt>
              <c:pt idx="147">
                <c:v>35974</c:v>
              </c:pt>
              <c:pt idx="148">
                <c:v>5321</c:v>
              </c:pt>
              <c:pt idx="149">
                <c:v>39481</c:v>
              </c:pt>
              <c:pt idx="150">
                <c:v>25051</c:v>
              </c:pt>
              <c:pt idx="151">
                <c:v>24466</c:v>
              </c:pt>
              <c:pt idx="152">
                <c:v>5321</c:v>
              </c:pt>
              <c:pt idx="153">
                <c:v>39481</c:v>
              </c:pt>
              <c:pt idx="154">
                <c:v>25051</c:v>
              </c:pt>
              <c:pt idx="155">
                <c:v>24466</c:v>
              </c:pt>
              <c:pt idx="156">
                <c:v>35974</c:v>
              </c:pt>
              <c:pt idx="157">
                <c:v>5321</c:v>
              </c:pt>
              <c:pt idx="158">
                <c:v>39481</c:v>
              </c:pt>
              <c:pt idx="159">
                <c:v>25051</c:v>
              </c:pt>
              <c:pt idx="160">
                <c:v>24466</c:v>
              </c:pt>
              <c:pt idx="161">
                <c:v>35974</c:v>
              </c:pt>
              <c:pt idx="162">
                <c:v>5321</c:v>
              </c:pt>
              <c:pt idx="163">
                <c:v>39481</c:v>
              </c:pt>
              <c:pt idx="164">
                <c:v>25051</c:v>
              </c:pt>
              <c:pt idx="165">
                <c:v>20962</c:v>
              </c:pt>
              <c:pt idx="166">
                <c:v>28709</c:v>
              </c:pt>
              <c:pt idx="167">
                <c:v>10507</c:v>
              </c:pt>
              <c:pt idx="168">
                <c:v>18715</c:v>
              </c:pt>
              <c:pt idx="169">
                <c:v>20962</c:v>
              </c:pt>
              <c:pt idx="170">
                <c:v>10507</c:v>
              </c:pt>
              <c:pt idx="171">
                <c:v>18715</c:v>
              </c:pt>
              <c:pt idx="172">
                <c:v>20962</c:v>
              </c:pt>
              <c:pt idx="173">
                <c:v>28709</c:v>
              </c:pt>
              <c:pt idx="174">
                <c:v>10507</c:v>
              </c:pt>
              <c:pt idx="175">
                <c:v>18715</c:v>
              </c:pt>
              <c:pt idx="176">
                <c:v>20962</c:v>
              </c:pt>
              <c:pt idx="177">
                <c:v>28709</c:v>
              </c:pt>
              <c:pt idx="178">
                <c:v>10507</c:v>
              </c:pt>
              <c:pt idx="179">
                <c:v>18715</c:v>
              </c:pt>
              <c:pt idx="180">
                <c:v>20962</c:v>
              </c:pt>
              <c:pt idx="181">
                <c:v>10507</c:v>
              </c:pt>
              <c:pt idx="182">
                <c:v>18715</c:v>
              </c:pt>
              <c:pt idx="183">
                <c:v>7593</c:v>
              </c:pt>
              <c:pt idx="184">
                <c:v>28178</c:v>
              </c:pt>
              <c:pt idx="185">
                <c:v>7593</c:v>
              </c:pt>
              <c:pt idx="186">
                <c:v>28178</c:v>
              </c:pt>
              <c:pt idx="187">
                <c:v>7593</c:v>
              </c:pt>
              <c:pt idx="188">
                <c:v>28178</c:v>
              </c:pt>
              <c:pt idx="189">
                <c:v>7593</c:v>
              </c:pt>
              <c:pt idx="190">
                <c:v>28178</c:v>
              </c:pt>
              <c:pt idx="191">
                <c:v>7593</c:v>
              </c:pt>
              <c:pt idx="192">
                <c:v>28178</c:v>
              </c:pt>
              <c:pt idx="193">
                <c:v>37505</c:v>
              </c:pt>
              <c:pt idx="194">
                <c:v>17575</c:v>
              </c:pt>
              <c:pt idx="195">
                <c:v>16841</c:v>
              </c:pt>
              <c:pt idx="196">
                <c:v>37505</c:v>
              </c:pt>
              <c:pt idx="197">
                <c:v>17575</c:v>
              </c:pt>
              <c:pt idx="198">
                <c:v>16841</c:v>
              </c:pt>
              <c:pt idx="199">
                <c:v>37505</c:v>
              </c:pt>
              <c:pt idx="200">
                <c:v>17575</c:v>
              </c:pt>
              <c:pt idx="201">
                <c:v>16841</c:v>
              </c:pt>
              <c:pt idx="202">
                <c:v>37505</c:v>
              </c:pt>
              <c:pt idx="203">
                <c:v>17575</c:v>
              </c:pt>
              <c:pt idx="204">
                <c:v>16841</c:v>
              </c:pt>
              <c:pt idx="205">
                <c:v>17575</c:v>
              </c:pt>
              <c:pt idx="206">
                <c:v>16841</c:v>
              </c:pt>
              <c:pt idx="207">
                <c:v>19611</c:v>
              </c:pt>
              <c:pt idx="208">
                <c:v>11448</c:v>
              </c:pt>
              <c:pt idx="209">
                <c:v>19611</c:v>
              </c:pt>
              <c:pt idx="210">
                <c:v>11448</c:v>
              </c:pt>
              <c:pt idx="211">
                <c:v>19611</c:v>
              </c:pt>
              <c:pt idx="212">
                <c:v>11448</c:v>
              </c:pt>
              <c:pt idx="213">
                <c:v>19611</c:v>
              </c:pt>
              <c:pt idx="214">
                <c:v>11448</c:v>
              </c:pt>
              <c:pt idx="215">
                <c:v>19611</c:v>
              </c:pt>
              <c:pt idx="216">
                <c:v>11448</c:v>
              </c:pt>
              <c:pt idx="217">
                <c:v>24101</c:v>
              </c:pt>
              <c:pt idx="218">
                <c:v>7163</c:v>
              </c:pt>
              <c:pt idx="219">
                <c:v>24101</c:v>
              </c:pt>
              <c:pt idx="220">
                <c:v>7163</c:v>
              </c:pt>
              <c:pt idx="221">
                <c:v>24101</c:v>
              </c:pt>
              <c:pt idx="222">
                <c:v>7163</c:v>
              </c:pt>
              <c:pt idx="223">
                <c:v>24101</c:v>
              </c:pt>
              <c:pt idx="224">
                <c:v>7163</c:v>
              </c:pt>
              <c:pt idx="225">
                <c:v>24101</c:v>
              </c:pt>
              <c:pt idx="226">
                <c:v>7163</c:v>
              </c:pt>
              <c:pt idx="227">
                <c:v>23249</c:v>
              </c:pt>
              <c:pt idx="228">
                <c:v>17730</c:v>
              </c:pt>
              <c:pt idx="229">
                <c:v>2934</c:v>
              </c:pt>
              <c:pt idx="230">
                <c:v>23249</c:v>
              </c:pt>
              <c:pt idx="231">
                <c:v>17730</c:v>
              </c:pt>
              <c:pt idx="232">
                <c:v>2934</c:v>
              </c:pt>
              <c:pt idx="233">
                <c:v>23249</c:v>
              </c:pt>
              <c:pt idx="234">
                <c:v>17730</c:v>
              </c:pt>
              <c:pt idx="235">
                <c:v>2934</c:v>
              </c:pt>
              <c:pt idx="236">
                <c:v>23249</c:v>
              </c:pt>
              <c:pt idx="237">
                <c:v>17730</c:v>
              </c:pt>
              <c:pt idx="238">
                <c:v>2934</c:v>
              </c:pt>
              <c:pt idx="239">
                <c:v>23249</c:v>
              </c:pt>
              <c:pt idx="240">
                <c:v>17730</c:v>
              </c:pt>
              <c:pt idx="241">
                <c:v>2934</c:v>
              </c:pt>
              <c:pt idx="242">
                <c:v>14481</c:v>
              </c:pt>
              <c:pt idx="243">
                <c:v>31831</c:v>
              </c:pt>
              <c:pt idx="244">
                <c:v>11264</c:v>
              </c:pt>
              <c:pt idx="245">
                <c:v>14481</c:v>
              </c:pt>
              <c:pt idx="246">
                <c:v>31831</c:v>
              </c:pt>
              <c:pt idx="247">
                <c:v>11264</c:v>
              </c:pt>
              <c:pt idx="248">
                <c:v>14481</c:v>
              </c:pt>
              <c:pt idx="249">
                <c:v>31831</c:v>
              </c:pt>
              <c:pt idx="250">
                <c:v>11264</c:v>
              </c:pt>
              <c:pt idx="251">
                <c:v>14481</c:v>
              </c:pt>
              <c:pt idx="252">
                <c:v>31831</c:v>
              </c:pt>
              <c:pt idx="253">
                <c:v>11264</c:v>
              </c:pt>
              <c:pt idx="254">
                <c:v>14481</c:v>
              </c:pt>
              <c:pt idx="255">
                <c:v>31831</c:v>
              </c:pt>
              <c:pt idx="256">
                <c:v>11264</c:v>
              </c:pt>
            </c:numLit>
          </c:xVal>
          <c:yVal>
            <c:numLit>
              <c:formatCode>General</c:formatCode>
              <c:ptCount val="257"/>
              <c:pt idx="0">
                <c:v>140</c:v>
              </c:pt>
              <c:pt idx="1">
                <c:v>140</c:v>
              </c:pt>
              <c:pt idx="2">
                <c:v>265</c:v>
              </c:pt>
              <c:pt idx="3">
                <c:v>890</c:v>
              </c:pt>
              <c:pt idx="4">
                <c:v>1015</c:v>
              </c:pt>
              <c:pt idx="5">
                <c:v>15</c:v>
              </c:pt>
              <c:pt idx="6">
                <c:v>15</c:v>
              </c:pt>
              <c:pt idx="7">
                <c:v>765</c:v>
              </c:pt>
              <c:pt idx="8">
                <c:v>265</c:v>
              </c:pt>
              <c:pt idx="9">
                <c:v>265</c:v>
              </c:pt>
              <c:pt idx="10">
                <c:v>-1009</c:v>
              </c:pt>
              <c:pt idx="11">
                <c:v>1030</c:v>
              </c:pt>
              <c:pt idx="12">
                <c:v>1771</c:v>
              </c:pt>
              <c:pt idx="13">
                <c:v>-1009</c:v>
              </c:pt>
              <c:pt idx="14">
                <c:v>1030</c:v>
              </c:pt>
              <c:pt idx="15">
                <c:v>1646</c:v>
              </c:pt>
              <c:pt idx="16">
                <c:v>-696</c:v>
              </c:pt>
              <c:pt idx="17">
                <c:v>593</c:v>
              </c:pt>
              <c:pt idx="18">
                <c:v>1646</c:v>
              </c:pt>
              <c:pt idx="19">
                <c:v>-1196</c:v>
              </c:pt>
              <c:pt idx="20">
                <c:v>843</c:v>
              </c:pt>
              <c:pt idx="21">
                <c:v>1459</c:v>
              </c:pt>
              <c:pt idx="22">
                <c:v>-1196</c:v>
              </c:pt>
              <c:pt idx="23">
                <c:v>1030</c:v>
              </c:pt>
              <c:pt idx="24">
                <c:v>1459</c:v>
              </c:pt>
              <c:pt idx="25">
                <c:v>1208</c:v>
              </c:pt>
              <c:pt idx="26">
                <c:v>2115</c:v>
              </c:pt>
              <c:pt idx="27">
                <c:v>771</c:v>
              </c:pt>
              <c:pt idx="28">
                <c:v>2115</c:v>
              </c:pt>
              <c:pt idx="29">
                <c:v>458</c:v>
              </c:pt>
              <c:pt idx="30">
                <c:v>1927</c:v>
              </c:pt>
              <c:pt idx="31">
                <c:v>771</c:v>
              </c:pt>
              <c:pt idx="32">
                <c:v>1927</c:v>
              </c:pt>
              <c:pt idx="33">
                <c:v>771</c:v>
              </c:pt>
              <c:pt idx="34">
                <c:v>2240</c:v>
              </c:pt>
              <c:pt idx="35">
                <c:v>1873</c:v>
              </c:pt>
              <c:pt idx="36">
                <c:v>7813</c:v>
              </c:pt>
              <c:pt idx="37">
                <c:v>2635</c:v>
              </c:pt>
              <c:pt idx="38">
                <c:v>498</c:v>
              </c:pt>
              <c:pt idx="39">
                <c:v>5563</c:v>
              </c:pt>
              <c:pt idx="40">
                <c:v>10135</c:v>
              </c:pt>
              <c:pt idx="41">
                <c:v>1998</c:v>
              </c:pt>
              <c:pt idx="42">
                <c:v>10135</c:v>
              </c:pt>
              <c:pt idx="43">
                <c:v>1435</c:v>
              </c:pt>
              <c:pt idx="44">
                <c:v>8947</c:v>
              </c:pt>
              <c:pt idx="45">
                <c:v>1248</c:v>
              </c:pt>
              <c:pt idx="46">
                <c:v>5438</c:v>
              </c:pt>
              <c:pt idx="47">
                <c:v>9885</c:v>
              </c:pt>
              <c:pt idx="48">
                <c:v>286</c:v>
              </c:pt>
              <c:pt idx="49">
                <c:v>2476</c:v>
              </c:pt>
              <c:pt idx="50">
                <c:v>1948</c:v>
              </c:pt>
              <c:pt idx="51">
                <c:v>598</c:v>
              </c:pt>
              <c:pt idx="52">
                <c:v>2476</c:v>
              </c:pt>
              <c:pt idx="53">
                <c:v>2698</c:v>
              </c:pt>
              <c:pt idx="54">
                <c:v>286</c:v>
              </c:pt>
              <c:pt idx="55">
                <c:v>2664</c:v>
              </c:pt>
              <c:pt idx="56">
                <c:v>2698</c:v>
              </c:pt>
              <c:pt idx="57">
                <c:v>473</c:v>
              </c:pt>
              <c:pt idx="58">
                <c:v>2789</c:v>
              </c:pt>
              <c:pt idx="59">
                <c:v>4511</c:v>
              </c:pt>
              <c:pt idx="60">
                <c:v>473</c:v>
              </c:pt>
              <c:pt idx="61">
                <c:v>2789</c:v>
              </c:pt>
              <c:pt idx="62">
                <c:v>1428</c:v>
              </c:pt>
              <c:pt idx="63">
                <c:v>389</c:v>
              </c:pt>
              <c:pt idx="64">
                <c:v>1713</c:v>
              </c:pt>
              <c:pt idx="65">
                <c:v>7146</c:v>
              </c:pt>
              <c:pt idx="66">
                <c:v>1428</c:v>
              </c:pt>
              <c:pt idx="67">
                <c:v>-49</c:v>
              </c:pt>
              <c:pt idx="68">
                <c:v>963</c:v>
              </c:pt>
              <c:pt idx="69">
                <c:v>4146</c:v>
              </c:pt>
              <c:pt idx="70">
                <c:v>1116</c:v>
              </c:pt>
              <c:pt idx="71">
                <c:v>139</c:v>
              </c:pt>
              <c:pt idx="72">
                <c:v>1838</c:v>
              </c:pt>
              <c:pt idx="73">
                <c:v>2021</c:v>
              </c:pt>
              <c:pt idx="74">
                <c:v>3241</c:v>
              </c:pt>
              <c:pt idx="75">
                <c:v>-486</c:v>
              </c:pt>
              <c:pt idx="76">
                <c:v>1713</c:v>
              </c:pt>
              <c:pt idx="77">
                <c:v>1583</c:v>
              </c:pt>
              <c:pt idx="78">
                <c:v>3116</c:v>
              </c:pt>
              <c:pt idx="79">
                <c:v>-174</c:v>
              </c:pt>
              <c:pt idx="80">
                <c:v>1963</c:v>
              </c:pt>
              <c:pt idx="81">
                <c:v>1146</c:v>
              </c:pt>
              <c:pt idx="82">
                <c:v>3376</c:v>
              </c:pt>
              <c:pt idx="83">
                <c:v>8969</c:v>
              </c:pt>
              <c:pt idx="84">
                <c:v>2814</c:v>
              </c:pt>
              <c:pt idx="85">
                <c:v>16840</c:v>
              </c:pt>
              <c:pt idx="86">
                <c:v>8657</c:v>
              </c:pt>
              <c:pt idx="87">
                <c:v>1439</c:v>
              </c:pt>
              <c:pt idx="88">
                <c:v>17403</c:v>
              </c:pt>
              <c:pt idx="89">
                <c:v>8657</c:v>
              </c:pt>
              <c:pt idx="90">
                <c:v>1314</c:v>
              </c:pt>
              <c:pt idx="91">
                <c:v>8657</c:v>
              </c:pt>
              <c:pt idx="92">
                <c:v>1439</c:v>
              </c:pt>
              <c:pt idx="93">
                <c:v>8657</c:v>
              </c:pt>
              <c:pt idx="94">
                <c:v>2330</c:v>
              </c:pt>
              <c:pt idx="95">
                <c:v>360</c:v>
              </c:pt>
              <c:pt idx="96">
                <c:v>5017</c:v>
              </c:pt>
              <c:pt idx="97">
                <c:v>173</c:v>
              </c:pt>
              <c:pt idx="98">
                <c:v>6642</c:v>
              </c:pt>
              <c:pt idx="99">
                <c:v>48</c:v>
              </c:pt>
              <c:pt idx="100">
                <c:v>8455</c:v>
              </c:pt>
              <c:pt idx="101">
                <c:v>48</c:v>
              </c:pt>
              <c:pt idx="102">
                <c:v>7267</c:v>
              </c:pt>
              <c:pt idx="103">
                <c:v>1548</c:v>
              </c:pt>
              <c:pt idx="104">
                <c:v>4456</c:v>
              </c:pt>
              <c:pt idx="105">
                <c:v>6030</c:v>
              </c:pt>
              <c:pt idx="106">
                <c:v>4987</c:v>
              </c:pt>
              <c:pt idx="107">
                <c:v>6123</c:v>
              </c:pt>
              <c:pt idx="108">
                <c:v>5206</c:v>
              </c:pt>
              <c:pt idx="109">
                <c:v>5905</c:v>
              </c:pt>
              <c:pt idx="110">
                <c:v>4112</c:v>
              </c:pt>
              <c:pt idx="111">
                <c:v>6248</c:v>
              </c:pt>
              <c:pt idx="112">
                <c:v>3394</c:v>
              </c:pt>
              <c:pt idx="113">
                <c:v>5905</c:v>
              </c:pt>
              <c:pt idx="114">
                <c:v>3924</c:v>
              </c:pt>
              <c:pt idx="115">
                <c:v>5936</c:v>
              </c:pt>
              <c:pt idx="116">
                <c:v>2519</c:v>
              </c:pt>
              <c:pt idx="117">
                <c:v>5905</c:v>
              </c:pt>
              <c:pt idx="118">
                <c:v>3174</c:v>
              </c:pt>
              <c:pt idx="119">
                <c:v>6561</c:v>
              </c:pt>
              <c:pt idx="120">
                <c:v>2206</c:v>
              </c:pt>
              <c:pt idx="121">
                <c:v>6780</c:v>
              </c:pt>
              <c:pt idx="122">
                <c:v>3049</c:v>
              </c:pt>
              <c:pt idx="123">
                <c:v>5686</c:v>
              </c:pt>
              <c:pt idx="124">
                <c:v>-444</c:v>
              </c:pt>
              <c:pt idx="125">
                <c:v>6215</c:v>
              </c:pt>
              <c:pt idx="126">
                <c:v>3326</c:v>
              </c:pt>
              <c:pt idx="127">
                <c:v>4640</c:v>
              </c:pt>
              <c:pt idx="128">
                <c:v>-194</c:v>
              </c:pt>
              <c:pt idx="129">
                <c:v>5590</c:v>
              </c:pt>
              <c:pt idx="130">
                <c:v>2389</c:v>
              </c:pt>
              <c:pt idx="131">
                <c:v>6265</c:v>
              </c:pt>
              <c:pt idx="132">
                <c:v>868</c:v>
              </c:pt>
              <c:pt idx="133">
                <c:v>2701</c:v>
              </c:pt>
              <c:pt idx="134">
                <c:v>6577</c:v>
              </c:pt>
              <c:pt idx="135">
                <c:v>118</c:v>
              </c:pt>
              <c:pt idx="136">
                <c:v>2139</c:v>
              </c:pt>
              <c:pt idx="137">
                <c:v>6765</c:v>
              </c:pt>
              <c:pt idx="138">
                <c:v>-194</c:v>
              </c:pt>
              <c:pt idx="139">
                <c:v>2139</c:v>
              </c:pt>
              <c:pt idx="140">
                <c:v>6140</c:v>
              </c:pt>
              <c:pt idx="141">
                <c:v>-341</c:v>
              </c:pt>
              <c:pt idx="142">
                <c:v>588</c:v>
              </c:pt>
              <c:pt idx="143">
                <c:v>366</c:v>
              </c:pt>
              <c:pt idx="144">
                <c:v>11331</c:v>
              </c:pt>
              <c:pt idx="145">
                <c:v>699</c:v>
              </c:pt>
              <c:pt idx="146">
                <c:v>-466</c:v>
              </c:pt>
              <c:pt idx="147">
                <c:v>776</c:v>
              </c:pt>
              <c:pt idx="148">
                <c:v>-259</c:v>
              </c:pt>
              <c:pt idx="149">
                <c:v>11519</c:v>
              </c:pt>
              <c:pt idx="150">
                <c:v>136</c:v>
              </c:pt>
              <c:pt idx="151">
                <c:v>-29</c:v>
              </c:pt>
              <c:pt idx="152">
                <c:v>366</c:v>
              </c:pt>
              <c:pt idx="153">
                <c:v>12394</c:v>
              </c:pt>
              <c:pt idx="154">
                <c:v>449</c:v>
              </c:pt>
              <c:pt idx="155">
                <c:v>721</c:v>
              </c:pt>
              <c:pt idx="156">
                <c:v>776</c:v>
              </c:pt>
              <c:pt idx="157">
                <c:v>-71</c:v>
              </c:pt>
              <c:pt idx="158">
                <c:v>13769</c:v>
              </c:pt>
              <c:pt idx="159">
                <c:v>261</c:v>
              </c:pt>
              <c:pt idx="160">
                <c:v>1284</c:v>
              </c:pt>
              <c:pt idx="161">
                <c:v>463</c:v>
              </c:pt>
              <c:pt idx="162">
                <c:v>491</c:v>
              </c:pt>
              <c:pt idx="163">
                <c:v>11956</c:v>
              </c:pt>
              <c:pt idx="164">
                <c:v>449</c:v>
              </c:pt>
              <c:pt idx="165">
                <c:v>788</c:v>
              </c:pt>
              <c:pt idx="166">
                <c:v>8916</c:v>
              </c:pt>
              <c:pt idx="167">
                <c:v>993</c:v>
              </c:pt>
              <c:pt idx="168">
                <c:v>6785</c:v>
              </c:pt>
              <c:pt idx="169">
                <c:v>1788</c:v>
              </c:pt>
              <c:pt idx="170">
                <c:v>1180</c:v>
              </c:pt>
              <c:pt idx="171">
                <c:v>5722</c:v>
              </c:pt>
              <c:pt idx="172">
                <c:v>788</c:v>
              </c:pt>
              <c:pt idx="173">
                <c:v>8041</c:v>
              </c:pt>
              <c:pt idx="174">
                <c:v>1493</c:v>
              </c:pt>
              <c:pt idx="175">
                <c:v>7785</c:v>
              </c:pt>
              <c:pt idx="176">
                <c:v>288</c:v>
              </c:pt>
              <c:pt idx="177">
                <c:v>7291</c:v>
              </c:pt>
              <c:pt idx="178">
                <c:v>1618</c:v>
              </c:pt>
              <c:pt idx="179">
                <c:v>7785</c:v>
              </c:pt>
              <c:pt idx="180">
                <c:v>475</c:v>
              </c:pt>
              <c:pt idx="181">
                <c:v>1305</c:v>
              </c:pt>
              <c:pt idx="182">
                <c:v>6597</c:v>
              </c:pt>
              <c:pt idx="183">
                <c:v>657</c:v>
              </c:pt>
              <c:pt idx="184">
                <c:v>572</c:v>
              </c:pt>
              <c:pt idx="185">
                <c:v>657</c:v>
              </c:pt>
              <c:pt idx="186">
                <c:v>759</c:v>
              </c:pt>
              <c:pt idx="187">
                <c:v>1532</c:v>
              </c:pt>
              <c:pt idx="188">
                <c:v>1072</c:v>
              </c:pt>
              <c:pt idx="189">
                <c:v>1094</c:v>
              </c:pt>
              <c:pt idx="190">
                <c:v>759</c:v>
              </c:pt>
              <c:pt idx="191">
                <c:v>1407</c:v>
              </c:pt>
              <c:pt idx="192">
                <c:v>759</c:v>
              </c:pt>
              <c:pt idx="193">
                <c:v>3245</c:v>
              </c:pt>
              <c:pt idx="194">
                <c:v>425</c:v>
              </c:pt>
              <c:pt idx="195">
                <c:v>534</c:v>
              </c:pt>
              <c:pt idx="196">
                <c:v>4182</c:v>
              </c:pt>
              <c:pt idx="197">
                <c:v>2175</c:v>
              </c:pt>
              <c:pt idx="198">
                <c:v>534</c:v>
              </c:pt>
              <c:pt idx="199">
                <c:v>3432</c:v>
              </c:pt>
              <c:pt idx="200">
                <c:v>2175</c:v>
              </c:pt>
              <c:pt idx="201">
                <c:v>409</c:v>
              </c:pt>
              <c:pt idx="202">
                <c:v>3557</c:v>
              </c:pt>
              <c:pt idx="203">
                <c:v>987</c:v>
              </c:pt>
              <c:pt idx="204">
                <c:v>1409</c:v>
              </c:pt>
              <c:pt idx="205">
                <c:v>2050</c:v>
              </c:pt>
              <c:pt idx="206">
                <c:v>659</c:v>
              </c:pt>
              <c:pt idx="207">
                <c:v>326</c:v>
              </c:pt>
              <c:pt idx="208">
                <c:v>-948</c:v>
              </c:pt>
              <c:pt idx="209">
                <c:v>639</c:v>
              </c:pt>
              <c:pt idx="210">
                <c:v>-511</c:v>
              </c:pt>
              <c:pt idx="211">
                <c:v>14</c:v>
              </c:pt>
              <c:pt idx="212">
                <c:v>-511</c:v>
              </c:pt>
              <c:pt idx="213">
                <c:v>889</c:v>
              </c:pt>
              <c:pt idx="214">
                <c:v>-198</c:v>
              </c:pt>
              <c:pt idx="215">
                <c:v>1201</c:v>
              </c:pt>
              <c:pt idx="216">
                <c:v>-948</c:v>
              </c:pt>
              <c:pt idx="217">
                <c:v>1836</c:v>
              </c:pt>
              <c:pt idx="218">
                <c:v>899</c:v>
              </c:pt>
              <c:pt idx="219">
                <c:v>2274</c:v>
              </c:pt>
              <c:pt idx="220">
                <c:v>337</c:v>
              </c:pt>
              <c:pt idx="221">
                <c:v>1211</c:v>
              </c:pt>
              <c:pt idx="222">
                <c:v>149</c:v>
              </c:pt>
              <c:pt idx="223">
                <c:v>4399</c:v>
              </c:pt>
              <c:pt idx="224">
                <c:v>337</c:v>
              </c:pt>
              <c:pt idx="225">
                <c:v>4524</c:v>
              </c:pt>
              <c:pt idx="226">
                <c:v>149</c:v>
              </c:pt>
              <c:pt idx="227">
                <c:v>-187</c:v>
              </c:pt>
              <c:pt idx="228">
                <c:v>3520</c:v>
              </c:pt>
              <c:pt idx="229">
                <c:v>66</c:v>
              </c:pt>
              <c:pt idx="230">
                <c:v>1001</c:v>
              </c:pt>
              <c:pt idx="231">
                <c:v>1457</c:v>
              </c:pt>
              <c:pt idx="232">
                <c:v>-872</c:v>
              </c:pt>
              <c:pt idx="233">
                <c:v>751</c:v>
              </c:pt>
              <c:pt idx="234">
                <c:v>1145</c:v>
              </c:pt>
              <c:pt idx="235">
                <c:v>-122</c:v>
              </c:pt>
              <c:pt idx="236">
                <c:v>-187</c:v>
              </c:pt>
              <c:pt idx="237">
                <c:v>1020</c:v>
              </c:pt>
              <c:pt idx="238">
                <c:v>191</c:v>
              </c:pt>
              <c:pt idx="239">
                <c:v>-312</c:v>
              </c:pt>
              <c:pt idx="240">
                <c:v>270</c:v>
              </c:pt>
              <c:pt idx="241">
                <c:v>316</c:v>
              </c:pt>
              <c:pt idx="242">
                <c:v>12956</c:v>
              </c:pt>
              <c:pt idx="243">
                <c:v>6106</c:v>
              </c:pt>
              <c:pt idx="244">
                <c:v>7486</c:v>
              </c:pt>
              <c:pt idx="245">
                <c:v>12206</c:v>
              </c:pt>
              <c:pt idx="246">
                <c:v>5794</c:v>
              </c:pt>
              <c:pt idx="247">
                <c:v>7611</c:v>
              </c:pt>
              <c:pt idx="248">
                <c:v>11019</c:v>
              </c:pt>
              <c:pt idx="249">
                <c:v>8481</c:v>
              </c:pt>
              <c:pt idx="250">
                <c:v>7486</c:v>
              </c:pt>
              <c:pt idx="251">
                <c:v>11581</c:v>
              </c:pt>
              <c:pt idx="252">
                <c:v>11356</c:v>
              </c:pt>
              <c:pt idx="253">
                <c:v>8048</c:v>
              </c:pt>
              <c:pt idx="254">
                <c:v>11894</c:v>
              </c:pt>
              <c:pt idx="255">
                <c:v>9981</c:v>
              </c:pt>
              <c:pt idx="256">
                <c:v>8048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760-4794-8454-1942391F6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270136"/>
        <c:axId val="597269496"/>
      </c:scatterChart>
      <c:valAx>
        <c:axId val="597270136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69496"/>
        <c:crosses val="autoZero"/>
        <c:crossBetween val="midCat"/>
      </c:valAx>
      <c:valAx>
        <c:axId val="597269496"/>
        <c:scaling>
          <c:orientation val="minMax"/>
          <c:max val="18000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70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RSS REAL VS ESTIMATED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 estimate'!$J$2:$J$75</c:f>
              <c:numCache>
                <c:formatCode>General</c:formatCode>
                <c:ptCount val="74"/>
                <c:pt idx="0">
                  <c:v>28668</c:v>
                </c:pt>
                <c:pt idx="1">
                  <c:v>25041</c:v>
                </c:pt>
                <c:pt idx="2">
                  <c:v>46394</c:v>
                </c:pt>
                <c:pt idx="3">
                  <c:v>39481</c:v>
                </c:pt>
                <c:pt idx="4">
                  <c:v>28178</c:v>
                </c:pt>
                <c:pt idx="5">
                  <c:v>16841</c:v>
                </c:pt>
                <c:pt idx="6">
                  <c:v>11448</c:v>
                </c:pt>
                <c:pt idx="7">
                  <c:v>7163</c:v>
                </c:pt>
                <c:pt idx="8">
                  <c:v>2934</c:v>
                </c:pt>
                <c:pt idx="9">
                  <c:v>11264</c:v>
                </c:pt>
                <c:pt idx="11">
                  <c:v>48297</c:v>
                </c:pt>
                <c:pt idx="12">
                  <c:v>45999</c:v>
                </c:pt>
                <c:pt idx="13">
                  <c:v>44214</c:v>
                </c:pt>
                <c:pt idx="14">
                  <c:v>34287</c:v>
                </c:pt>
                <c:pt idx="15">
                  <c:v>26347</c:v>
                </c:pt>
                <c:pt idx="16">
                  <c:v>21331</c:v>
                </c:pt>
                <c:pt idx="17">
                  <c:v>11638</c:v>
                </c:pt>
                <c:pt idx="18">
                  <c:v>7611</c:v>
                </c:pt>
                <c:pt idx="19">
                  <c:v>5321</c:v>
                </c:pt>
                <c:pt idx="20">
                  <c:v>10507</c:v>
                </c:pt>
                <c:pt idx="21">
                  <c:v>26262</c:v>
                </c:pt>
                <c:pt idx="22">
                  <c:v>45713</c:v>
                </c:pt>
                <c:pt idx="23">
                  <c:v>46257</c:v>
                </c:pt>
                <c:pt idx="24">
                  <c:v>39086</c:v>
                </c:pt>
                <c:pt idx="26">
                  <c:v>33978</c:v>
                </c:pt>
                <c:pt idx="27">
                  <c:v>30885</c:v>
                </c:pt>
                <c:pt idx="28">
                  <c:v>26865</c:v>
                </c:pt>
                <c:pt idx="29">
                  <c:v>23586</c:v>
                </c:pt>
                <c:pt idx="30">
                  <c:v>13854</c:v>
                </c:pt>
                <c:pt idx="31">
                  <c:v>5093</c:v>
                </c:pt>
                <c:pt idx="32">
                  <c:v>6827</c:v>
                </c:pt>
                <c:pt idx="33">
                  <c:v>13814</c:v>
                </c:pt>
                <c:pt idx="34">
                  <c:v>20235</c:v>
                </c:pt>
                <c:pt idx="35">
                  <c:v>25051</c:v>
                </c:pt>
                <c:pt idx="36">
                  <c:v>18715</c:v>
                </c:pt>
                <c:pt idx="38">
                  <c:v>10485</c:v>
                </c:pt>
                <c:pt idx="39">
                  <c:v>8196</c:v>
                </c:pt>
                <c:pt idx="40">
                  <c:v>18485</c:v>
                </c:pt>
                <c:pt idx="41">
                  <c:v>24694</c:v>
                </c:pt>
                <c:pt idx="42">
                  <c:v>31665</c:v>
                </c:pt>
                <c:pt idx="43">
                  <c:v>32134</c:v>
                </c:pt>
                <c:pt idx="44">
                  <c:v>38858</c:v>
                </c:pt>
                <c:pt idx="45">
                  <c:v>37505</c:v>
                </c:pt>
                <c:pt idx="46">
                  <c:v>31438</c:v>
                </c:pt>
                <c:pt idx="47">
                  <c:v>24103</c:v>
                </c:pt>
                <c:pt idx="48">
                  <c:v>23249</c:v>
                </c:pt>
                <c:pt idx="49">
                  <c:v>14481</c:v>
                </c:pt>
                <c:pt idx="51">
                  <c:v>40599</c:v>
                </c:pt>
                <c:pt idx="52">
                  <c:v>37356</c:v>
                </c:pt>
                <c:pt idx="53">
                  <c:v>35694</c:v>
                </c:pt>
                <c:pt idx="54">
                  <c:v>24466</c:v>
                </c:pt>
                <c:pt idx="55">
                  <c:v>20962</c:v>
                </c:pt>
                <c:pt idx="56">
                  <c:v>7593</c:v>
                </c:pt>
                <c:pt idx="57">
                  <c:v>17575</c:v>
                </c:pt>
                <c:pt idx="58">
                  <c:v>19611</c:v>
                </c:pt>
                <c:pt idx="59">
                  <c:v>24101</c:v>
                </c:pt>
                <c:pt idx="60">
                  <c:v>17730</c:v>
                </c:pt>
                <c:pt idx="61">
                  <c:v>31831</c:v>
                </c:pt>
                <c:pt idx="63">
                  <c:v>30157</c:v>
                </c:pt>
                <c:pt idx="64">
                  <c:v>23979</c:v>
                </c:pt>
                <c:pt idx="65">
                  <c:v>18502</c:v>
                </c:pt>
                <c:pt idx="66">
                  <c:v>13489</c:v>
                </c:pt>
                <c:pt idx="67">
                  <c:v>5861</c:v>
                </c:pt>
                <c:pt idx="68">
                  <c:v>6186</c:v>
                </c:pt>
                <c:pt idx="69">
                  <c:v>14170</c:v>
                </c:pt>
                <c:pt idx="70">
                  <c:v>24220</c:v>
                </c:pt>
                <c:pt idx="71">
                  <c:v>30972</c:v>
                </c:pt>
                <c:pt idx="72">
                  <c:v>35974</c:v>
                </c:pt>
                <c:pt idx="73">
                  <c:v>28709</c:v>
                </c:pt>
              </c:numCache>
            </c:numRef>
          </c:xVal>
          <c:yVal>
            <c:numRef>
              <c:f>'n estimate'!$M$2:$M$75</c:f>
              <c:numCache>
                <c:formatCode>General</c:formatCode>
                <c:ptCount val="74"/>
                <c:pt idx="0">
                  <c:v>76151.819141215106</c:v>
                </c:pt>
                <c:pt idx="1">
                  <c:v>50890.914614191272</c:v>
                </c:pt>
                <c:pt idx="2">
                  <c:v>68852.589084801584</c:v>
                </c:pt>
                <c:pt idx="3">
                  <c:v>68852.589084801584</c:v>
                </c:pt>
                <c:pt idx="4">
                  <c:v>37614.928134061927</c:v>
                </c:pt>
                <c:pt idx="5">
                  <c:v>7502.3985479051207</c:v>
                </c:pt>
                <c:pt idx="6">
                  <c:v>8297.7460243611695</c:v>
                </c:pt>
                <c:pt idx="7">
                  <c:v>5013.720331421885</c:v>
                </c:pt>
                <c:pt idx="8">
                  <c:v>2239.1338350848719</c:v>
                </c:pt>
                <c:pt idx="9">
                  <c:v>11226.390833739673</c:v>
                </c:pt>
                <c:pt idx="11">
                  <c:v>48141.832379986772</c:v>
                </c:pt>
                <c:pt idx="12">
                  <c:v>61647.813389430783</c:v>
                </c:pt>
                <c:pt idx="13">
                  <c:v>8526.2329104527926</c:v>
                </c:pt>
                <c:pt idx="14">
                  <c:v>15182.583099644615</c:v>
                </c:pt>
                <c:pt idx="15">
                  <c:v>48141.832379986772</c:v>
                </c:pt>
                <c:pt idx="16">
                  <c:v>56770.056114109655</c:v>
                </c:pt>
                <c:pt idx="17">
                  <c:v>10918.230349639254</c:v>
                </c:pt>
                <c:pt idx="18">
                  <c:v>8526.2329104527926</c:v>
                </c:pt>
                <c:pt idx="19">
                  <c:v>7851.6121522545154</c:v>
                </c:pt>
                <c:pt idx="20">
                  <c:v>3443.3034928136944</c:v>
                </c:pt>
                <c:pt idx="21">
                  <c:v>56770.056114109655</c:v>
                </c:pt>
                <c:pt idx="22">
                  <c:v>27035.48354807643</c:v>
                </c:pt>
                <c:pt idx="23">
                  <c:v>66944.673932663558</c:v>
                </c:pt>
                <c:pt idx="24">
                  <c:v>56770.056114109655</c:v>
                </c:pt>
                <c:pt idx="26">
                  <c:v>52403.34475934723</c:v>
                </c:pt>
                <c:pt idx="27">
                  <c:v>24944.752182740842</c:v>
                </c:pt>
                <c:pt idx="28">
                  <c:v>11874.063846799863</c:v>
                </c:pt>
                <c:pt idx="29">
                  <c:v>12894.940992032025</c:v>
                </c:pt>
                <c:pt idx="30">
                  <c:v>14003.588437230892</c:v>
                </c:pt>
                <c:pt idx="31">
                  <c:v>10068.375893069306</c:v>
                </c:pt>
                <c:pt idx="32">
                  <c:v>5204.746556534481</c:v>
                </c:pt>
                <c:pt idx="33">
                  <c:v>22969.905813720943</c:v>
                </c:pt>
                <c:pt idx="34">
                  <c:v>22969.905813720943</c:v>
                </c:pt>
                <c:pt idx="35">
                  <c:v>14003.588437230892</c:v>
                </c:pt>
                <c:pt idx="36">
                  <c:v>21151.405683487479</c:v>
                </c:pt>
                <c:pt idx="38">
                  <c:v>5000.7347699297252</c:v>
                </c:pt>
                <c:pt idx="39">
                  <c:v>5000.7347699297252</c:v>
                </c:pt>
                <c:pt idx="40">
                  <c:v>60608.877869355652</c:v>
                </c:pt>
                <c:pt idx="41">
                  <c:v>47608.135166613021</c:v>
                </c:pt>
                <c:pt idx="42">
                  <c:v>40530.110537357294</c:v>
                </c:pt>
                <c:pt idx="43">
                  <c:v>27103.122808365973</c:v>
                </c:pt>
                <c:pt idx="44">
                  <c:v>65688.286677132128</c:v>
                </c:pt>
                <c:pt idx="45">
                  <c:v>29374.536593782177</c:v>
                </c:pt>
                <c:pt idx="46">
                  <c:v>40530.110537357294</c:v>
                </c:pt>
                <c:pt idx="47">
                  <c:v>43926.791150507139</c:v>
                </c:pt>
                <c:pt idx="48">
                  <c:v>6899.864865822592</c:v>
                </c:pt>
                <c:pt idx="49">
                  <c:v>13135.726987987258</c:v>
                </c:pt>
                <c:pt idx="51">
                  <c:v>120272.16711047394</c:v>
                </c:pt>
                <c:pt idx="52">
                  <c:v>39822.36310057027</c:v>
                </c:pt>
                <c:pt idx="53">
                  <c:v>19059.066367356161</c:v>
                </c:pt>
                <c:pt idx="54">
                  <c:v>22914.372762314859</c:v>
                </c:pt>
                <c:pt idx="55">
                  <c:v>15852.409078056324</c:v>
                </c:pt>
                <c:pt idx="56">
                  <c:v>17381.948012267057</c:v>
                </c:pt>
                <c:pt idx="57">
                  <c:v>8319.0367162060302</c:v>
                </c:pt>
                <c:pt idx="58">
                  <c:v>19059.066367356161</c:v>
                </c:pt>
                <c:pt idx="59">
                  <c:v>22914.372762314859</c:v>
                </c:pt>
                <c:pt idx="60">
                  <c:v>8319.0367162060302</c:v>
                </c:pt>
                <c:pt idx="61">
                  <c:v>47877.711047044359</c:v>
                </c:pt>
                <c:pt idx="63">
                  <c:v>25527.997724191584</c:v>
                </c:pt>
                <c:pt idx="64">
                  <c:v>8949.6376108489058</c:v>
                </c:pt>
                <c:pt idx="65">
                  <c:v>11911.158044929898</c:v>
                </c:pt>
                <c:pt idx="66">
                  <c:v>17437.546142260289</c:v>
                </c:pt>
                <c:pt idx="67">
                  <c:v>1948.4080697437621</c:v>
                </c:pt>
                <c:pt idx="68">
                  <c:v>8949.6376108489058</c:v>
                </c:pt>
                <c:pt idx="69">
                  <c:v>15852.673833330862</c:v>
                </c:pt>
                <c:pt idx="70">
                  <c:v>41108.438529540086</c:v>
                </c:pt>
                <c:pt idx="71">
                  <c:v>80096.013365521299</c:v>
                </c:pt>
                <c:pt idx="72">
                  <c:v>33975.45562010914</c:v>
                </c:pt>
                <c:pt idx="73">
                  <c:v>96911.78475172352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E-43E1-86AC-C62A9F6463BC}"/>
            </c:ext>
          </c:extLst>
        </c:ser>
        <c:ser>
          <c:idx val="1"/>
          <c:order val="1"/>
          <c:tx>
            <c:v>x=y line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66DE-43E1-86AC-C62A9F646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457040"/>
        <c:axId val="594455760"/>
      </c:scatterChart>
      <c:valAx>
        <c:axId val="594457040"/>
        <c:scaling>
          <c:orientation val="minMax"/>
          <c:max val="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55760"/>
        <c:crosses val="autoZero"/>
        <c:crossBetween val="midCat"/>
      </c:valAx>
      <c:valAx>
        <c:axId val="594455760"/>
        <c:scaling>
          <c:orientation val="minMax"/>
          <c:max val="1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5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Path</a:t>
            </a:r>
            <a:r>
              <a:rPr lang="en-GB" baseline="0"/>
              <a:t> Loss Exponent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 estimate'!$J$2:$J$75</c:f>
              <c:numCache>
                <c:formatCode>General</c:formatCode>
                <c:ptCount val="74"/>
                <c:pt idx="0">
                  <c:v>28668</c:v>
                </c:pt>
                <c:pt idx="1">
                  <c:v>25041</c:v>
                </c:pt>
                <c:pt idx="2">
                  <c:v>46394</c:v>
                </c:pt>
                <c:pt idx="3">
                  <c:v>39481</c:v>
                </c:pt>
                <c:pt idx="4">
                  <c:v>28178</c:v>
                </c:pt>
                <c:pt idx="5">
                  <c:v>16841</c:v>
                </c:pt>
                <c:pt idx="6">
                  <c:v>11448</c:v>
                </c:pt>
                <c:pt idx="7">
                  <c:v>7163</c:v>
                </c:pt>
                <c:pt idx="8">
                  <c:v>2934</c:v>
                </c:pt>
                <c:pt idx="9">
                  <c:v>11264</c:v>
                </c:pt>
                <c:pt idx="11">
                  <c:v>48297</c:v>
                </c:pt>
                <c:pt idx="12">
                  <c:v>45999</c:v>
                </c:pt>
                <c:pt idx="13">
                  <c:v>44214</c:v>
                </c:pt>
                <c:pt idx="14">
                  <c:v>34287</c:v>
                </c:pt>
                <c:pt idx="15">
                  <c:v>26347</c:v>
                </c:pt>
                <c:pt idx="16">
                  <c:v>21331</c:v>
                </c:pt>
                <c:pt idx="17">
                  <c:v>11638</c:v>
                </c:pt>
                <c:pt idx="18">
                  <c:v>7611</c:v>
                </c:pt>
                <c:pt idx="19">
                  <c:v>5321</c:v>
                </c:pt>
                <c:pt idx="20">
                  <c:v>10507</c:v>
                </c:pt>
                <c:pt idx="21">
                  <c:v>26262</c:v>
                </c:pt>
                <c:pt idx="22">
                  <c:v>45713</c:v>
                </c:pt>
                <c:pt idx="23">
                  <c:v>46257</c:v>
                </c:pt>
                <c:pt idx="24">
                  <c:v>39086</c:v>
                </c:pt>
                <c:pt idx="26">
                  <c:v>33978</c:v>
                </c:pt>
                <c:pt idx="27">
                  <c:v>30885</c:v>
                </c:pt>
                <c:pt idx="28">
                  <c:v>26865</c:v>
                </c:pt>
                <c:pt idx="29">
                  <c:v>23586</c:v>
                </c:pt>
                <c:pt idx="30">
                  <c:v>13854</c:v>
                </c:pt>
                <c:pt idx="31">
                  <c:v>5093</c:v>
                </c:pt>
                <c:pt idx="32">
                  <c:v>6827</c:v>
                </c:pt>
                <c:pt idx="33">
                  <c:v>13814</c:v>
                </c:pt>
                <c:pt idx="34">
                  <c:v>20235</c:v>
                </c:pt>
                <c:pt idx="35">
                  <c:v>25051</c:v>
                </c:pt>
                <c:pt idx="36">
                  <c:v>18715</c:v>
                </c:pt>
                <c:pt idx="38">
                  <c:v>10485</c:v>
                </c:pt>
                <c:pt idx="39">
                  <c:v>8196</c:v>
                </c:pt>
                <c:pt idx="40">
                  <c:v>18485</c:v>
                </c:pt>
                <c:pt idx="41">
                  <c:v>24694</c:v>
                </c:pt>
                <c:pt idx="42">
                  <c:v>31665</c:v>
                </c:pt>
                <c:pt idx="43">
                  <c:v>32134</c:v>
                </c:pt>
                <c:pt idx="44">
                  <c:v>38858</c:v>
                </c:pt>
                <c:pt idx="45">
                  <c:v>37505</c:v>
                </c:pt>
                <c:pt idx="46">
                  <c:v>31438</c:v>
                </c:pt>
                <c:pt idx="47">
                  <c:v>24103</c:v>
                </c:pt>
                <c:pt idx="48">
                  <c:v>23249</c:v>
                </c:pt>
                <c:pt idx="49">
                  <c:v>14481</c:v>
                </c:pt>
                <c:pt idx="51">
                  <c:v>40599</c:v>
                </c:pt>
                <c:pt idx="52">
                  <c:v>37356</c:v>
                </c:pt>
                <c:pt idx="53">
                  <c:v>35694</c:v>
                </c:pt>
                <c:pt idx="54">
                  <c:v>24466</c:v>
                </c:pt>
                <c:pt idx="55">
                  <c:v>20962</c:v>
                </c:pt>
                <c:pt idx="56">
                  <c:v>7593</c:v>
                </c:pt>
                <c:pt idx="57">
                  <c:v>17575</c:v>
                </c:pt>
                <c:pt idx="58">
                  <c:v>19611</c:v>
                </c:pt>
                <c:pt idx="59">
                  <c:v>24101</c:v>
                </c:pt>
                <c:pt idx="60">
                  <c:v>17730</c:v>
                </c:pt>
                <c:pt idx="61">
                  <c:v>31831</c:v>
                </c:pt>
                <c:pt idx="63">
                  <c:v>30157</c:v>
                </c:pt>
                <c:pt idx="64">
                  <c:v>23979</c:v>
                </c:pt>
                <c:pt idx="65">
                  <c:v>18502</c:v>
                </c:pt>
                <c:pt idx="66">
                  <c:v>13489</c:v>
                </c:pt>
                <c:pt idx="67">
                  <c:v>5861</c:v>
                </c:pt>
                <c:pt idx="68">
                  <c:v>6186</c:v>
                </c:pt>
                <c:pt idx="69">
                  <c:v>14170</c:v>
                </c:pt>
                <c:pt idx="70">
                  <c:v>24220</c:v>
                </c:pt>
                <c:pt idx="71">
                  <c:v>30972</c:v>
                </c:pt>
                <c:pt idx="72">
                  <c:v>35974</c:v>
                </c:pt>
                <c:pt idx="73">
                  <c:v>28709</c:v>
                </c:pt>
              </c:numCache>
            </c:numRef>
          </c:xVal>
          <c:yVal>
            <c:numRef>
              <c:f>'n estimate'!$L$2:$L$75</c:f>
              <c:numCache>
                <c:formatCode>General</c:formatCode>
                <c:ptCount val="74"/>
                <c:pt idx="0">
                  <c:v>2.9504649949281654</c:v>
                </c:pt>
                <c:pt idx="1">
                  <c:v>2.7883997771659814</c:v>
                </c:pt>
                <c:pt idx="2">
                  <c:v>2.5203097690239793</c:v>
                </c:pt>
                <c:pt idx="3">
                  <c:v>2.6309391078813791</c:v>
                </c:pt>
                <c:pt idx="4">
                  <c:v>2.4829124503144113</c:v>
                </c:pt>
                <c:pt idx="5">
                  <c:v>1.6308320197992916</c:v>
                </c:pt>
                <c:pt idx="6">
                  <c:v>1.9835092537686405</c:v>
                </c:pt>
                <c:pt idx="7">
                  <c:v>1.8711372319905053</c:v>
                </c:pt>
                <c:pt idx="8">
                  <c:v>1.7113759735419067</c:v>
                </c:pt>
                <c:pt idx="9">
                  <c:v>2.2820355535594654</c:v>
                </c:pt>
                <c:pt idx="11">
                  <c:v>2.7911062087842957</c:v>
                </c:pt>
                <c:pt idx="12">
                  <c:v>3.0070695174833544</c:v>
                </c:pt>
                <c:pt idx="13">
                  <c:v>1.5800094223787966</c:v>
                </c:pt>
                <c:pt idx="14">
                  <c:v>2.149655795820669</c:v>
                </c:pt>
                <c:pt idx="15">
                  <c:v>3.3081557542170734</c:v>
                </c:pt>
                <c:pt idx="16">
                  <c:v>3.6869515788036202</c:v>
                </c:pt>
                <c:pt idx="17">
                  <c:v>2.7207607624507242</c:v>
                </c:pt>
                <c:pt idx="18">
                  <c:v>2.949712879795896</c:v>
                </c:pt>
                <c:pt idx="19">
                  <c:v>3.443558145020218</c:v>
                </c:pt>
                <c:pt idx="20">
                  <c:v>1.4684593546895617</c:v>
                </c:pt>
                <c:pt idx="21">
                  <c:v>3.4523385016260577</c:v>
                </c:pt>
                <c:pt idx="22">
                  <c:v>2.4095808932341165</c:v>
                </c:pt>
                <c:pt idx="23">
                  <c:v>3.062736622874886</c:v>
                </c:pt>
                <c:pt idx="24">
                  <c:v>3.0778484072799821</c:v>
                </c:pt>
                <c:pt idx="26">
                  <c:v>3.1348007176803034</c:v>
                </c:pt>
                <c:pt idx="27">
                  <c:v>2.6178931150127891</c:v>
                </c:pt>
                <c:pt idx="28">
                  <c:v>2.0990957275429003</c:v>
                </c:pt>
                <c:pt idx="29">
                  <c:v>2.2583982092871304</c:v>
                </c:pt>
                <c:pt idx="30">
                  <c:v>2.8031443279515993</c:v>
                </c:pt>
                <c:pt idx="31">
                  <c:v>3.9605435030401877</c:v>
                </c:pt>
                <c:pt idx="32">
                  <c:v>2.3974206548618429</c:v>
                </c:pt>
                <c:pt idx="33">
                  <c:v>3.3323995257946941</c:v>
                </c:pt>
                <c:pt idx="34">
                  <c:v>2.9094178581047858</c:v>
                </c:pt>
                <c:pt idx="35">
                  <c:v>2.2876341549620425</c:v>
                </c:pt>
                <c:pt idx="36">
                  <c:v>2.9083709903431472</c:v>
                </c:pt>
                <c:pt idx="38">
                  <c:v>1.9596921987786817</c:v>
                </c:pt>
                <c:pt idx="39">
                  <c:v>2.1891371845177341</c:v>
                </c:pt>
                <c:pt idx="40">
                  <c:v>4.0258301845907827</c:v>
                </c:pt>
                <c:pt idx="41">
                  <c:v>3.4468113539971603</c:v>
                </c:pt>
                <c:pt idx="42">
                  <c:v>3.0654823842455894</c:v>
                </c:pt>
                <c:pt idx="43">
                  <c:v>2.7207005956470245</c:v>
                </c:pt>
                <c:pt idx="44">
                  <c:v>3.2715092657016305</c:v>
                </c:pt>
                <c:pt idx="45">
                  <c:v>2.6682097053862663</c:v>
                </c:pt>
                <c:pt idx="46">
                  <c:v>3.0718788061460063</c:v>
                </c:pt>
                <c:pt idx="47">
                  <c:v>3.4006933488454991</c:v>
                </c:pt>
                <c:pt idx="48">
                  <c:v>1.756434782541566</c:v>
                </c:pt>
                <c:pt idx="49">
                  <c:v>2.7567229389162633</c:v>
                </c:pt>
                <c:pt idx="51">
                  <c:v>3.2327947902536351</c:v>
                </c:pt>
                <c:pt idx="52">
                  <c:v>2.5439460855391234</c:v>
                </c:pt>
                <c:pt idx="53">
                  <c:v>2.0610652153270204</c:v>
                </c:pt>
                <c:pt idx="54">
                  <c:v>2.448574583964823</c:v>
                </c:pt>
                <c:pt idx="55">
                  <c:v>2.2702631486302547</c:v>
                </c:pt>
                <c:pt idx="56">
                  <c:v>3.5210731690701942</c:v>
                </c:pt>
                <c:pt idx="57">
                  <c:v>1.8475448800817014</c:v>
                </c:pt>
                <c:pt idx="58">
                  <c:v>2.4758225489302204</c:v>
                </c:pt>
                <c:pt idx="59">
                  <c:v>2.4601401887091416</c:v>
                </c:pt>
                <c:pt idx="60">
                  <c:v>1.8419027067134017</c:v>
                </c:pt>
                <c:pt idx="61">
                  <c:v>2.794689563321386</c:v>
                </c:pt>
                <c:pt idx="63">
                  <c:v>2.2982474424882873</c:v>
                </c:pt>
                <c:pt idx="64">
                  <c:v>1.6668707161748713</c:v>
                </c:pt>
                <c:pt idx="65">
                  <c:v>2.0517374372469241</c:v>
                </c:pt>
                <c:pt idx="66">
                  <c:v>2.6549148226791832</c:v>
                </c:pt>
                <c:pt idx="67">
                  <c:v>0.91149189548368481</c:v>
                </c:pt>
                <c:pt idx="68">
                  <c:v>2.9062056899566331</c:v>
                </c:pt>
                <c:pt idx="69">
                  <c:v>2.5187388738524912</c:v>
                </c:pt>
                <c:pt idx="70">
                  <c:v>2.8175645611767175</c:v>
                </c:pt>
                <c:pt idx="71">
                  <c:v>3.0852413610643539</c:v>
                </c:pt>
                <c:pt idx="72">
                  <c:v>2.377909253388176</c:v>
                </c:pt>
                <c:pt idx="73">
                  <c:v>3.2921402788237568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F-4154-9B38-DD3495DC3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2760"/>
        <c:axId val="395229560"/>
      </c:scatterChart>
      <c:valAx>
        <c:axId val="395232760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to access point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29560"/>
        <c:crosses val="autoZero"/>
        <c:crossBetween val="midCat"/>
      </c:valAx>
      <c:valAx>
        <c:axId val="39522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Path Loss Exponent estimate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3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409575</xdr:colOff>
      <xdr:row>5</xdr:row>
      <xdr:rowOff>47625</xdr:rowOff>
    </xdr:from>
    <xdr:to>
      <xdr:col>46</xdr:col>
      <xdr:colOff>57150</xdr:colOff>
      <xdr:row>61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49C4D1-53CD-B627-7D4E-C75DBFF34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607160</xdr:colOff>
      <xdr:row>32</xdr:row>
      <xdr:rowOff>57149</xdr:rowOff>
    </xdr:from>
    <xdr:to>
      <xdr:col>32</xdr:col>
      <xdr:colOff>400050</xdr:colOff>
      <xdr:row>109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F07FC6-3FAA-2105-4BF5-CB82ADA74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266699</xdr:colOff>
      <xdr:row>28</xdr:row>
      <xdr:rowOff>142874</xdr:rowOff>
    </xdr:from>
    <xdr:to>
      <xdr:col>41</xdr:col>
      <xdr:colOff>114300</xdr:colOff>
      <xdr:row>67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A5BD5-EE3B-6C5F-381B-3836ABDE5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204787</xdr:colOff>
      <xdr:row>70</xdr:row>
      <xdr:rowOff>66675</xdr:rowOff>
    </xdr:from>
    <xdr:to>
      <xdr:col>34</xdr:col>
      <xdr:colOff>414337</xdr:colOff>
      <xdr:row>87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4F11F4-CBDC-7A14-7251-19CFFAE1C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5DFED-DDBC-4B71-A7E6-09BE3EF59D21}" name="Table1" displayName="Table1" ref="A1:P356" totalsRowShown="0" headerRowDxfId="14">
  <autoFilter ref="A1:P356" xr:uid="{10A5DFED-DDBC-4B71-A7E6-09BE3EF59D21}"/>
  <sortState xmlns:xlrd2="http://schemas.microsoft.com/office/spreadsheetml/2017/richdata2" ref="A2:O356">
    <sortCondition ref="A1:A356"/>
  </sortState>
  <tableColumns count="16">
    <tableColumn id="1" xr3:uid="{3B0E4979-9868-44E6-A17C-44F8BF40A863}" name="ID" dataDxfId="13" dataCellStyle="Column2_Style"/>
    <tableColumn id="2" xr3:uid="{A14C10DB-1AEF-4C98-B3A8-F115DDF35DA7}" name="Created" dataDxfId="12" dataCellStyle="Column2_Style"/>
    <tableColumn id="3" xr3:uid="{4DEE0B0E-A4F7-48E8-B716-207432EF7613}" name="BSSID" dataDxfId="11" dataCellStyle="Column6_Style"/>
    <tableColumn id="4" xr3:uid="{5366DCFA-5F0D-422D-A47B-AD3F22430856}" name="Position X" dataDxfId="10" dataCellStyle="Column7_Style"/>
    <tableColumn id="5" xr3:uid="{B1D4352D-90B4-4731-9A97-2455AFAE2EF4}" name="Position Y" dataDxfId="9" dataCellStyle="Column8_Style"/>
    <tableColumn id="6" xr3:uid="{0636BCB4-C057-4CF4-B893-CBAE63E1CB36}" name="Position Z" dataDxfId="8" dataCellStyle="Column9_Style"/>
    <tableColumn id="7" xr3:uid="{30E3D399-9036-45EB-A1FC-AE988C7BF56E}" name="Ap X" dataDxfId="7" dataCellStyle="Column14_Style"/>
    <tableColumn id="8" xr3:uid="{6F558036-230C-4325-A975-FE61FEF2784C}" name="Ap Y" dataDxfId="6" dataCellStyle="Column15_Style"/>
    <tableColumn id="9" xr3:uid="{8208F80E-4938-4AA4-AB74-A207E5B01F08}" name="Ap Z" dataDxfId="5" dataCellStyle="Column16_Style"/>
    <tableColumn id="10" xr3:uid="{3B00EE81-D766-46FB-9045-28588FFD140F}" name="Distance Actual">
      <calculatedColumnFormula>ROUND(SQRT((G2-D2)^2+(H2-E2)^2+(I2-F2)^2),0)</calculatedColumnFormula>
    </tableColumn>
    <tableColumn id="11" xr3:uid="{F6A6B750-36CE-42C4-B276-9EA41612C01C}" name="Distance Estimate" dataDxfId="4" dataCellStyle="Column10_Style"/>
    <tableColumn id="12" xr3:uid="{106FB8AD-3241-4397-A7B3-48C06A129B28}" name="Estimate error">
      <calculatedColumnFormula>ROUND(IF(N2,K2-J2,0),1)</calculatedColumnFormula>
    </tableColumn>
    <tableColumn id="13" xr3:uid="{994DD74C-6F55-4062-99E2-2725B5BF2580}" name="Standard Deviation" dataDxfId="3" dataCellStyle="Column11_Style"/>
    <tableColumn id="14" xr3:uid="{3533CB99-E21F-402C-89AD-8305090F0F80}" name="Success" dataDxfId="2" dataCellStyle="Column12_Style"/>
    <tableColumn id="15" xr3:uid="{818A8EFF-2AE8-4107-AFBF-7412395340FF}" name="RSS" dataDxfId="1" dataCellStyle="Column13_Style"/>
    <tableColumn id="16" xr3:uid="{36ACC4F1-5BBA-41E1-9652-6D96456C3472}" name="Includes 0" dataDxfId="0" dataCellStyle="Column15_Style">
      <calculatedColumnFormula>ABS(Table1[[#This Row],[Estimate error]])-Table1[[#This Row],[Standard Deviation]]&lt;0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1FAA-3511-490A-892E-D5B12E750424}">
  <dimension ref="A1:W470"/>
  <sheetViews>
    <sheetView topLeftCell="K1" zoomScaleNormal="100" workbookViewId="0">
      <pane ySplit="1" topLeftCell="A2" activePane="bottomLeft" state="frozen"/>
      <selection pane="bottomLeft" activeCell="T8" sqref="T8"/>
    </sheetView>
  </sheetViews>
  <sheetFormatPr defaultColWidth="9.140625" defaultRowHeight="12.75" x14ac:dyDescent="0.2"/>
  <cols>
    <col min="1" max="1" width="9.140625" style="1" customWidth="1"/>
    <col min="2" max="2" width="14.85546875" style="2" customWidth="1"/>
    <col min="3" max="3" width="16.7109375" style="3" customWidth="1"/>
    <col min="4" max="4" width="13" style="4" customWidth="1"/>
    <col min="5" max="5" width="12.85546875" style="5" customWidth="1"/>
    <col min="6" max="6" width="11" customWidth="1"/>
    <col min="9" max="9" width="16.5703125" customWidth="1"/>
    <col min="10" max="10" width="15.140625" style="6" customWidth="1"/>
    <col min="11" max="11" width="20.28515625" customWidth="1"/>
    <col min="12" max="12" width="16.28515625" style="7" customWidth="1"/>
    <col min="13" max="13" width="19.7109375" style="8" customWidth="1"/>
    <col min="14" max="14" width="9.85546875" style="9" customWidth="1"/>
    <col min="15" max="15" width="9.140625" style="25"/>
    <col min="16" max="16" width="9.140625" style="26"/>
    <col min="17" max="17" width="9.140625" style="24" customWidth="1"/>
    <col min="19" max="19" width="15" customWidth="1"/>
    <col min="20" max="20" width="14.85546875" customWidth="1"/>
    <col min="21" max="21" width="15.140625" style="22" customWidth="1"/>
    <col min="22" max="22" width="17.140625" style="23" customWidth="1"/>
    <col min="26" max="28" width="9.140625" customWidth="1"/>
  </cols>
  <sheetData>
    <row r="1" spans="1:23" x14ac:dyDescent="0.2">
      <c r="A1" s="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/>
      <c r="U1" s="10"/>
      <c r="V1" s="10"/>
    </row>
    <row r="2" spans="1:23" x14ac:dyDescent="0.2">
      <c r="A2" s="29">
        <v>1</v>
      </c>
      <c r="B2" s="13">
        <v>44693.476894097221</v>
      </c>
      <c r="C2" s="14" t="s">
        <v>16</v>
      </c>
      <c r="D2" s="15">
        <v>36940.122303513061</v>
      </c>
      <c r="E2" s="16">
        <v>12826.833532047085</v>
      </c>
      <c r="F2" s="17">
        <v>-323357.6121835087</v>
      </c>
      <c r="G2" s="25">
        <v>29805.999043266896</v>
      </c>
      <c r="H2" s="26">
        <v>11187</v>
      </c>
      <c r="I2" s="24">
        <v>-330864.9970057765</v>
      </c>
      <c r="J2">
        <f t="shared" ref="J2:J65" si="0">ROUND(SQRT((G2-D2)^2+(H2-E2)^2+(I2-F2)^2),0)</f>
        <v>10485</v>
      </c>
      <c r="K2" s="18">
        <v>10625</v>
      </c>
      <c r="L2">
        <f t="shared" ref="L2:L65" si="1">ROUND(IF(N2,K2-J2,0),1)</f>
        <v>140</v>
      </c>
      <c r="M2" s="19">
        <v>630</v>
      </c>
      <c r="N2" s="20" t="b">
        <v>1</v>
      </c>
      <c r="O2" s="21">
        <v>-61</v>
      </c>
      <c r="P2" s="26" t="b">
        <f>ABS(Table1[[#This Row],[Estimate error]])-Table1[[#This Row],[Standard Deviation]]&lt;0</f>
        <v>1</v>
      </c>
      <c r="U2" s="11"/>
      <c r="V2" s="12"/>
    </row>
    <row r="3" spans="1:23" x14ac:dyDescent="0.2">
      <c r="A3" s="29">
        <v>2</v>
      </c>
      <c r="B3" s="13">
        <v>44693.476894097221</v>
      </c>
      <c r="C3" s="14" t="s">
        <v>17</v>
      </c>
      <c r="D3" s="15">
        <v>36940.122303513061</v>
      </c>
      <c r="E3" s="16">
        <v>12826.833532047085</v>
      </c>
      <c r="F3" s="17">
        <v>-323357.6121835087</v>
      </c>
      <c r="G3" s="25">
        <v>32876.488350740532</v>
      </c>
      <c r="H3" s="26">
        <v>12372</v>
      </c>
      <c r="I3" s="24">
        <v>-351732.9374828916</v>
      </c>
      <c r="J3">
        <f t="shared" si="0"/>
        <v>28668</v>
      </c>
      <c r="K3" s="18">
        <v>0</v>
      </c>
      <c r="L3">
        <f t="shared" si="1"/>
        <v>0</v>
      </c>
      <c r="M3" s="19">
        <v>0</v>
      </c>
      <c r="N3" s="20" t="b">
        <v>0</v>
      </c>
      <c r="O3" s="21">
        <v>-86</v>
      </c>
      <c r="P3" s="26" t="b">
        <f>ABS(Table1[[#This Row],[Estimate error]])-Table1[[#This Row],[Standard Deviation]]&lt;0</f>
        <v>0</v>
      </c>
      <c r="U3" s="11"/>
      <c r="V3" s="12"/>
    </row>
    <row r="4" spans="1:23" x14ac:dyDescent="0.2">
      <c r="A4" s="29">
        <v>3</v>
      </c>
      <c r="B4" s="13">
        <v>44693.476894097221</v>
      </c>
      <c r="C4" s="14" t="s">
        <v>16</v>
      </c>
      <c r="D4" s="15">
        <v>36940.122303513061</v>
      </c>
      <c r="E4" s="16">
        <v>12826.833532047085</v>
      </c>
      <c r="F4" s="17">
        <v>-323357.6121835087</v>
      </c>
      <c r="G4" s="25">
        <v>29805.999043266896</v>
      </c>
      <c r="H4" s="26">
        <v>11187</v>
      </c>
      <c r="I4" s="24">
        <v>-330864.9970057765</v>
      </c>
      <c r="J4">
        <f t="shared" si="0"/>
        <v>10485</v>
      </c>
      <c r="K4" s="18">
        <v>10625</v>
      </c>
      <c r="L4">
        <f t="shared" si="1"/>
        <v>140</v>
      </c>
      <c r="M4" s="19">
        <v>810</v>
      </c>
      <c r="N4" s="20" t="b">
        <v>1</v>
      </c>
      <c r="O4" s="21">
        <v>-61</v>
      </c>
      <c r="P4" s="26" t="b">
        <f>ABS(Table1[[#This Row],[Estimate error]])-Table1[[#This Row],[Standard Deviation]]&lt;0</f>
        <v>1</v>
      </c>
      <c r="S4" t="s">
        <v>18</v>
      </c>
      <c r="T4">
        <f>AVERAGEIF(L2:L356,"&gt;0")</f>
        <v>3363.5367965367964</v>
      </c>
      <c r="U4" s="11" t="s">
        <v>19</v>
      </c>
      <c r="V4" s="30">
        <f>COUNTIF(N2:N356,"TRUE")/COUNTA(N1:N356)</f>
        <v>0.7219101123595506</v>
      </c>
    </row>
    <row r="5" spans="1:23" x14ac:dyDescent="0.2">
      <c r="A5" s="29">
        <v>4</v>
      </c>
      <c r="B5" s="13">
        <v>44693.476894097221</v>
      </c>
      <c r="C5" s="14" t="s">
        <v>17</v>
      </c>
      <c r="D5" s="15">
        <v>36940.122303513061</v>
      </c>
      <c r="E5" s="16">
        <v>12826.833532047085</v>
      </c>
      <c r="F5" s="17">
        <v>-323357.6121835087</v>
      </c>
      <c r="G5" s="25">
        <v>32876.488350740532</v>
      </c>
      <c r="H5" s="26">
        <v>12372</v>
      </c>
      <c r="I5" s="24">
        <v>-351732.9374828916</v>
      </c>
      <c r="J5">
        <f t="shared" si="0"/>
        <v>28668</v>
      </c>
      <c r="K5" s="18">
        <v>0</v>
      </c>
      <c r="L5">
        <f t="shared" si="1"/>
        <v>0</v>
      </c>
      <c r="M5" s="19">
        <v>0</v>
      </c>
      <c r="N5" s="20" t="b">
        <v>0</v>
      </c>
      <c r="O5" s="21">
        <v>-86</v>
      </c>
      <c r="P5" s="26" t="b">
        <f>ABS(Table1[[#This Row],[Estimate error]])-Table1[[#This Row],[Standard Deviation]]&lt;0</f>
        <v>0</v>
      </c>
      <c r="S5" t="s">
        <v>24</v>
      </c>
      <c r="T5" cm="1">
        <f t="array" ref="T5">MEDIAN(IF(L2:L356&gt;0,L2:L356))</f>
        <v>1838</v>
      </c>
      <c r="U5" s="11" t="s">
        <v>21</v>
      </c>
      <c r="V5" s="30">
        <f>COUNTIF(P2:P356,"TRUE")/COUNTA(P1:P356)</f>
        <v>0.199438202247191</v>
      </c>
    </row>
    <row r="6" spans="1:23" x14ac:dyDescent="0.2">
      <c r="A6" s="29">
        <v>5</v>
      </c>
      <c r="B6" s="13">
        <v>44693.476894097221</v>
      </c>
      <c r="C6" s="14" t="s">
        <v>16</v>
      </c>
      <c r="D6" s="15">
        <v>36940.122303513061</v>
      </c>
      <c r="E6" s="16">
        <v>12826.833532047085</v>
      </c>
      <c r="F6" s="17">
        <v>-323357.6121835087</v>
      </c>
      <c r="G6" s="25">
        <v>29805.999043266896</v>
      </c>
      <c r="H6" s="26">
        <v>11187</v>
      </c>
      <c r="I6" s="24">
        <v>-330864.9970057765</v>
      </c>
      <c r="J6">
        <f t="shared" si="0"/>
        <v>10485</v>
      </c>
      <c r="K6" s="18">
        <v>10750</v>
      </c>
      <c r="L6">
        <f t="shared" si="1"/>
        <v>265</v>
      </c>
      <c r="M6" s="19">
        <v>705</v>
      </c>
      <c r="N6" s="20" t="b">
        <v>1</v>
      </c>
      <c r="O6" s="21">
        <v>-61</v>
      </c>
      <c r="P6" s="26" t="b">
        <f>ABS(Table1[[#This Row],[Estimate error]])-Table1[[#This Row],[Standard Deviation]]&lt;0</f>
        <v>1</v>
      </c>
      <c r="Q6" s="26"/>
      <c r="S6" t="s">
        <v>20</v>
      </c>
      <c r="T6">
        <f>_xlfn.MINIFS(L2:L356,L2:L356,"&gt;0")</f>
        <v>14</v>
      </c>
      <c r="U6" s="11"/>
      <c r="V6" s="12" t="s">
        <v>23</v>
      </c>
      <c r="W6">
        <f>_xlfn.MAXIFS($O$2:$O$356,$N$2:$N$356,"=FALSE")</f>
        <v>-71</v>
      </c>
    </row>
    <row r="7" spans="1:23" x14ac:dyDescent="0.2">
      <c r="A7" s="29">
        <v>6</v>
      </c>
      <c r="B7" s="13">
        <v>44693.476894097221</v>
      </c>
      <c r="C7" s="14" t="s">
        <v>17</v>
      </c>
      <c r="D7" s="15">
        <v>36940.122303513061</v>
      </c>
      <c r="E7" s="16">
        <v>12826.833532047085</v>
      </c>
      <c r="F7" s="17">
        <v>-323357.6121835087</v>
      </c>
      <c r="G7" s="25">
        <v>32876.488350740532</v>
      </c>
      <c r="H7" s="26">
        <v>12372</v>
      </c>
      <c r="I7" s="24">
        <v>-351732.9374828916</v>
      </c>
      <c r="J7">
        <f t="shared" si="0"/>
        <v>28668</v>
      </c>
      <c r="K7" s="18">
        <v>0</v>
      </c>
      <c r="L7">
        <f t="shared" si="1"/>
        <v>0</v>
      </c>
      <c r="M7" s="19">
        <v>0</v>
      </c>
      <c r="N7" s="20" t="b">
        <v>0</v>
      </c>
      <c r="O7" s="21">
        <v>-86</v>
      </c>
      <c r="P7" s="26" t="b">
        <f>ABS(Table1[[#This Row],[Estimate error]])-Table1[[#This Row],[Standard Deviation]]&lt;0</f>
        <v>0</v>
      </c>
      <c r="S7" t="s">
        <v>22</v>
      </c>
      <c r="T7">
        <f>_xlfn.MAXIFS(L2:L356,L2:L356,"&gt;0")</f>
        <v>17403</v>
      </c>
      <c r="U7" s="11"/>
      <c r="V7" s="12" t="s">
        <v>25</v>
      </c>
      <c r="W7">
        <f>_xlfn.MINIFS($O$2:$O$356,$N$2:$N$356,"=TRUE")</f>
        <v>-90</v>
      </c>
    </row>
    <row r="8" spans="1:23" x14ac:dyDescent="0.2">
      <c r="A8" s="29">
        <v>7</v>
      </c>
      <c r="B8" s="13">
        <v>44693.476894097221</v>
      </c>
      <c r="C8" s="14" t="s">
        <v>16</v>
      </c>
      <c r="D8" s="15">
        <v>36940.122303513061</v>
      </c>
      <c r="E8" s="16">
        <v>12826.833532047085</v>
      </c>
      <c r="F8" s="17">
        <v>-323357.6121835087</v>
      </c>
      <c r="G8" s="25">
        <v>29805.999043266896</v>
      </c>
      <c r="H8" s="26">
        <v>11187</v>
      </c>
      <c r="I8" s="24">
        <v>-330864.9970057765</v>
      </c>
      <c r="J8">
        <f t="shared" si="0"/>
        <v>10485</v>
      </c>
      <c r="K8" s="18">
        <v>11375</v>
      </c>
      <c r="L8">
        <f t="shared" si="1"/>
        <v>890</v>
      </c>
      <c r="M8" s="19">
        <v>900</v>
      </c>
      <c r="N8" s="20" t="b">
        <v>1</v>
      </c>
      <c r="O8" s="21">
        <v>-61</v>
      </c>
      <c r="P8" s="26" t="b">
        <f>ABS(Table1[[#This Row],[Estimate error]])-Table1[[#This Row],[Standard Deviation]]&lt;0</f>
        <v>1</v>
      </c>
      <c r="S8" s="34" t="s">
        <v>53</v>
      </c>
      <c r="T8" s="36">
        <f>COUNTIFS(L2:L356, "&gt;0",L2:L356,"&lt;1000")/COUNTIF(L2:L356,"&gt;0")</f>
        <v>0.32034632034632032</v>
      </c>
      <c r="U8" s="11"/>
      <c r="V8" s="12" t="s">
        <v>26</v>
      </c>
      <c r="W8">
        <f>_xlfn.MAXIFS($J$2:$J$356,$N$2:$N$356,"=TRUE")</f>
        <v>45999</v>
      </c>
    </row>
    <row r="9" spans="1:23" x14ac:dyDescent="0.2">
      <c r="A9" s="29">
        <v>8</v>
      </c>
      <c r="B9" s="13">
        <v>44693.476894097221</v>
      </c>
      <c r="C9" s="14" t="s">
        <v>17</v>
      </c>
      <c r="D9" s="15">
        <v>36940.122303513061</v>
      </c>
      <c r="E9" s="16">
        <v>12826.833532047085</v>
      </c>
      <c r="F9" s="17">
        <v>-323357.6121835087</v>
      </c>
      <c r="G9" s="25">
        <v>32876.488350740532</v>
      </c>
      <c r="H9" s="26">
        <v>12372</v>
      </c>
      <c r="I9" s="24">
        <v>-351732.9374828916</v>
      </c>
      <c r="J9">
        <f t="shared" si="0"/>
        <v>28668</v>
      </c>
      <c r="K9" s="18">
        <v>0</v>
      </c>
      <c r="L9">
        <f t="shared" si="1"/>
        <v>0</v>
      </c>
      <c r="M9" s="19">
        <v>0</v>
      </c>
      <c r="N9" s="20" t="b">
        <v>0</v>
      </c>
      <c r="O9" s="21">
        <v>-86</v>
      </c>
      <c r="P9" s="26" t="b">
        <f>ABS(Table1[[#This Row],[Estimate error]])-Table1[[#This Row],[Standard Deviation]]&lt;0</f>
        <v>0</v>
      </c>
      <c r="S9" s="34" t="s">
        <v>54</v>
      </c>
      <c r="T9" s="36">
        <f>COUNTIFS(L2:L356, "&gt;0",L2:L356,"&lt;2000")/COUNTIF(L2:L356,"&gt;0")</f>
        <v>0.52813852813852813</v>
      </c>
      <c r="U9" s="11"/>
      <c r="V9" s="12" t="s">
        <v>27</v>
      </c>
      <c r="W9">
        <f>_xlfn.MINIFS($J$2:$J$356,$N$2:$N$356,"=FALSE")</f>
        <v>13489</v>
      </c>
    </row>
    <row r="10" spans="1:23" x14ac:dyDescent="0.2">
      <c r="A10" s="29">
        <v>9</v>
      </c>
      <c r="B10" s="13">
        <v>44693.476894097221</v>
      </c>
      <c r="C10" s="14" t="s">
        <v>16</v>
      </c>
      <c r="D10" s="15">
        <v>36940.122303513061</v>
      </c>
      <c r="E10" s="16">
        <v>12826.833532047085</v>
      </c>
      <c r="F10" s="17">
        <v>-323357.6121835087</v>
      </c>
      <c r="G10" s="25">
        <v>29805.999043266896</v>
      </c>
      <c r="H10" s="26">
        <v>11187</v>
      </c>
      <c r="I10" s="24">
        <v>-330864.9970057765</v>
      </c>
      <c r="J10">
        <f t="shared" si="0"/>
        <v>10485</v>
      </c>
      <c r="K10" s="18">
        <v>11500</v>
      </c>
      <c r="L10">
        <f t="shared" si="1"/>
        <v>1015</v>
      </c>
      <c r="M10" s="19">
        <v>825</v>
      </c>
      <c r="N10" s="20" t="b">
        <v>1</v>
      </c>
      <c r="O10" s="21">
        <v>-61</v>
      </c>
      <c r="P10" s="26" t="b">
        <f>ABS(Table1[[#This Row],[Estimate error]])-Table1[[#This Row],[Standard Deviation]]&lt;0</f>
        <v>0</v>
      </c>
      <c r="S10" s="34" t="s">
        <v>55</v>
      </c>
      <c r="T10" s="36">
        <f>COUNTIFS(L2:L356, "&gt;0",L2:L356,"&lt;3000")/COUNTIF(L2:L356,"&gt;0")</f>
        <v>0.63203463203463206</v>
      </c>
      <c r="U10" s="11"/>
      <c r="V10" s="12"/>
    </row>
    <row r="11" spans="1:23" x14ac:dyDescent="0.2">
      <c r="A11" s="29">
        <v>10</v>
      </c>
      <c r="B11" s="13">
        <v>44693.476894097221</v>
      </c>
      <c r="C11" s="14" t="s">
        <v>17</v>
      </c>
      <c r="D11" s="15">
        <v>36940.122303513061</v>
      </c>
      <c r="E11" s="16">
        <v>12826.833532047085</v>
      </c>
      <c r="F11" s="17">
        <v>-323357.6121835087</v>
      </c>
      <c r="G11" s="25">
        <v>32876.488350740532</v>
      </c>
      <c r="H11" s="26">
        <v>12372</v>
      </c>
      <c r="I11" s="24">
        <v>-351732.9374828916</v>
      </c>
      <c r="J11">
        <f t="shared" si="0"/>
        <v>28668</v>
      </c>
      <c r="K11" s="18">
        <v>0</v>
      </c>
      <c r="L11">
        <f t="shared" si="1"/>
        <v>0</v>
      </c>
      <c r="M11" s="19">
        <v>0</v>
      </c>
      <c r="N11" s="20" t="b">
        <v>0</v>
      </c>
      <c r="O11" s="21">
        <v>-86</v>
      </c>
      <c r="P11" s="26" t="b">
        <f>ABS(Table1[[#This Row],[Estimate error]])-Table1[[#This Row],[Standard Deviation]]&lt;0</f>
        <v>0</v>
      </c>
      <c r="S11" s="34" t="s">
        <v>56</v>
      </c>
      <c r="T11" s="36">
        <f>COUNTIFS(L2:L356, "&gt;0",L2:L356,"&lt;5000")/COUNTIF(L2:L356,"&gt;0")</f>
        <v>0.72294372294372289</v>
      </c>
      <c r="U11" s="11"/>
      <c r="V11" s="12"/>
    </row>
    <row r="12" spans="1:23" x14ac:dyDescent="0.2">
      <c r="A12" s="29">
        <v>11</v>
      </c>
      <c r="B12" s="13">
        <v>44693.480735918209</v>
      </c>
      <c r="C12" s="14" t="s">
        <v>16</v>
      </c>
      <c r="D12" s="15">
        <v>36940.122303513061</v>
      </c>
      <c r="E12" s="16">
        <v>12826.833532047085</v>
      </c>
      <c r="F12" s="17">
        <v>-323357.6121835087</v>
      </c>
      <c r="G12" s="25">
        <v>29805.999043266896</v>
      </c>
      <c r="H12" s="26">
        <v>11187</v>
      </c>
      <c r="I12" s="24">
        <v>-330864.9970057765</v>
      </c>
      <c r="J12">
        <f t="shared" si="0"/>
        <v>10485</v>
      </c>
      <c r="K12" s="18">
        <v>10500</v>
      </c>
      <c r="L12">
        <f t="shared" si="1"/>
        <v>15</v>
      </c>
      <c r="M12" s="19">
        <v>735</v>
      </c>
      <c r="N12" s="20" t="b">
        <v>1</v>
      </c>
      <c r="O12" s="21">
        <v>-60</v>
      </c>
      <c r="P12" s="26" t="b">
        <f>ABS(Table1[[#This Row],[Estimate error]])-Table1[[#This Row],[Standard Deviation]]&lt;0</f>
        <v>1</v>
      </c>
      <c r="S12" s="34" t="s">
        <v>57</v>
      </c>
      <c r="T12" s="36">
        <f>COUNTIFS(L2:L356, "&gt;0",L2:L356,"&lt;10000")/COUNTIF(L2:L356,"&gt;0")</f>
        <v>0.93506493506493504</v>
      </c>
      <c r="U12" s="11"/>
      <c r="V12" s="12"/>
    </row>
    <row r="13" spans="1:23" x14ac:dyDescent="0.2">
      <c r="A13" s="29">
        <v>12</v>
      </c>
      <c r="B13" s="13">
        <v>44693.480735918209</v>
      </c>
      <c r="C13" s="14" t="s">
        <v>17</v>
      </c>
      <c r="D13" s="15">
        <v>36940.122303513061</v>
      </c>
      <c r="E13" s="16">
        <v>12826.833532047085</v>
      </c>
      <c r="F13" s="17">
        <v>-323357.6121835087</v>
      </c>
      <c r="G13" s="25">
        <v>32876.488350740532</v>
      </c>
      <c r="H13" s="26">
        <v>12372</v>
      </c>
      <c r="I13" s="24">
        <v>-351732.9374828916</v>
      </c>
      <c r="J13">
        <f t="shared" si="0"/>
        <v>28668</v>
      </c>
      <c r="K13" s="18">
        <v>0</v>
      </c>
      <c r="L13">
        <f t="shared" si="1"/>
        <v>0</v>
      </c>
      <c r="M13" s="19">
        <v>0</v>
      </c>
      <c r="N13" s="20" t="b">
        <v>0</v>
      </c>
      <c r="O13" s="21">
        <v>-85</v>
      </c>
      <c r="P13" s="26" t="b">
        <f>ABS(Table1[[#This Row],[Estimate error]])-Table1[[#This Row],[Standard Deviation]]&lt;0</f>
        <v>0</v>
      </c>
      <c r="U13" s="11"/>
      <c r="V13" s="12"/>
    </row>
    <row r="14" spans="1:23" x14ac:dyDescent="0.2">
      <c r="A14" s="29">
        <v>13</v>
      </c>
      <c r="B14" s="13">
        <v>44693.480735918209</v>
      </c>
      <c r="C14" s="14" t="s">
        <v>16</v>
      </c>
      <c r="D14" s="15">
        <v>36940.122303513061</v>
      </c>
      <c r="E14" s="16">
        <v>12826.833532047085</v>
      </c>
      <c r="F14" s="17">
        <v>-323357.6121835087</v>
      </c>
      <c r="G14" s="25">
        <v>29805.999043266896</v>
      </c>
      <c r="H14" s="26">
        <v>11187</v>
      </c>
      <c r="I14" s="24">
        <v>-330864.9970057765</v>
      </c>
      <c r="J14">
        <f t="shared" si="0"/>
        <v>10485</v>
      </c>
      <c r="K14" s="18">
        <v>10500</v>
      </c>
      <c r="L14">
        <f t="shared" si="1"/>
        <v>15</v>
      </c>
      <c r="M14" s="19">
        <v>855</v>
      </c>
      <c r="N14" s="20" t="b">
        <v>1</v>
      </c>
      <c r="O14" s="21">
        <v>-60</v>
      </c>
      <c r="P14" s="26" t="b">
        <f>ABS(Table1[[#This Row],[Estimate error]])-Table1[[#This Row],[Standard Deviation]]&lt;0</f>
        <v>1</v>
      </c>
      <c r="U14" s="11"/>
      <c r="V14" s="12"/>
    </row>
    <row r="15" spans="1:23" x14ac:dyDescent="0.2">
      <c r="A15" s="29">
        <v>14</v>
      </c>
      <c r="B15" s="13">
        <v>44693.480735918209</v>
      </c>
      <c r="C15" s="14" t="s">
        <v>17</v>
      </c>
      <c r="D15" s="15">
        <v>36940.122303513061</v>
      </c>
      <c r="E15" s="16">
        <v>12826.833532047085</v>
      </c>
      <c r="F15" s="17">
        <v>-323357.6121835087</v>
      </c>
      <c r="G15" s="25">
        <v>32876.488350740532</v>
      </c>
      <c r="H15" s="26">
        <v>12372</v>
      </c>
      <c r="I15" s="24">
        <v>-351732.9374828916</v>
      </c>
      <c r="J15">
        <f t="shared" si="0"/>
        <v>28668</v>
      </c>
      <c r="K15" s="18">
        <v>0</v>
      </c>
      <c r="L15">
        <f t="shared" si="1"/>
        <v>0</v>
      </c>
      <c r="M15" s="19">
        <v>0</v>
      </c>
      <c r="N15" s="20" t="b">
        <v>0</v>
      </c>
      <c r="O15" s="21">
        <v>-85</v>
      </c>
      <c r="P15" s="26" t="b">
        <f>ABS(Table1[[#This Row],[Estimate error]])-Table1[[#This Row],[Standard Deviation]]&lt;0</f>
        <v>0</v>
      </c>
      <c r="U15" s="11"/>
      <c r="V15" s="12"/>
    </row>
    <row r="16" spans="1:23" x14ac:dyDescent="0.2">
      <c r="A16" s="29">
        <v>15</v>
      </c>
      <c r="B16" s="13">
        <v>44693.480735918209</v>
      </c>
      <c r="C16" s="14" t="s">
        <v>16</v>
      </c>
      <c r="D16" s="15">
        <v>36940.122303513061</v>
      </c>
      <c r="E16" s="16">
        <v>12826.833532047085</v>
      </c>
      <c r="F16" s="17">
        <v>-323357.6121835087</v>
      </c>
      <c r="G16" s="25">
        <v>29805.999043266896</v>
      </c>
      <c r="H16" s="26">
        <v>11187</v>
      </c>
      <c r="I16" s="24">
        <v>-330864.9970057765</v>
      </c>
      <c r="J16">
        <f t="shared" si="0"/>
        <v>10485</v>
      </c>
      <c r="K16" s="18">
        <v>11250</v>
      </c>
      <c r="L16">
        <f t="shared" si="1"/>
        <v>765</v>
      </c>
      <c r="M16" s="19">
        <v>765</v>
      </c>
      <c r="N16" s="20" t="b">
        <v>1</v>
      </c>
      <c r="O16" s="21">
        <v>-60</v>
      </c>
      <c r="P16" s="26" t="b">
        <f>ABS(Table1[[#This Row],[Estimate error]])-Table1[[#This Row],[Standard Deviation]]&lt;0</f>
        <v>0</v>
      </c>
      <c r="U16" s="11"/>
      <c r="V16" s="12"/>
    </row>
    <row r="17" spans="1:22" x14ac:dyDescent="0.2">
      <c r="A17" s="29">
        <v>16</v>
      </c>
      <c r="B17" s="13">
        <v>44693.480735918209</v>
      </c>
      <c r="C17" s="14" t="s">
        <v>17</v>
      </c>
      <c r="D17" s="15">
        <v>36940.122303513061</v>
      </c>
      <c r="E17" s="16">
        <v>12826.833532047085</v>
      </c>
      <c r="F17" s="17">
        <v>-323357.6121835087</v>
      </c>
      <c r="G17" s="25">
        <v>32876.488350740532</v>
      </c>
      <c r="H17" s="26">
        <v>12372</v>
      </c>
      <c r="I17" s="24">
        <v>-351732.9374828916</v>
      </c>
      <c r="J17">
        <f t="shared" si="0"/>
        <v>28668</v>
      </c>
      <c r="K17" s="18">
        <v>0</v>
      </c>
      <c r="L17">
        <f t="shared" si="1"/>
        <v>0</v>
      </c>
      <c r="M17" s="19">
        <v>0</v>
      </c>
      <c r="N17" s="20" t="b">
        <v>0</v>
      </c>
      <c r="O17" s="21">
        <v>-85</v>
      </c>
      <c r="P17" s="26" t="b">
        <f>ABS(Table1[[#This Row],[Estimate error]])-Table1[[#This Row],[Standard Deviation]]&lt;0</f>
        <v>0</v>
      </c>
      <c r="U17" s="11"/>
      <c r="V17" s="12"/>
    </row>
    <row r="18" spans="1:22" x14ac:dyDescent="0.2">
      <c r="A18" s="29">
        <v>17</v>
      </c>
      <c r="B18" s="13">
        <v>44693.480735918209</v>
      </c>
      <c r="C18" s="14" t="s">
        <v>16</v>
      </c>
      <c r="D18" s="15">
        <v>36940.122303513061</v>
      </c>
      <c r="E18" s="16">
        <v>12826.833532047085</v>
      </c>
      <c r="F18" s="17">
        <v>-323357.6121835087</v>
      </c>
      <c r="G18" s="25">
        <v>29805.999043266896</v>
      </c>
      <c r="H18" s="26">
        <v>11187</v>
      </c>
      <c r="I18" s="24">
        <v>-330864.9970057765</v>
      </c>
      <c r="J18">
        <f t="shared" si="0"/>
        <v>10485</v>
      </c>
      <c r="K18" s="18">
        <v>10750</v>
      </c>
      <c r="L18">
        <f t="shared" si="1"/>
        <v>265</v>
      </c>
      <c r="M18" s="19">
        <v>660</v>
      </c>
      <c r="N18" s="20" t="b">
        <v>1</v>
      </c>
      <c r="O18" s="21">
        <v>-60</v>
      </c>
      <c r="P18" s="26" t="b">
        <f>ABS(Table1[[#This Row],[Estimate error]])-Table1[[#This Row],[Standard Deviation]]&lt;0</f>
        <v>1</v>
      </c>
      <c r="U18" s="11"/>
      <c r="V18" s="12"/>
    </row>
    <row r="19" spans="1:22" x14ac:dyDescent="0.2">
      <c r="A19" s="29">
        <v>18</v>
      </c>
      <c r="B19" s="13">
        <v>44693.480735918209</v>
      </c>
      <c r="C19" s="14" t="s">
        <v>17</v>
      </c>
      <c r="D19" s="15">
        <v>36940.122303513061</v>
      </c>
      <c r="E19" s="16">
        <v>12826.833532047085</v>
      </c>
      <c r="F19" s="17">
        <v>-323357.6121835087</v>
      </c>
      <c r="G19" s="25">
        <v>32876.488350740532</v>
      </c>
      <c r="H19" s="26">
        <v>12372</v>
      </c>
      <c r="I19" s="24">
        <v>-351732.9374828916</v>
      </c>
      <c r="J19">
        <f t="shared" si="0"/>
        <v>28668</v>
      </c>
      <c r="K19" s="18">
        <v>0</v>
      </c>
      <c r="L19">
        <f t="shared" si="1"/>
        <v>0</v>
      </c>
      <c r="M19" s="19">
        <v>0</v>
      </c>
      <c r="N19" s="20" t="b">
        <v>0</v>
      </c>
      <c r="O19" s="21">
        <v>-85</v>
      </c>
      <c r="P19" s="26" t="b">
        <f>ABS(Table1[[#This Row],[Estimate error]])-Table1[[#This Row],[Standard Deviation]]&lt;0</f>
        <v>0</v>
      </c>
      <c r="U19" s="11"/>
      <c r="V19" s="12"/>
    </row>
    <row r="20" spans="1:22" x14ac:dyDescent="0.2">
      <c r="A20" s="29">
        <v>19</v>
      </c>
      <c r="B20" s="13">
        <v>44693.480735918209</v>
      </c>
      <c r="C20" s="14" t="s">
        <v>16</v>
      </c>
      <c r="D20" s="15">
        <v>36940.122303513061</v>
      </c>
      <c r="E20" s="16">
        <v>12826.833532047085</v>
      </c>
      <c r="F20" s="17">
        <v>-323357.6121835087</v>
      </c>
      <c r="G20" s="25">
        <v>29805.999043266896</v>
      </c>
      <c r="H20" s="26">
        <v>11187</v>
      </c>
      <c r="I20" s="24">
        <v>-330864.9970057765</v>
      </c>
      <c r="J20">
        <f t="shared" si="0"/>
        <v>10485</v>
      </c>
      <c r="K20" s="18">
        <v>10750</v>
      </c>
      <c r="L20">
        <f t="shared" si="1"/>
        <v>265</v>
      </c>
      <c r="M20" s="19">
        <v>525</v>
      </c>
      <c r="N20" s="20" t="b">
        <v>1</v>
      </c>
      <c r="O20" s="21">
        <v>-60</v>
      </c>
      <c r="P20" s="26" t="b">
        <f>ABS(Table1[[#This Row],[Estimate error]])-Table1[[#This Row],[Standard Deviation]]&lt;0</f>
        <v>1</v>
      </c>
      <c r="U20" s="11"/>
      <c r="V20" s="12"/>
    </row>
    <row r="21" spans="1:22" x14ac:dyDescent="0.2">
      <c r="A21" s="29">
        <v>20</v>
      </c>
      <c r="B21" s="13">
        <v>44693.480735918209</v>
      </c>
      <c r="C21" s="14" t="s">
        <v>17</v>
      </c>
      <c r="D21" s="15">
        <v>36940.122303513061</v>
      </c>
      <c r="E21" s="16">
        <v>12826.833532047085</v>
      </c>
      <c r="F21" s="17">
        <v>-323357.6121835087</v>
      </c>
      <c r="G21" s="25">
        <v>32876.488350740532</v>
      </c>
      <c r="H21" s="26">
        <v>12372</v>
      </c>
      <c r="I21" s="24">
        <v>-351732.9374828916</v>
      </c>
      <c r="J21">
        <f t="shared" si="0"/>
        <v>28668</v>
      </c>
      <c r="K21" s="18">
        <v>0</v>
      </c>
      <c r="L21">
        <f t="shared" si="1"/>
        <v>0</v>
      </c>
      <c r="M21" s="19">
        <v>0</v>
      </c>
      <c r="N21" s="20" t="b">
        <v>0</v>
      </c>
      <c r="O21" s="21">
        <v>-85</v>
      </c>
      <c r="P21" s="26" t="b">
        <f>ABS(Table1[[#This Row],[Estimate error]])-Table1[[#This Row],[Standard Deviation]]&lt;0</f>
        <v>0</v>
      </c>
      <c r="U21" s="11"/>
      <c r="V21" s="12"/>
    </row>
    <row r="22" spans="1:22" x14ac:dyDescent="0.2">
      <c r="A22" s="29">
        <v>21</v>
      </c>
      <c r="B22" s="13">
        <v>44693.481481867282</v>
      </c>
      <c r="C22" s="14" t="s">
        <v>16</v>
      </c>
      <c r="D22" s="15">
        <v>36907.285851159708</v>
      </c>
      <c r="E22" s="16">
        <v>12588.417016120156</v>
      </c>
      <c r="F22" s="17">
        <v>-327019.66428862832</v>
      </c>
      <c r="G22" s="25">
        <v>29805.999043266896</v>
      </c>
      <c r="H22" s="26">
        <v>11187</v>
      </c>
      <c r="I22" s="24">
        <v>-330864.9970057765</v>
      </c>
      <c r="J22">
        <f t="shared" si="0"/>
        <v>8196</v>
      </c>
      <c r="K22" s="18">
        <v>7187</v>
      </c>
      <c r="L22">
        <f t="shared" si="1"/>
        <v>-1009</v>
      </c>
      <c r="M22" s="19">
        <v>540</v>
      </c>
      <c r="N22" s="20" t="b">
        <v>1</v>
      </c>
      <c r="O22" s="21">
        <v>-60</v>
      </c>
      <c r="P22" s="26" t="b">
        <f>ABS(Table1[[#This Row],[Estimate error]])-Table1[[#This Row],[Standard Deviation]]&lt;0</f>
        <v>0</v>
      </c>
      <c r="U22" s="11"/>
      <c r="V22" s="12"/>
    </row>
    <row r="23" spans="1:22" x14ac:dyDescent="0.2">
      <c r="A23" s="29">
        <v>22</v>
      </c>
      <c r="B23" s="13">
        <v>44693.481481867282</v>
      </c>
      <c r="C23" s="14" t="s">
        <v>28</v>
      </c>
      <c r="D23" s="15">
        <v>36907.285851159708</v>
      </c>
      <c r="E23" s="16">
        <v>12588.417016120156</v>
      </c>
      <c r="F23" s="17">
        <v>-327019.66428862832</v>
      </c>
      <c r="G23" s="25">
        <v>47511.84397421257</v>
      </c>
      <c r="H23" s="26">
        <v>12577</v>
      </c>
      <c r="I23" s="24">
        <v>-366209.6994908413</v>
      </c>
      <c r="J23">
        <f t="shared" si="0"/>
        <v>40599</v>
      </c>
      <c r="K23" s="18">
        <v>0</v>
      </c>
      <c r="L23">
        <f t="shared" si="1"/>
        <v>0</v>
      </c>
      <c r="M23" s="19">
        <v>0</v>
      </c>
      <c r="N23" s="20" t="b">
        <v>0</v>
      </c>
      <c r="O23" s="21">
        <v>-93</v>
      </c>
      <c r="P23" s="26" t="b">
        <f>ABS(Table1[[#This Row],[Estimate error]])-Table1[[#This Row],[Standard Deviation]]&lt;0</f>
        <v>0</v>
      </c>
      <c r="U23" s="11"/>
      <c r="V23" s="12"/>
    </row>
    <row r="24" spans="1:22" x14ac:dyDescent="0.2">
      <c r="A24" s="29">
        <v>23</v>
      </c>
      <c r="B24" s="13">
        <v>44693.481481867282</v>
      </c>
      <c r="C24" s="14" t="s">
        <v>29</v>
      </c>
      <c r="D24" s="15">
        <v>36907.285851159708</v>
      </c>
      <c r="E24" s="16">
        <v>12588.417016120156</v>
      </c>
      <c r="F24" s="17">
        <v>-327019.66428862832</v>
      </c>
      <c r="G24" s="25">
        <v>66962.713641439259</v>
      </c>
      <c r="H24" s="26">
        <v>11187</v>
      </c>
      <c r="I24" s="24">
        <v>-324977.11831615516</v>
      </c>
      <c r="J24">
        <f t="shared" si="0"/>
        <v>30157</v>
      </c>
      <c r="K24" s="18">
        <v>31187</v>
      </c>
      <c r="L24">
        <f t="shared" si="1"/>
        <v>1030</v>
      </c>
      <c r="M24" s="19">
        <v>570</v>
      </c>
      <c r="N24" s="20" t="b">
        <v>1</v>
      </c>
      <c r="O24" s="21">
        <v>-75</v>
      </c>
      <c r="P24" s="26" t="b">
        <f>ABS(Table1[[#This Row],[Estimate error]])-Table1[[#This Row],[Standard Deviation]]&lt;0</f>
        <v>0</v>
      </c>
      <c r="U24" s="11"/>
      <c r="V24" s="12"/>
    </row>
    <row r="25" spans="1:22" x14ac:dyDescent="0.2">
      <c r="A25" s="29">
        <v>24</v>
      </c>
      <c r="B25" s="13">
        <v>44693.481481867282</v>
      </c>
      <c r="C25" s="14" t="s">
        <v>17</v>
      </c>
      <c r="D25" s="15">
        <v>36907.285851159708</v>
      </c>
      <c r="E25" s="16">
        <v>12588.417016120156</v>
      </c>
      <c r="F25" s="17">
        <v>-327019.66428862832</v>
      </c>
      <c r="G25" s="25">
        <v>32876.488350740532</v>
      </c>
      <c r="H25" s="26">
        <v>12372</v>
      </c>
      <c r="I25" s="24">
        <v>-351732.9374828916</v>
      </c>
      <c r="J25">
        <f t="shared" si="0"/>
        <v>25041</v>
      </c>
      <c r="K25" s="18">
        <v>26812</v>
      </c>
      <c r="L25">
        <f t="shared" si="1"/>
        <v>1771</v>
      </c>
      <c r="M25" s="19">
        <v>1185</v>
      </c>
      <c r="N25" s="20" t="b">
        <v>1</v>
      </c>
      <c r="O25" s="21">
        <v>-81</v>
      </c>
      <c r="P25" s="26" t="b">
        <f>ABS(Table1[[#This Row],[Estimate error]])-Table1[[#This Row],[Standard Deviation]]&lt;0</f>
        <v>0</v>
      </c>
      <c r="U25" s="11"/>
      <c r="V25" s="12"/>
    </row>
    <row r="26" spans="1:22" x14ac:dyDescent="0.2">
      <c r="A26" s="29">
        <v>25</v>
      </c>
      <c r="B26" s="13">
        <v>44693.481481867282</v>
      </c>
      <c r="C26" s="14" t="s">
        <v>30</v>
      </c>
      <c r="D26" s="15">
        <v>36907.285851159708</v>
      </c>
      <c r="E26" s="16">
        <v>12588.417016120156</v>
      </c>
      <c r="F26" s="17">
        <v>-327019.66428862832</v>
      </c>
      <c r="G26" s="25">
        <v>69764.397321579861</v>
      </c>
      <c r="H26" s="26">
        <v>12050</v>
      </c>
      <c r="I26" s="24">
        <v>-335657.72548585641</v>
      </c>
      <c r="J26">
        <f t="shared" si="0"/>
        <v>33978</v>
      </c>
      <c r="K26" s="18">
        <v>0</v>
      </c>
      <c r="L26">
        <f t="shared" si="1"/>
        <v>0</v>
      </c>
      <c r="M26" s="19">
        <v>0</v>
      </c>
      <c r="N26" s="20" t="b">
        <v>0</v>
      </c>
      <c r="O26" s="21">
        <v>-89</v>
      </c>
      <c r="P26" s="26" t="b">
        <f>ABS(Table1[[#This Row],[Estimate error]])-Table1[[#This Row],[Standard Deviation]]&lt;0</f>
        <v>0</v>
      </c>
      <c r="U26" s="11"/>
      <c r="V26" s="12"/>
    </row>
    <row r="27" spans="1:22" x14ac:dyDescent="0.2">
      <c r="A27" s="29">
        <v>26</v>
      </c>
      <c r="B27" s="13">
        <v>44693.481481867282</v>
      </c>
      <c r="C27" s="14" t="s">
        <v>16</v>
      </c>
      <c r="D27" s="15">
        <v>36907.285851159708</v>
      </c>
      <c r="E27" s="16">
        <v>12588.417016120156</v>
      </c>
      <c r="F27" s="17">
        <v>-327019.66428862832</v>
      </c>
      <c r="G27" s="25">
        <v>29805.999043266896</v>
      </c>
      <c r="H27" s="26">
        <v>11187</v>
      </c>
      <c r="I27" s="24">
        <v>-330864.9970057765</v>
      </c>
      <c r="J27">
        <f t="shared" si="0"/>
        <v>8196</v>
      </c>
      <c r="K27" s="18">
        <v>7187</v>
      </c>
      <c r="L27">
        <f t="shared" si="1"/>
        <v>-1009</v>
      </c>
      <c r="M27" s="19">
        <v>615</v>
      </c>
      <c r="N27" s="20" t="b">
        <v>1</v>
      </c>
      <c r="O27" s="21">
        <v>-60</v>
      </c>
      <c r="P27" s="26" t="b">
        <f>ABS(Table1[[#This Row],[Estimate error]])-Table1[[#This Row],[Standard Deviation]]&lt;0</f>
        <v>0</v>
      </c>
      <c r="U27" s="11"/>
      <c r="V27" s="12"/>
    </row>
    <row r="28" spans="1:22" x14ac:dyDescent="0.2">
      <c r="A28" s="29">
        <v>27</v>
      </c>
      <c r="B28" s="13">
        <v>44693.481481867282</v>
      </c>
      <c r="C28" s="14" t="s">
        <v>28</v>
      </c>
      <c r="D28" s="15">
        <v>36907.285851159708</v>
      </c>
      <c r="E28" s="16">
        <v>12588.417016120156</v>
      </c>
      <c r="F28" s="17">
        <v>-327019.66428862832</v>
      </c>
      <c r="G28" s="25">
        <v>47511.84397421257</v>
      </c>
      <c r="H28" s="26">
        <v>12577</v>
      </c>
      <c r="I28" s="24">
        <v>-366209.6994908413</v>
      </c>
      <c r="J28">
        <f t="shared" si="0"/>
        <v>40599</v>
      </c>
      <c r="K28" s="18">
        <v>0</v>
      </c>
      <c r="L28">
        <f t="shared" si="1"/>
        <v>0</v>
      </c>
      <c r="M28" s="19">
        <v>0</v>
      </c>
      <c r="N28" s="20" t="b">
        <v>0</v>
      </c>
      <c r="O28" s="21">
        <v>-93</v>
      </c>
      <c r="P28" s="26" t="b">
        <f>ABS(Table1[[#This Row],[Estimate error]])-Table1[[#This Row],[Standard Deviation]]&lt;0</f>
        <v>0</v>
      </c>
      <c r="U28" s="11"/>
      <c r="V28" s="12"/>
    </row>
    <row r="29" spans="1:22" x14ac:dyDescent="0.2">
      <c r="A29" s="29">
        <v>28</v>
      </c>
      <c r="B29" s="13">
        <v>44693.481481867282</v>
      </c>
      <c r="C29" s="14" t="s">
        <v>29</v>
      </c>
      <c r="D29" s="15">
        <v>36907.285851159708</v>
      </c>
      <c r="E29" s="16">
        <v>12588.417016120156</v>
      </c>
      <c r="F29" s="17">
        <v>-327019.66428862832</v>
      </c>
      <c r="G29" s="25">
        <v>66962.713641439259</v>
      </c>
      <c r="H29" s="26">
        <v>11187</v>
      </c>
      <c r="I29" s="24">
        <v>-324977.11831615516</v>
      </c>
      <c r="J29">
        <f t="shared" si="0"/>
        <v>30157</v>
      </c>
      <c r="K29" s="18">
        <v>31187</v>
      </c>
      <c r="L29">
        <f t="shared" si="1"/>
        <v>1030</v>
      </c>
      <c r="M29" s="19">
        <v>585</v>
      </c>
      <c r="N29" s="20" t="b">
        <v>1</v>
      </c>
      <c r="O29" s="21">
        <v>-75</v>
      </c>
      <c r="P29" s="26" t="b">
        <f>ABS(Table1[[#This Row],[Estimate error]])-Table1[[#This Row],[Standard Deviation]]&lt;0</f>
        <v>0</v>
      </c>
      <c r="U29" s="11"/>
      <c r="V29" s="12"/>
    </row>
    <row r="30" spans="1:22" x14ac:dyDescent="0.2">
      <c r="A30" s="29">
        <v>29</v>
      </c>
      <c r="B30" s="13">
        <v>44693.481481867282</v>
      </c>
      <c r="C30" s="14" t="s">
        <v>17</v>
      </c>
      <c r="D30" s="15">
        <v>36907.285851159708</v>
      </c>
      <c r="E30" s="16">
        <v>12588.417016120156</v>
      </c>
      <c r="F30" s="17">
        <v>-327019.66428862832</v>
      </c>
      <c r="G30" s="25">
        <v>32876.488350740532</v>
      </c>
      <c r="H30" s="26">
        <v>12372</v>
      </c>
      <c r="I30" s="24">
        <v>-351732.9374828916</v>
      </c>
      <c r="J30">
        <f t="shared" si="0"/>
        <v>25041</v>
      </c>
      <c r="K30" s="18">
        <v>26687</v>
      </c>
      <c r="L30">
        <f t="shared" si="1"/>
        <v>1646</v>
      </c>
      <c r="M30" s="19">
        <v>1365</v>
      </c>
      <c r="N30" s="20" t="b">
        <v>1</v>
      </c>
      <c r="O30" s="21">
        <v>-81</v>
      </c>
      <c r="P30" s="26" t="b">
        <f>ABS(Table1[[#This Row],[Estimate error]])-Table1[[#This Row],[Standard Deviation]]&lt;0</f>
        <v>0</v>
      </c>
      <c r="U30" s="11"/>
      <c r="V30" s="12"/>
    </row>
    <row r="31" spans="1:22" x14ac:dyDescent="0.2">
      <c r="A31" s="29">
        <v>30</v>
      </c>
      <c r="B31" s="13">
        <v>44693.481481867282</v>
      </c>
      <c r="C31" s="14" t="s">
        <v>30</v>
      </c>
      <c r="D31" s="15">
        <v>36907.285851159708</v>
      </c>
      <c r="E31" s="16">
        <v>12588.417016120156</v>
      </c>
      <c r="F31" s="17">
        <v>-327019.66428862832</v>
      </c>
      <c r="G31" s="25">
        <v>69764.397321579861</v>
      </c>
      <c r="H31" s="26">
        <v>12050</v>
      </c>
      <c r="I31" s="24">
        <v>-335657.72548585641</v>
      </c>
      <c r="J31">
        <f t="shared" si="0"/>
        <v>33978</v>
      </c>
      <c r="K31" s="18">
        <v>0</v>
      </c>
      <c r="L31">
        <f t="shared" si="1"/>
        <v>0</v>
      </c>
      <c r="M31" s="19">
        <v>0</v>
      </c>
      <c r="N31" s="20" t="b">
        <v>0</v>
      </c>
      <c r="O31" s="21">
        <v>-89</v>
      </c>
      <c r="P31" s="26" t="b">
        <f>ABS(Table1[[#This Row],[Estimate error]])-Table1[[#This Row],[Standard Deviation]]&lt;0</f>
        <v>0</v>
      </c>
      <c r="U31" s="11"/>
      <c r="V31" s="12"/>
    </row>
    <row r="32" spans="1:22" x14ac:dyDescent="0.2">
      <c r="A32" s="29">
        <v>31</v>
      </c>
      <c r="B32" s="13">
        <v>44693.481481867282</v>
      </c>
      <c r="C32" s="14" t="s">
        <v>16</v>
      </c>
      <c r="D32" s="15">
        <v>36907.285851159708</v>
      </c>
      <c r="E32" s="16">
        <v>12588.417016120156</v>
      </c>
      <c r="F32" s="17">
        <v>-327019.66428862832</v>
      </c>
      <c r="G32" s="25">
        <v>29805.999043266896</v>
      </c>
      <c r="H32" s="26">
        <v>11187</v>
      </c>
      <c r="I32" s="24">
        <v>-330864.9970057765</v>
      </c>
      <c r="J32">
        <f t="shared" si="0"/>
        <v>8196</v>
      </c>
      <c r="K32" s="18">
        <v>7500</v>
      </c>
      <c r="L32">
        <f t="shared" si="1"/>
        <v>-696</v>
      </c>
      <c r="M32" s="19">
        <v>510</v>
      </c>
      <c r="N32" s="20" t="b">
        <v>1</v>
      </c>
      <c r="O32" s="21">
        <v>-60</v>
      </c>
      <c r="P32" s="26" t="b">
        <f>ABS(Table1[[#This Row],[Estimate error]])-Table1[[#This Row],[Standard Deviation]]&lt;0</f>
        <v>0</v>
      </c>
      <c r="U32" s="11"/>
      <c r="V32" s="12"/>
    </row>
    <row r="33" spans="1:22" x14ac:dyDescent="0.2">
      <c r="A33" s="29">
        <v>32</v>
      </c>
      <c r="B33" s="13">
        <v>44693.481481867282</v>
      </c>
      <c r="C33" s="14" t="s">
        <v>28</v>
      </c>
      <c r="D33" s="15">
        <v>36907.285851159708</v>
      </c>
      <c r="E33" s="16">
        <v>12588.417016120156</v>
      </c>
      <c r="F33" s="17">
        <v>-327019.66428862832</v>
      </c>
      <c r="G33" s="25">
        <v>47511.84397421257</v>
      </c>
      <c r="H33" s="26">
        <v>12577</v>
      </c>
      <c r="I33" s="24">
        <v>-366209.6994908413</v>
      </c>
      <c r="J33">
        <f t="shared" si="0"/>
        <v>40599</v>
      </c>
      <c r="K33" s="18">
        <v>0</v>
      </c>
      <c r="L33">
        <f t="shared" si="1"/>
        <v>0</v>
      </c>
      <c r="M33" s="19">
        <v>0</v>
      </c>
      <c r="N33" s="20" t="b">
        <v>0</v>
      </c>
      <c r="O33" s="21">
        <v>-93</v>
      </c>
      <c r="P33" s="26" t="b">
        <f>ABS(Table1[[#This Row],[Estimate error]])-Table1[[#This Row],[Standard Deviation]]&lt;0</f>
        <v>0</v>
      </c>
      <c r="U33" s="11"/>
      <c r="V33" s="12"/>
    </row>
    <row r="34" spans="1:22" x14ac:dyDescent="0.2">
      <c r="A34" s="29">
        <v>33</v>
      </c>
      <c r="B34" s="13">
        <v>44693.481481867282</v>
      </c>
      <c r="C34" s="14" t="s">
        <v>29</v>
      </c>
      <c r="D34" s="15">
        <v>36907.285851159708</v>
      </c>
      <c r="E34" s="16">
        <v>12588.417016120156</v>
      </c>
      <c r="F34" s="17">
        <v>-327019.66428862832</v>
      </c>
      <c r="G34" s="25">
        <v>66962.713641439259</v>
      </c>
      <c r="H34" s="26">
        <v>11187</v>
      </c>
      <c r="I34" s="24">
        <v>-324977.11831615516</v>
      </c>
      <c r="J34">
        <f t="shared" si="0"/>
        <v>30157</v>
      </c>
      <c r="K34" s="18">
        <v>30750</v>
      </c>
      <c r="L34">
        <f t="shared" si="1"/>
        <v>593</v>
      </c>
      <c r="M34" s="19">
        <v>510</v>
      </c>
      <c r="N34" s="20" t="b">
        <v>1</v>
      </c>
      <c r="O34" s="21">
        <v>-75</v>
      </c>
      <c r="P34" s="26" t="b">
        <f>ABS(Table1[[#This Row],[Estimate error]])-Table1[[#This Row],[Standard Deviation]]&lt;0</f>
        <v>0</v>
      </c>
      <c r="U34" s="11"/>
      <c r="V34" s="12"/>
    </row>
    <row r="35" spans="1:22" x14ac:dyDescent="0.2">
      <c r="A35" s="29">
        <v>34</v>
      </c>
      <c r="B35" s="13">
        <v>44693.481481867282</v>
      </c>
      <c r="C35" s="14" t="s">
        <v>17</v>
      </c>
      <c r="D35" s="15">
        <v>36907.285851159708</v>
      </c>
      <c r="E35" s="16">
        <v>12588.417016120156</v>
      </c>
      <c r="F35" s="17">
        <v>-327019.66428862832</v>
      </c>
      <c r="G35" s="25">
        <v>32876.488350740532</v>
      </c>
      <c r="H35" s="26">
        <v>12372</v>
      </c>
      <c r="I35" s="24">
        <v>-351732.9374828916</v>
      </c>
      <c r="J35">
        <f t="shared" si="0"/>
        <v>25041</v>
      </c>
      <c r="K35" s="18">
        <v>26687</v>
      </c>
      <c r="L35">
        <f t="shared" si="1"/>
        <v>1646</v>
      </c>
      <c r="M35" s="19">
        <v>735</v>
      </c>
      <c r="N35" s="20" t="b">
        <v>1</v>
      </c>
      <c r="O35" s="21">
        <v>-81</v>
      </c>
      <c r="P35" s="26" t="b">
        <f>ABS(Table1[[#This Row],[Estimate error]])-Table1[[#This Row],[Standard Deviation]]&lt;0</f>
        <v>0</v>
      </c>
      <c r="U35" s="11"/>
      <c r="V35" s="12"/>
    </row>
    <row r="36" spans="1:22" x14ac:dyDescent="0.2">
      <c r="A36" s="29">
        <v>35</v>
      </c>
      <c r="B36" s="13">
        <v>44693.481481867282</v>
      </c>
      <c r="C36" s="14" t="s">
        <v>30</v>
      </c>
      <c r="D36" s="15">
        <v>36907.285851159708</v>
      </c>
      <c r="E36" s="16">
        <v>12588.417016120156</v>
      </c>
      <c r="F36" s="17">
        <v>-327019.66428862832</v>
      </c>
      <c r="G36" s="25">
        <v>69764.397321579861</v>
      </c>
      <c r="H36" s="26">
        <v>12050</v>
      </c>
      <c r="I36" s="24">
        <v>-335657.72548585641</v>
      </c>
      <c r="J36">
        <f t="shared" si="0"/>
        <v>33978</v>
      </c>
      <c r="K36" s="18">
        <v>0</v>
      </c>
      <c r="L36">
        <f t="shared" si="1"/>
        <v>0</v>
      </c>
      <c r="M36" s="19">
        <v>0</v>
      </c>
      <c r="N36" s="20" t="b">
        <v>0</v>
      </c>
      <c r="O36" s="21">
        <v>-89</v>
      </c>
      <c r="P36" s="26" t="b">
        <f>ABS(Table1[[#This Row],[Estimate error]])-Table1[[#This Row],[Standard Deviation]]&lt;0</f>
        <v>0</v>
      </c>
      <c r="U36" s="11"/>
      <c r="V36" s="12"/>
    </row>
    <row r="37" spans="1:22" x14ac:dyDescent="0.2">
      <c r="A37" s="29">
        <v>36</v>
      </c>
      <c r="B37" s="13">
        <v>44693.481481867282</v>
      </c>
      <c r="C37" s="14" t="s">
        <v>16</v>
      </c>
      <c r="D37" s="15">
        <v>36907.285851159708</v>
      </c>
      <c r="E37" s="16">
        <v>12588.417016120156</v>
      </c>
      <c r="F37" s="17">
        <v>-327019.66428862832</v>
      </c>
      <c r="G37" s="25">
        <v>29805.999043266896</v>
      </c>
      <c r="H37" s="26">
        <v>11187</v>
      </c>
      <c r="I37" s="24">
        <v>-330864.9970057765</v>
      </c>
      <c r="J37">
        <f t="shared" si="0"/>
        <v>8196</v>
      </c>
      <c r="K37" s="18">
        <v>7000</v>
      </c>
      <c r="L37">
        <f t="shared" si="1"/>
        <v>-1196</v>
      </c>
      <c r="M37" s="19">
        <v>720</v>
      </c>
      <c r="N37" s="20" t="b">
        <v>1</v>
      </c>
      <c r="O37" s="21">
        <v>-60</v>
      </c>
      <c r="P37" s="26" t="b">
        <f>ABS(Table1[[#This Row],[Estimate error]])-Table1[[#This Row],[Standard Deviation]]&lt;0</f>
        <v>0</v>
      </c>
      <c r="U37" s="11"/>
      <c r="V37" s="12"/>
    </row>
    <row r="38" spans="1:22" x14ac:dyDescent="0.2">
      <c r="A38" s="29">
        <v>37</v>
      </c>
      <c r="B38" s="13">
        <v>44693.481481867282</v>
      </c>
      <c r="C38" s="14" t="s">
        <v>28</v>
      </c>
      <c r="D38" s="15">
        <v>36907.285851159708</v>
      </c>
      <c r="E38" s="16">
        <v>12588.417016120156</v>
      </c>
      <c r="F38" s="17">
        <v>-327019.66428862832</v>
      </c>
      <c r="G38" s="25">
        <v>47511.84397421257</v>
      </c>
      <c r="H38" s="26">
        <v>12577</v>
      </c>
      <c r="I38" s="24">
        <v>-366209.6994908413</v>
      </c>
      <c r="J38">
        <f t="shared" si="0"/>
        <v>40599</v>
      </c>
      <c r="K38" s="18">
        <v>0</v>
      </c>
      <c r="L38">
        <f t="shared" si="1"/>
        <v>0</v>
      </c>
      <c r="M38" s="19">
        <v>0</v>
      </c>
      <c r="N38" s="20" t="b">
        <v>0</v>
      </c>
      <c r="O38" s="21">
        <v>-93</v>
      </c>
      <c r="P38" s="26" t="b">
        <f>ABS(Table1[[#This Row],[Estimate error]])-Table1[[#This Row],[Standard Deviation]]&lt;0</f>
        <v>0</v>
      </c>
      <c r="U38" s="11"/>
      <c r="V38" s="12"/>
    </row>
    <row r="39" spans="1:22" x14ac:dyDescent="0.2">
      <c r="A39" s="29">
        <v>38</v>
      </c>
      <c r="B39" s="13">
        <v>44693.481481867282</v>
      </c>
      <c r="C39" s="14" t="s">
        <v>29</v>
      </c>
      <c r="D39" s="15">
        <v>36907.285851159708</v>
      </c>
      <c r="E39" s="16">
        <v>12588.417016120156</v>
      </c>
      <c r="F39" s="17">
        <v>-327019.66428862832</v>
      </c>
      <c r="G39" s="25">
        <v>66962.713641439259</v>
      </c>
      <c r="H39" s="26">
        <v>11187</v>
      </c>
      <c r="I39" s="24">
        <v>-324977.11831615516</v>
      </c>
      <c r="J39">
        <f t="shared" si="0"/>
        <v>30157</v>
      </c>
      <c r="K39" s="18">
        <v>31000</v>
      </c>
      <c r="L39">
        <f t="shared" si="1"/>
        <v>843</v>
      </c>
      <c r="M39" s="19">
        <v>690</v>
      </c>
      <c r="N39" s="20" t="b">
        <v>1</v>
      </c>
      <c r="O39" s="21">
        <v>-75</v>
      </c>
      <c r="P39" s="26" t="b">
        <f>ABS(Table1[[#This Row],[Estimate error]])-Table1[[#This Row],[Standard Deviation]]&lt;0</f>
        <v>0</v>
      </c>
      <c r="U39" s="11"/>
      <c r="V39" s="12"/>
    </row>
    <row r="40" spans="1:22" x14ac:dyDescent="0.2">
      <c r="A40" s="29">
        <v>39</v>
      </c>
      <c r="B40" s="13">
        <v>44693.481481867282</v>
      </c>
      <c r="C40" s="14" t="s">
        <v>17</v>
      </c>
      <c r="D40" s="15">
        <v>36907.285851159708</v>
      </c>
      <c r="E40" s="16">
        <v>12588.417016120156</v>
      </c>
      <c r="F40" s="17">
        <v>-327019.66428862832</v>
      </c>
      <c r="G40" s="25">
        <v>32876.488350740532</v>
      </c>
      <c r="H40" s="26">
        <v>12372</v>
      </c>
      <c r="I40" s="24">
        <v>-351732.9374828916</v>
      </c>
      <c r="J40">
        <f t="shared" si="0"/>
        <v>25041</v>
      </c>
      <c r="K40" s="18">
        <v>26500</v>
      </c>
      <c r="L40">
        <f t="shared" si="1"/>
        <v>1459</v>
      </c>
      <c r="M40" s="19">
        <v>570</v>
      </c>
      <c r="N40" s="20" t="b">
        <v>1</v>
      </c>
      <c r="O40" s="21">
        <v>-81</v>
      </c>
      <c r="P40" s="26" t="b">
        <f>ABS(Table1[[#This Row],[Estimate error]])-Table1[[#This Row],[Standard Deviation]]&lt;0</f>
        <v>0</v>
      </c>
      <c r="U40" s="11"/>
      <c r="V40" s="12"/>
    </row>
    <row r="41" spans="1:22" x14ac:dyDescent="0.2">
      <c r="A41" s="29">
        <v>40</v>
      </c>
      <c r="B41" s="13">
        <v>44693.481481867282</v>
      </c>
      <c r="C41" s="14" t="s">
        <v>30</v>
      </c>
      <c r="D41" s="15">
        <v>36907.285851159708</v>
      </c>
      <c r="E41" s="16">
        <v>12588.417016120156</v>
      </c>
      <c r="F41" s="17">
        <v>-327019.66428862832</v>
      </c>
      <c r="G41" s="25">
        <v>69764.397321579861</v>
      </c>
      <c r="H41" s="26">
        <v>12050</v>
      </c>
      <c r="I41" s="24">
        <v>-335657.72548585641</v>
      </c>
      <c r="J41">
        <f t="shared" si="0"/>
        <v>33978</v>
      </c>
      <c r="K41" s="18">
        <v>0</v>
      </c>
      <c r="L41">
        <f t="shared" si="1"/>
        <v>0</v>
      </c>
      <c r="M41" s="19">
        <v>0</v>
      </c>
      <c r="N41" s="20" t="b">
        <v>0</v>
      </c>
      <c r="O41" s="21">
        <v>-89</v>
      </c>
      <c r="P41" s="26" t="b">
        <f>ABS(Table1[[#This Row],[Estimate error]])-Table1[[#This Row],[Standard Deviation]]&lt;0</f>
        <v>0</v>
      </c>
      <c r="U41" s="11"/>
      <c r="V41" s="12"/>
    </row>
    <row r="42" spans="1:22" x14ac:dyDescent="0.2">
      <c r="A42" s="29">
        <v>41</v>
      </c>
      <c r="B42" s="13">
        <v>44693.481481867282</v>
      </c>
      <c r="C42" s="14" t="s">
        <v>16</v>
      </c>
      <c r="D42" s="15">
        <v>36907.285851159708</v>
      </c>
      <c r="E42" s="16">
        <v>12588.417016120156</v>
      </c>
      <c r="F42" s="17">
        <v>-327019.66428862832</v>
      </c>
      <c r="G42" s="25">
        <v>29805.999043266896</v>
      </c>
      <c r="H42" s="26">
        <v>11187</v>
      </c>
      <c r="I42" s="24">
        <v>-330864.9970057765</v>
      </c>
      <c r="J42">
        <f t="shared" si="0"/>
        <v>8196</v>
      </c>
      <c r="K42" s="18">
        <v>7000</v>
      </c>
      <c r="L42">
        <f t="shared" si="1"/>
        <v>-1196</v>
      </c>
      <c r="M42" s="19">
        <v>600</v>
      </c>
      <c r="N42" s="20" t="b">
        <v>1</v>
      </c>
      <c r="O42" s="21">
        <v>-60</v>
      </c>
      <c r="P42" s="26" t="b">
        <f>ABS(Table1[[#This Row],[Estimate error]])-Table1[[#This Row],[Standard Deviation]]&lt;0</f>
        <v>0</v>
      </c>
      <c r="U42" s="11"/>
      <c r="V42" s="12"/>
    </row>
    <row r="43" spans="1:22" x14ac:dyDescent="0.2">
      <c r="A43" s="29">
        <v>42</v>
      </c>
      <c r="B43" s="13">
        <v>44693.481481867282</v>
      </c>
      <c r="C43" s="14" t="s">
        <v>28</v>
      </c>
      <c r="D43" s="15">
        <v>36907.285851159708</v>
      </c>
      <c r="E43" s="16">
        <v>12588.417016120156</v>
      </c>
      <c r="F43" s="17">
        <v>-327019.66428862832</v>
      </c>
      <c r="G43" s="25">
        <v>47511.84397421257</v>
      </c>
      <c r="H43" s="26">
        <v>12577</v>
      </c>
      <c r="I43" s="24">
        <v>-366209.6994908413</v>
      </c>
      <c r="J43">
        <f t="shared" si="0"/>
        <v>40599</v>
      </c>
      <c r="K43" s="18">
        <v>0</v>
      </c>
      <c r="L43">
        <f t="shared" si="1"/>
        <v>0</v>
      </c>
      <c r="M43" s="19">
        <v>0</v>
      </c>
      <c r="N43" s="20" t="b">
        <v>0</v>
      </c>
      <c r="O43" s="21">
        <v>-93</v>
      </c>
      <c r="P43" s="26" t="b">
        <f>ABS(Table1[[#This Row],[Estimate error]])-Table1[[#This Row],[Standard Deviation]]&lt;0</f>
        <v>0</v>
      </c>
      <c r="U43" s="11"/>
      <c r="V43" s="12"/>
    </row>
    <row r="44" spans="1:22" x14ac:dyDescent="0.2">
      <c r="A44" s="29">
        <v>43</v>
      </c>
      <c r="B44" s="13">
        <v>44693.481481867282</v>
      </c>
      <c r="C44" s="14" t="s">
        <v>29</v>
      </c>
      <c r="D44" s="15">
        <v>36907.285851159708</v>
      </c>
      <c r="E44" s="16">
        <v>12588.417016120156</v>
      </c>
      <c r="F44" s="17">
        <v>-327019.66428862832</v>
      </c>
      <c r="G44" s="25">
        <v>66962.713641439259</v>
      </c>
      <c r="H44" s="26">
        <v>11187</v>
      </c>
      <c r="I44" s="24">
        <v>-324977.11831615516</v>
      </c>
      <c r="J44">
        <f t="shared" si="0"/>
        <v>30157</v>
      </c>
      <c r="K44" s="18">
        <v>31187</v>
      </c>
      <c r="L44">
        <f t="shared" si="1"/>
        <v>1030</v>
      </c>
      <c r="M44" s="19">
        <v>570</v>
      </c>
      <c r="N44" s="20" t="b">
        <v>1</v>
      </c>
      <c r="O44" s="21">
        <v>-75</v>
      </c>
      <c r="P44" s="26" t="b">
        <f>ABS(Table1[[#This Row],[Estimate error]])-Table1[[#This Row],[Standard Deviation]]&lt;0</f>
        <v>0</v>
      </c>
      <c r="U44" s="11"/>
      <c r="V44" s="12"/>
    </row>
    <row r="45" spans="1:22" x14ac:dyDescent="0.2">
      <c r="A45" s="29">
        <v>44</v>
      </c>
      <c r="B45" s="13">
        <v>44693.481481867282</v>
      </c>
      <c r="C45" s="14" t="s">
        <v>17</v>
      </c>
      <c r="D45" s="15">
        <v>36907.285851159708</v>
      </c>
      <c r="E45" s="16">
        <v>12588.417016120156</v>
      </c>
      <c r="F45" s="17">
        <v>-327019.66428862832</v>
      </c>
      <c r="G45" s="25">
        <v>32876.488350740532</v>
      </c>
      <c r="H45" s="26">
        <v>12372</v>
      </c>
      <c r="I45" s="24">
        <v>-351732.9374828916</v>
      </c>
      <c r="J45">
        <f t="shared" si="0"/>
        <v>25041</v>
      </c>
      <c r="K45" s="18">
        <v>26500</v>
      </c>
      <c r="L45">
        <f t="shared" si="1"/>
        <v>1459</v>
      </c>
      <c r="M45" s="19">
        <v>630</v>
      </c>
      <c r="N45" s="20" t="b">
        <v>1</v>
      </c>
      <c r="O45" s="21">
        <v>-81</v>
      </c>
      <c r="P45" s="26" t="b">
        <f>ABS(Table1[[#This Row],[Estimate error]])-Table1[[#This Row],[Standard Deviation]]&lt;0</f>
        <v>0</v>
      </c>
      <c r="U45" s="11"/>
      <c r="V45" s="12"/>
    </row>
    <row r="46" spans="1:22" x14ac:dyDescent="0.2">
      <c r="A46" s="29">
        <v>45</v>
      </c>
      <c r="B46" s="13">
        <v>44693.481481867282</v>
      </c>
      <c r="C46" s="14" t="s">
        <v>30</v>
      </c>
      <c r="D46" s="15">
        <v>36907.285851159708</v>
      </c>
      <c r="E46" s="16">
        <v>12588.417016120156</v>
      </c>
      <c r="F46" s="17">
        <v>-327019.66428862832</v>
      </c>
      <c r="G46" s="25">
        <v>69764.397321579861</v>
      </c>
      <c r="H46" s="26">
        <v>12050</v>
      </c>
      <c r="I46" s="24">
        <v>-335657.72548585641</v>
      </c>
      <c r="J46">
        <f t="shared" si="0"/>
        <v>33978</v>
      </c>
      <c r="K46" s="18">
        <v>0</v>
      </c>
      <c r="L46">
        <f t="shared" si="1"/>
        <v>0</v>
      </c>
      <c r="M46" s="19">
        <v>0</v>
      </c>
      <c r="N46" s="20" t="b">
        <v>0</v>
      </c>
      <c r="O46" s="21">
        <v>-89</v>
      </c>
      <c r="P46" s="26" t="b">
        <f>ABS(Table1[[#This Row],[Estimate error]])-Table1[[#This Row],[Standard Deviation]]&lt;0</f>
        <v>0</v>
      </c>
      <c r="U46" s="11"/>
      <c r="V46" s="12"/>
    </row>
    <row r="47" spans="1:22" x14ac:dyDescent="0.2">
      <c r="A47" s="29">
        <v>46</v>
      </c>
      <c r="B47" s="13">
        <v>44693.482971759258</v>
      </c>
      <c r="C47" s="14" t="s">
        <v>16</v>
      </c>
      <c r="D47" s="15">
        <v>43818.866351454257</v>
      </c>
      <c r="E47" s="16">
        <v>12821.855127299792</v>
      </c>
      <c r="F47" s="17">
        <v>-318920.3888060053</v>
      </c>
      <c r="G47" s="25">
        <v>29805.999043266896</v>
      </c>
      <c r="H47" s="26">
        <v>11187</v>
      </c>
      <c r="I47" s="24">
        <v>-330864.9970057765</v>
      </c>
      <c r="J47">
        <f t="shared" si="0"/>
        <v>18485</v>
      </c>
      <c r="K47" s="18">
        <v>0</v>
      </c>
      <c r="L47">
        <f t="shared" si="1"/>
        <v>0</v>
      </c>
      <c r="M47" s="19">
        <v>0</v>
      </c>
      <c r="N47" s="20" t="b">
        <v>0</v>
      </c>
      <c r="O47" s="21">
        <v>-91</v>
      </c>
      <c r="P47" s="26" t="b">
        <f>ABS(Table1[[#This Row],[Estimate error]])-Table1[[#This Row],[Standard Deviation]]&lt;0</f>
        <v>0</v>
      </c>
      <c r="U47" s="11"/>
      <c r="V47" s="12"/>
    </row>
    <row r="48" spans="1:22" x14ac:dyDescent="0.2">
      <c r="A48" s="29">
        <v>47</v>
      </c>
      <c r="B48" s="13">
        <v>44693.482971759258</v>
      </c>
      <c r="C48" s="14" t="s">
        <v>29</v>
      </c>
      <c r="D48" s="15">
        <v>43818.866351454257</v>
      </c>
      <c r="E48" s="16">
        <v>12821.855127299792</v>
      </c>
      <c r="F48" s="17">
        <v>-318920.3888060053</v>
      </c>
      <c r="G48" s="25">
        <v>66962.713641439259</v>
      </c>
      <c r="H48" s="26">
        <v>11187</v>
      </c>
      <c r="I48" s="24">
        <v>-324977.11831615516</v>
      </c>
      <c r="J48">
        <f t="shared" si="0"/>
        <v>23979</v>
      </c>
      <c r="K48" s="18">
        <v>25187</v>
      </c>
      <c r="L48">
        <f t="shared" si="1"/>
        <v>1208</v>
      </c>
      <c r="M48" s="19">
        <v>645</v>
      </c>
      <c r="N48" s="20" t="b">
        <v>1</v>
      </c>
      <c r="O48" s="21">
        <v>-64</v>
      </c>
      <c r="P48" s="26" t="b">
        <f>ABS(Table1[[#This Row],[Estimate error]])-Table1[[#This Row],[Standard Deviation]]&lt;0</f>
        <v>0</v>
      </c>
      <c r="U48" s="11"/>
      <c r="V48" s="12"/>
    </row>
    <row r="49" spans="1:22" x14ac:dyDescent="0.2">
      <c r="A49" s="29">
        <v>48</v>
      </c>
      <c r="B49" s="13">
        <v>44693.482971759258</v>
      </c>
      <c r="C49" s="14" t="s">
        <v>31</v>
      </c>
      <c r="D49" s="15">
        <v>43818.866351454257</v>
      </c>
      <c r="E49" s="16">
        <v>12821.855127299792</v>
      </c>
      <c r="F49" s="17">
        <v>-318920.3888060053</v>
      </c>
      <c r="G49" s="25">
        <v>74177.481073078248</v>
      </c>
      <c r="H49" s="26">
        <v>11187</v>
      </c>
      <c r="I49" s="24">
        <v>-356447.89152410487</v>
      </c>
      <c r="J49">
        <f t="shared" si="0"/>
        <v>48297</v>
      </c>
      <c r="K49" s="18">
        <v>0</v>
      </c>
      <c r="L49">
        <f t="shared" si="1"/>
        <v>0</v>
      </c>
      <c r="M49" s="19">
        <v>0</v>
      </c>
      <c r="N49" s="20" t="b">
        <v>0</v>
      </c>
      <c r="O49" s="21">
        <v>-87</v>
      </c>
      <c r="P49" s="26" t="b">
        <f>ABS(Table1[[#This Row],[Estimate error]])-Table1[[#This Row],[Standard Deviation]]&lt;0</f>
        <v>0</v>
      </c>
      <c r="U49" s="11"/>
      <c r="V49" s="12"/>
    </row>
    <row r="50" spans="1:22" x14ac:dyDescent="0.2">
      <c r="A50" s="29">
        <v>49</v>
      </c>
      <c r="B50" s="13">
        <v>44693.482971759258</v>
      </c>
      <c r="C50" s="14" t="s">
        <v>30</v>
      </c>
      <c r="D50" s="15">
        <v>43818.866351454257</v>
      </c>
      <c r="E50" s="16">
        <v>12821.855127299792</v>
      </c>
      <c r="F50" s="17">
        <v>-318920.3888060053</v>
      </c>
      <c r="G50" s="25">
        <v>69764.397321579861</v>
      </c>
      <c r="H50" s="26">
        <v>12050</v>
      </c>
      <c r="I50" s="24">
        <v>-335657.72548585641</v>
      </c>
      <c r="J50">
        <f t="shared" si="0"/>
        <v>30885</v>
      </c>
      <c r="K50" s="18">
        <v>33000</v>
      </c>
      <c r="L50">
        <f t="shared" si="1"/>
        <v>2115</v>
      </c>
      <c r="M50" s="19">
        <v>750</v>
      </c>
      <c r="N50" s="20" t="b">
        <v>1</v>
      </c>
      <c r="O50" s="21">
        <v>-80</v>
      </c>
      <c r="P50" s="26" t="b">
        <f>ABS(Table1[[#This Row],[Estimate error]])-Table1[[#This Row],[Standard Deviation]]&lt;0</f>
        <v>0</v>
      </c>
      <c r="U50" s="11"/>
      <c r="V50" s="12"/>
    </row>
    <row r="51" spans="1:22" x14ac:dyDescent="0.2">
      <c r="A51" s="29">
        <v>50</v>
      </c>
      <c r="B51" s="13">
        <v>44693.482971759258</v>
      </c>
      <c r="C51" s="14" t="s">
        <v>16</v>
      </c>
      <c r="D51" s="15">
        <v>43818.866351454257</v>
      </c>
      <c r="E51" s="16">
        <v>12821.855127299792</v>
      </c>
      <c r="F51" s="17">
        <v>-318920.3888060053</v>
      </c>
      <c r="G51" s="25">
        <v>29805.999043266896</v>
      </c>
      <c r="H51" s="26">
        <v>11187</v>
      </c>
      <c r="I51" s="24">
        <v>-330864.9970057765</v>
      </c>
      <c r="J51">
        <f t="shared" si="0"/>
        <v>18485</v>
      </c>
      <c r="K51" s="18">
        <v>0</v>
      </c>
      <c r="L51">
        <f t="shared" si="1"/>
        <v>0</v>
      </c>
      <c r="M51" s="19">
        <v>0</v>
      </c>
      <c r="N51" s="20" t="b">
        <v>0</v>
      </c>
      <c r="O51" s="21">
        <v>-91</v>
      </c>
      <c r="P51" s="26" t="b">
        <f>ABS(Table1[[#This Row],[Estimate error]])-Table1[[#This Row],[Standard Deviation]]&lt;0</f>
        <v>0</v>
      </c>
      <c r="U51" s="11"/>
      <c r="V51" s="12"/>
    </row>
    <row r="52" spans="1:22" x14ac:dyDescent="0.2">
      <c r="A52" s="29">
        <v>51</v>
      </c>
      <c r="B52" s="13">
        <v>44693.482971759258</v>
      </c>
      <c r="C52" s="14" t="s">
        <v>29</v>
      </c>
      <c r="D52" s="15">
        <v>43818.866351454257</v>
      </c>
      <c r="E52" s="16">
        <v>12821.855127299792</v>
      </c>
      <c r="F52" s="17">
        <v>-318920.3888060053</v>
      </c>
      <c r="G52" s="25">
        <v>66962.713641439259</v>
      </c>
      <c r="H52" s="26">
        <v>11187</v>
      </c>
      <c r="I52" s="24">
        <v>-324977.11831615516</v>
      </c>
      <c r="J52">
        <f t="shared" si="0"/>
        <v>23979</v>
      </c>
      <c r="K52" s="18">
        <v>24750</v>
      </c>
      <c r="L52">
        <f t="shared" si="1"/>
        <v>771</v>
      </c>
      <c r="M52" s="19">
        <v>525</v>
      </c>
      <c r="N52" s="20" t="b">
        <v>1</v>
      </c>
      <c r="O52" s="21">
        <v>-64</v>
      </c>
      <c r="P52" s="26" t="b">
        <f>ABS(Table1[[#This Row],[Estimate error]])-Table1[[#This Row],[Standard Deviation]]&lt;0</f>
        <v>0</v>
      </c>
      <c r="U52" s="11"/>
      <c r="V52" s="12"/>
    </row>
    <row r="53" spans="1:22" x14ac:dyDescent="0.2">
      <c r="A53" s="29">
        <v>52</v>
      </c>
      <c r="B53" s="13">
        <v>44693.482971759258</v>
      </c>
      <c r="C53" s="14" t="s">
        <v>31</v>
      </c>
      <c r="D53" s="15">
        <v>43818.866351454257</v>
      </c>
      <c r="E53" s="16">
        <v>12821.855127299792</v>
      </c>
      <c r="F53" s="17">
        <v>-318920.3888060053</v>
      </c>
      <c r="G53" s="25">
        <v>74177.481073078248</v>
      </c>
      <c r="H53" s="26">
        <v>11187</v>
      </c>
      <c r="I53" s="24">
        <v>-356447.89152410487</v>
      </c>
      <c r="J53">
        <f t="shared" si="0"/>
        <v>48297</v>
      </c>
      <c r="K53" s="18">
        <v>0</v>
      </c>
      <c r="L53">
        <f t="shared" si="1"/>
        <v>0</v>
      </c>
      <c r="M53" s="19">
        <v>0</v>
      </c>
      <c r="N53" s="20" t="b">
        <v>0</v>
      </c>
      <c r="O53" s="21">
        <v>-87</v>
      </c>
      <c r="P53" s="26" t="b">
        <f>ABS(Table1[[#This Row],[Estimate error]])-Table1[[#This Row],[Standard Deviation]]&lt;0</f>
        <v>0</v>
      </c>
      <c r="U53" s="11"/>
      <c r="V53" s="12"/>
    </row>
    <row r="54" spans="1:22" x14ac:dyDescent="0.2">
      <c r="A54" s="29">
        <v>53</v>
      </c>
      <c r="B54" s="13">
        <v>44693.482971759258</v>
      </c>
      <c r="C54" s="14" t="s">
        <v>30</v>
      </c>
      <c r="D54" s="15">
        <v>43818.866351454257</v>
      </c>
      <c r="E54" s="16">
        <v>12821.855127299792</v>
      </c>
      <c r="F54" s="17">
        <v>-318920.3888060053</v>
      </c>
      <c r="G54" s="25">
        <v>69764.397321579861</v>
      </c>
      <c r="H54" s="26">
        <v>12050</v>
      </c>
      <c r="I54" s="24">
        <v>-335657.72548585641</v>
      </c>
      <c r="J54">
        <f t="shared" si="0"/>
        <v>30885</v>
      </c>
      <c r="K54" s="18">
        <v>33000</v>
      </c>
      <c r="L54">
        <f t="shared" si="1"/>
        <v>2115</v>
      </c>
      <c r="M54" s="19">
        <v>1095</v>
      </c>
      <c r="N54" s="20" t="b">
        <v>1</v>
      </c>
      <c r="O54" s="21">
        <v>-80</v>
      </c>
      <c r="P54" s="26" t="b">
        <f>ABS(Table1[[#This Row],[Estimate error]])-Table1[[#This Row],[Standard Deviation]]&lt;0</f>
        <v>0</v>
      </c>
      <c r="U54" s="11"/>
      <c r="V54" s="12"/>
    </row>
    <row r="55" spans="1:22" x14ac:dyDescent="0.2">
      <c r="A55" s="29">
        <v>54</v>
      </c>
      <c r="B55" s="13">
        <v>44693.482971759258</v>
      </c>
      <c r="C55" s="14" t="s">
        <v>16</v>
      </c>
      <c r="D55" s="15">
        <v>43818.866351454257</v>
      </c>
      <c r="E55" s="16">
        <v>12821.855127299792</v>
      </c>
      <c r="F55" s="17">
        <v>-318920.3888060053</v>
      </c>
      <c r="G55" s="25">
        <v>29805.999043266896</v>
      </c>
      <c r="H55" s="26">
        <v>11187</v>
      </c>
      <c r="I55" s="24">
        <v>-330864.9970057765</v>
      </c>
      <c r="J55">
        <f t="shared" si="0"/>
        <v>18485</v>
      </c>
      <c r="K55" s="18">
        <v>0</v>
      </c>
      <c r="L55">
        <f t="shared" si="1"/>
        <v>0</v>
      </c>
      <c r="M55" s="19">
        <v>0</v>
      </c>
      <c r="N55" s="20" t="b">
        <v>0</v>
      </c>
      <c r="O55" s="21">
        <v>-91</v>
      </c>
      <c r="P55" s="26" t="b">
        <f>ABS(Table1[[#This Row],[Estimate error]])-Table1[[#This Row],[Standard Deviation]]&lt;0</f>
        <v>0</v>
      </c>
      <c r="U55" s="11"/>
      <c r="V55" s="12"/>
    </row>
    <row r="56" spans="1:22" x14ac:dyDescent="0.2">
      <c r="A56" s="29">
        <v>55</v>
      </c>
      <c r="B56" s="13">
        <v>44693.482971759258</v>
      </c>
      <c r="C56" s="14" t="s">
        <v>29</v>
      </c>
      <c r="D56" s="15">
        <v>43818.866351454257</v>
      </c>
      <c r="E56" s="16">
        <v>12821.855127299792</v>
      </c>
      <c r="F56" s="17">
        <v>-318920.3888060053</v>
      </c>
      <c r="G56" s="25">
        <v>66962.713641439259</v>
      </c>
      <c r="H56" s="26">
        <v>11187</v>
      </c>
      <c r="I56" s="24">
        <v>-324977.11831615516</v>
      </c>
      <c r="J56">
        <f t="shared" si="0"/>
        <v>23979</v>
      </c>
      <c r="K56" s="18">
        <v>24437</v>
      </c>
      <c r="L56">
        <f t="shared" si="1"/>
        <v>458</v>
      </c>
      <c r="M56" s="19">
        <v>540</v>
      </c>
      <c r="N56" s="20" t="b">
        <v>1</v>
      </c>
      <c r="O56" s="21">
        <v>-64</v>
      </c>
      <c r="P56" s="26" t="b">
        <f>ABS(Table1[[#This Row],[Estimate error]])-Table1[[#This Row],[Standard Deviation]]&lt;0</f>
        <v>1</v>
      </c>
      <c r="U56" s="11"/>
      <c r="V56" s="12"/>
    </row>
    <row r="57" spans="1:22" x14ac:dyDescent="0.2">
      <c r="A57" s="29">
        <v>56</v>
      </c>
      <c r="B57" s="13">
        <v>44693.482971759258</v>
      </c>
      <c r="C57" s="14" t="s">
        <v>31</v>
      </c>
      <c r="D57" s="15">
        <v>43818.866351454257</v>
      </c>
      <c r="E57" s="16">
        <v>12821.855127299792</v>
      </c>
      <c r="F57" s="17">
        <v>-318920.3888060053</v>
      </c>
      <c r="G57" s="25">
        <v>74177.481073078248</v>
      </c>
      <c r="H57" s="26">
        <v>11187</v>
      </c>
      <c r="I57" s="24">
        <v>-356447.89152410487</v>
      </c>
      <c r="J57">
        <f t="shared" si="0"/>
        <v>48297</v>
      </c>
      <c r="K57" s="18">
        <v>0</v>
      </c>
      <c r="L57">
        <f t="shared" si="1"/>
        <v>0</v>
      </c>
      <c r="M57" s="19">
        <v>0</v>
      </c>
      <c r="N57" s="20" t="b">
        <v>0</v>
      </c>
      <c r="O57" s="21">
        <v>-87</v>
      </c>
      <c r="P57" s="26" t="b">
        <f>ABS(Table1[[#This Row],[Estimate error]])-Table1[[#This Row],[Standard Deviation]]&lt;0</f>
        <v>0</v>
      </c>
      <c r="U57" s="11"/>
      <c r="V57" s="12"/>
    </row>
    <row r="58" spans="1:22" x14ac:dyDescent="0.2">
      <c r="A58" s="29">
        <v>57</v>
      </c>
      <c r="B58" s="13">
        <v>44693.482971759258</v>
      </c>
      <c r="C58" s="14" t="s">
        <v>30</v>
      </c>
      <c r="D58" s="15">
        <v>43818.866351454257</v>
      </c>
      <c r="E58" s="16">
        <v>12821.855127299792</v>
      </c>
      <c r="F58" s="17">
        <v>-318920.3888060053</v>
      </c>
      <c r="G58" s="25">
        <v>69764.397321579861</v>
      </c>
      <c r="H58" s="26">
        <v>12050</v>
      </c>
      <c r="I58" s="24">
        <v>-335657.72548585641</v>
      </c>
      <c r="J58">
        <f t="shared" si="0"/>
        <v>30885</v>
      </c>
      <c r="K58" s="18">
        <v>32812</v>
      </c>
      <c r="L58">
        <f t="shared" si="1"/>
        <v>1927</v>
      </c>
      <c r="M58" s="19">
        <v>1020</v>
      </c>
      <c r="N58" s="20" t="b">
        <v>1</v>
      </c>
      <c r="O58" s="21">
        <v>-80</v>
      </c>
      <c r="P58" s="26" t="b">
        <f>ABS(Table1[[#This Row],[Estimate error]])-Table1[[#This Row],[Standard Deviation]]&lt;0</f>
        <v>0</v>
      </c>
      <c r="U58" s="11"/>
      <c r="V58" s="12"/>
    </row>
    <row r="59" spans="1:22" x14ac:dyDescent="0.2">
      <c r="A59" s="29">
        <v>58</v>
      </c>
      <c r="B59" s="13">
        <v>44693.482971759258</v>
      </c>
      <c r="C59" s="14" t="s">
        <v>16</v>
      </c>
      <c r="D59" s="15">
        <v>43818.866351454257</v>
      </c>
      <c r="E59" s="16">
        <v>12821.855127299792</v>
      </c>
      <c r="F59" s="17">
        <v>-318920.3888060053</v>
      </c>
      <c r="G59" s="25">
        <v>29805.999043266896</v>
      </c>
      <c r="H59" s="26">
        <v>11187</v>
      </c>
      <c r="I59" s="24">
        <v>-330864.9970057765</v>
      </c>
      <c r="J59">
        <f t="shared" si="0"/>
        <v>18485</v>
      </c>
      <c r="K59" s="18">
        <v>0</v>
      </c>
      <c r="L59">
        <f t="shared" si="1"/>
        <v>0</v>
      </c>
      <c r="M59" s="19">
        <v>0</v>
      </c>
      <c r="N59" s="20" t="b">
        <v>0</v>
      </c>
      <c r="O59" s="21">
        <v>-91</v>
      </c>
      <c r="P59" s="26" t="b">
        <f>ABS(Table1[[#This Row],[Estimate error]])-Table1[[#This Row],[Standard Deviation]]&lt;0</f>
        <v>0</v>
      </c>
      <c r="U59" s="11"/>
      <c r="V59" s="12"/>
    </row>
    <row r="60" spans="1:22" x14ac:dyDescent="0.2">
      <c r="A60" s="29">
        <v>59</v>
      </c>
      <c r="B60" s="13">
        <v>44693.482971759258</v>
      </c>
      <c r="C60" s="14" t="s">
        <v>29</v>
      </c>
      <c r="D60" s="15">
        <v>43818.866351454257</v>
      </c>
      <c r="E60" s="16">
        <v>12821.855127299792</v>
      </c>
      <c r="F60" s="17">
        <v>-318920.3888060053</v>
      </c>
      <c r="G60" s="25">
        <v>66962.713641439259</v>
      </c>
      <c r="H60" s="26">
        <v>11187</v>
      </c>
      <c r="I60" s="24">
        <v>-324977.11831615516</v>
      </c>
      <c r="J60">
        <f t="shared" si="0"/>
        <v>23979</v>
      </c>
      <c r="K60" s="18">
        <v>24750</v>
      </c>
      <c r="L60">
        <f t="shared" si="1"/>
        <v>771</v>
      </c>
      <c r="M60" s="19">
        <v>660</v>
      </c>
      <c r="N60" s="20" t="b">
        <v>1</v>
      </c>
      <c r="O60" s="21">
        <v>-64</v>
      </c>
      <c r="P60" s="26" t="b">
        <f>ABS(Table1[[#This Row],[Estimate error]])-Table1[[#This Row],[Standard Deviation]]&lt;0</f>
        <v>0</v>
      </c>
      <c r="U60" s="11"/>
      <c r="V60" s="12"/>
    </row>
    <row r="61" spans="1:22" x14ac:dyDescent="0.2">
      <c r="A61" s="29">
        <v>60</v>
      </c>
      <c r="B61" s="13">
        <v>44693.482971759258</v>
      </c>
      <c r="C61" s="14" t="s">
        <v>31</v>
      </c>
      <c r="D61" s="15">
        <v>43818.866351454257</v>
      </c>
      <c r="E61" s="16">
        <v>12821.855127299792</v>
      </c>
      <c r="F61" s="17">
        <v>-318920.3888060053</v>
      </c>
      <c r="G61" s="25">
        <v>74177.481073078248</v>
      </c>
      <c r="H61" s="26">
        <v>11187</v>
      </c>
      <c r="I61" s="24">
        <v>-356447.89152410487</v>
      </c>
      <c r="J61">
        <f t="shared" si="0"/>
        <v>48297</v>
      </c>
      <c r="K61" s="18">
        <v>0</v>
      </c>
      <c r="L61">
        <f t="shared" si="1"/>
        <v>0</v>
      </c>
      <c r="M61" s="19">
        <v>0</v>
      </c>
      <c r="N61" s="20" t="b">
        <v>0</v>
      </c>
      <c r="O61" s="21">
        <v>-87</v>
      </c>
      <c r="P61" s="26" t="b">
        <f>ABS(Table1[[#This Row],[Estimate error]])-Table1[[#This Row],[Standard Deviation]]&lt;0</f>
        <v>0</v>
      </c>
      <c r="U61" s="11"/>
      <c r="V61" s="12"/>
    </row>
    <row r="62" spans="1:22" x14ac:dyDescent="0.2">
      <c r="A62" s="29">
        <v>61</v>
      </c>
      <c r="B62" s="13">
        <v>44693.482971759258</v>
      </c>
      <c r="C62" s="14" t="s">
        <v>30</v>
      </c>
      <c r="D62" s="15">
        <v>43818.866351454257</v>
      </c>
      <c r="E62" s="16">
        <v>12821.855127299792</v>
      </c>
      <c r="F62" s="17">
        <v>-318920.3888060053</v>
      </c>
      <c r="G62" s="25">
        <v>69764.397321579861</v>
      </c>
      <c r="H62" s="26">
        <v>12050</v>
      </c>
      <c r="I62" s="24">
        <v>-335657.72548585641</v>
      </c>
      <c r="J62">
        <f t="shared" si="0"/>
        <v>30885</v>
      </c>
      <c r="K62" s="18">
        <v>32812</v>
      </c>
      <c r="L62">
        <f t="shared" si="1"/>
        <v>1927</v>
      </c>
      <c r="M62" s="19">
        <v>885</v>
      </c>
      <c r="N62" s="20" t="b">
        <v>1</v>
      </c>
      <c r="O62" s="21">
        <v>-80</v>
      </c>
      <c r="P62" s="26" t="b">
        <f>ABS(Table1[[#This Row],[Estimate error]])-Table1[[#This Row],[Standard Deviation]]&lt;0</f>
        <v>0</v>
      </c>
      <c r="U62" s="11"/>
      <c r="V62" s="12"/>
    </row>
    <row r="63" spans="1:22" x14ac:dyDescent="0.2">
      <c r="A63" s="29">
        <v>62</v>
      </c>
      <c r="B63" s="13">
        <v>44693.482971759258</v>
      </c>
      <c r="C63" s="14" t="s">
        <v>16</v>
      </c>
      <c r="D63" s="15">
        <v>43818.866351454257</v>
      </c>
      <c r="E63" s="16">
        <v>12821.855127299792</v>
      </c>
      <c r="F63" s="17">
        <v>-318920.3888060053</v>
      </c>
      <c r="G63" s="25">
        <v>29805.999043266896</v>
      </c>
      <c r="H63" s="26">
        <v>11187</v>
      </c>
      <c r="I63" s="24">
        <v>-330864.9970057765</v>
      </c>
      <c r="J63">
        <f t="shared" si="0"/>
        <v>18485</v>
      </c>
      <c r="K63" s="18">
        <v>0</v>
      </c>
      <c r="L63">
        <f t="shared" si="1"/>
        <v>0</v>
      </c>
      <c r="M63" s="19">
        <v>0</v>
      </c>
      <c r="N63" s="20" t="b">
        <v>0</v>
      </c>
      <c r="O63" s="21">
        <v>-91</v>
      </c>
      <c r="P63" s="26" t="b">
        <f>ABS(Table1[[#This Row],[Estimate error]])-Table1[[#This Row],[Standard Deviation]]&lt;0</f>
        <v>0</v>
      </c>
      <c r="U63" s="11"/>
      <c r="V63" s="12"/>
    </row>
    <row r="64" spans="1:22" x14ac:dyDescent="0.2">
      <c r="A64" s="29">
        <v>63</v>
      </c>
      <c r="B64" s="13">
        <v>44693.482971759258</v>
      </c>
      <c r="C64" s="14" t="s">
        <v>29</v>
      </c>
      <c r="D64" s="15">
        <v>43818.866351454257</v>
      </c>
      <c r="E64" s="16">
        <v>12821.855127299792</v>
      </c>
      <c r="F64" s="17">
        <v>-318920.3888060053</v>
      </c>
      <c r="G64" s="25">
        <v>66962.713641439259</v>
      </c>
      <c r="H64" s="26">
        <v>11187</v>
      </c>
      <c r="I64" s="24">
        <v>-324977.11831615516</v>
      </c>
      <c r="J64">
        <f t="shared" si="0"/>
        <v>23979</v>
      </c>
      <c r="K64" s="18">
        <v>24750</v>
      </c>
      <c r="L64">
        <f t="shared" si="1"/>
        <v>771</v>
      </c>
      <c r="M64" s="19">
        <v>675</v>
      </c>
      <c r="N64" s="20" t="b">
        <v>1</v>
      </c>
      <c r="O64" s="21">
        <v>-64</v>
      </c>
      <c r="P64" s="26" t="b">
        <f>ABS(Table1[[#This Row],[Estimate error]])-Table1[[#This Row],[Standard Deviation]]&lt;0</f>
        <v>0</v>
      </c>
      <c r="U64" s="11"/>
      <c r="V64" s="12"/>
    </row>
    <row r="65" spans="1:22" x14ac:dyDescent="0.2">
      <c r="A65" s="29">
        <v>64</v>
      </c>
      <c r="B65" s="13">
        <v>44693.482971759258</v>
      </c>
      <c r="C65" s="14" t="s">
        <v>31</v>
      </c>
      <c r="D65" s="15">
        <v>43818.866351454257</v>
      </c>
      <c r="E65" s="16">
        <v>12821.855127299792</v>
      </c>
      <c r="F65" s="17">
        <v>-318920.3888060053</v>
      </c>
      <c r="G65" s="25">
        <v>74177.481073078248</v>
      </c>
      <c r="H65" s="26">
        <v>11187</v>
      </c>
      <c r="I65" s="24">
        <v>-356447.89152410487</v>
      </c>
      <c r="J65">
        <f t="shared" si="0"/>
        <v>48297</v>
      </c>
      <c r="K65" s="18">
        <v>0</v>
      </c>
      <c r="L65">
        <f t="shared" si="1"/>
        <v>0</v>
      </c>
      <c r="M65" s="19">
        <v>0</v>
      </c>
      <c r="N65" s="20" t="b">
        <v>0</v>
      </c>
      <c r="O65" s="21">
        <v>-87</v>
      </c>
      <c r="P65" s="26" t="b">
        <f>ABS(Table1[[#This Row],[Estimate error]])-Table1[[#This Row],[Standard Deviation]]&lt;0</f>
        <v>0</v>
      </c>
      <c r="U65" s="11"/>
      <c r="V65" s="12"/>
    </row>
    <row r="66" spans="1:22" x14ac:dyDescent="0.2">
      <c r="A66" s="29">
        <v>65</v>
      </c>
      <c r="B66" s="13">
        <v>44693.482971759258</v>
      </c>
      <c r="C66" s="14" t="s">
        <v>30</v>
      </c>
      <c r="D66" s="15">
        <v>43818.866351454257</v>
      </c>
      <c r="E66" s="16">
        <v>12821.855127299792</v>
      </c>
      <c r="F66" s="17">
        <v>-318920.3888060053</v>
      </c>
      <c r="G66" s="25">
        <v>69764.397321579861</v>
      </c>
      <c r="H66" s="26">
        <v>12050</v>
      </c>
      <c r="I66" s="24">
        <v>-335657.72548585641</v>
      </c>
      <c r="J66">
        <f t="shared" ref="J66:J129" si="2">ROUND(SQRT((G66-D66)^2+(H66-E66)^2+(I66-F66)^2),0)</f>
        <v>30885</v>
      </c>
      <c r="K66" s="18">
        <v>33125</v>
      </c>
      <c r="L66">
        <f t="shared" ref="L66:L129" si="3">ROUND(IF(N66,K66-J66,0),1)</f>
        <v>2240</v>
      </c>
      <c r="M66" s="19">
        <v>735</v>
      </c>
      <c r="N66" s="20" t="b">
        <v>1</v>
      </c>
      <c r="O66" s="21">
        <v>-80</v>
      </c>
      <c r="P66" s="26" t="b">
        <f>ABS(Table1[[#This Row],[Estimate error]])-Table1[[#This Row],[Standard Deviation]]&lt;0</f>
        <v>0</v>
      </c>
      <c r="U66" s="11"/>
      <c r="V66" s="12"/>
    </row>
    <row r="67" spans="1:22" x14ac:dyDescent="0.2">
      <c r="A67" s="29">
        <v>66</v>
      </c>
      <c r="B67" s="13">
        <v>44693.483453125002</v>
      </c>
      <c r="C67" s="14" t="s">
        <v>16</v>
      </c>
      <c r="D67" s="15">
        <v>50282.355008671017</v>
      </c>
      <c r="E67" s="16">
        <v>13019.648047409179</v>
      </c>
      <c r="F67" s="17">
        <v>-317185.22308557032</v>
      </c>
      <c r="G67" s="25">
        <v>29805.999043266896</v>
      </c>
      <c r="H67" s="26">
        <v>11187</v>
      </c>
      <c r="I67" s="24">
        <v>-330864.9970057765</v>
      </c>
      <c r="J67">
        <f t="shared" si="2"/>
        <v>24694</v>
      </c>
      <c r="K67" s="18">
        <v>0</v>
      </c>
      <c r="L67">
        <f t="shared" si="3"/>
        <v>0</v>
      </c>
      <c r="M67" s="19">
        <v>0</v>
      </c>
      <c r="N67" s="20" t="b">
        <v>0</v>
      </c>
      <c r="O67" s="21">
        <v>-88</v>
      </c>
      <c r="P67" s="26" t="b">
        <f>ABS(Table1[[#This Row],[Estimate error]])-Table1[[#This Row],[Standard Deviation]]&lt;0</f>
        <v>0</v>
      </c>
      <c r="U67" s="11"/>
      <c r="V67" s="12"/>
    </row>
    <row r="68" spans="1:22" x14ac:dyDescent="0.2">
      <c r="A68" s="29">
        <v>67</v>
      </c>
      <c r="B68" s="13">
        <v>44693.483453125002</v>
      </c>
      <c r="C68" s="14" t="s">
        <v>29</v>
      </c>
      <c r="D68" s="15">
        <v>50282.355008671017</v>
      </c>
      <c r="E68" s="16">
        <v>13019.648047409179</v>
      </c>
      <c r="F68" s="17">
        <v>-317185.22308557032</v>
      </c>
      <c r="G68" s="25">
        <v>66962.713641439259</v>
      </c>
      <c r="H68" s="26">
        <v>11187</v>
      </c>
      <c r="I68" s="24">
        <v>-324977.11831615516</v>
      </c>
      <c r="J68">
        <f t="shared" si="2"/>
        <v>18502</v>
      </c>
      <c r="K68" s="18">
        <v>20375</v>
      </c>
      <c r="L68">
        <f t="shared" si="3"/>
        <v>1873</v>
      </c>
      <c r="M68" s="19">
        <v>615</v>
      </c>
      <c r="N68" s="20" t="b">
        <v>1</v>
      </c>
      <c r="O68" s="21">
        <v>-67</v>
      </c>
      <c r="P68" s="26" t="b">
        <f>ABS(Table1[[#This Row],[Estimate error]])-Table1[[#This Row],[Standard Deviation]]&lt;0</f>
        <v>0</v>
      </c>
      <c r="U68" s="11"/>
      <c r="V68" s="12"/>
    </row>
    <row r="69" spans="1:22" x14ac:dyDescent="0.2">
      <c r="A69" s="29">
        <v>68</v>
      </c>
      <c r="B69" s="13">
        <v>44693.483453125002</v>
      </c>
      <c r="C69" s="14" t="s">
        <v>31</v>
      </c>
      <c r="D69" s="15">
        <v>50282.355008671017</v>
      </c>
      <c r="E69" s="16">
        <v>13019.648047409179</v>
      </c>
      <c r="F69" s="17">
        <v>-317185.22308557032</v>
      </c>
      <c r="G69" s="25">
        <v>74177.481073078248</v>
      </c>
      <c r="H69" s="26">
        <v>11187</v>
      </c>
      <c r="I69" s="24">
        <v>-356447.89152410487</v>
      </c>
      <c r="J69">
        <f t="shared" si="2"/>
        <v>45999</v>
      </c>
      <c r="K69" s="18">
        <v>53812</v>
      </c>
      <c r="L69">
        <f t="shared" si="3"/>
        <v>7813</v>
      </c>
      <c r="M69" s="19">
        <v>0</v>
      </c>
      <c r="N69" s="20" t="b">
        <v>1</v>
      </c>
      <c r="O69" s="21">
        <v>-90</v>
      </c>
      <c r="P69" s="26" t="b">
        <f>ABS(Table1[[#This Row],[Estimate error]])-Table1[[#This Row],[Standard Deviation]]&lt;0</f>
        <v>0</v>
      </c>
      <c r="U69" s="11"/>
      <c r="V69" s="12"/>
    </row>
    <row r="70" spans="1:22" x14ac:dyDescent="0.2">
      <c r="A70" s="29">
        <v>69</v>
      </c>
      <c r="B70" s="13">
        <v>44693.483453125002</v>
      </c>
      <c r="C70" s="14" t="s">
        <v>30</v>
      </c>
      <c r="D70" s="15">
        <v>50282.355008671017</v>
      </c>
      <c r="E70" s="16">
        <v>13019.648047409179</v>
      </c>
      <c r="F70" s="17">
        <v>-317185.22308557032</v>
      </c>
      <c r="G70" s="25">
        <v>69764.397321579861</v>
      </c>
      <c r="H70" s="26">
        <v>12050</v>
      </c>
      <c r="I70" s="24">
        <v>-335657.72548585641</v>
      </c>
      <c r="J70">
        <f t="shared" si="2"/>
        <v>26865</v>
      </c>
      <c r="K70" s="18">
        <v>29500</v>
      </c>
      <c r="L70">
        <f t="shared" si="3"/>
        <v>2635</v>
      </c>
      <c r="M70" s="19">
        <v>675</v>
      </c>
      <c r="N70" s="20" t="b">
        <v>1</v>
      </c>
      <c r="O70" s="21">
        <v>-71</v>
      </c>
      <c r="P70" s="26" t="b">
        <f>ABS(Table1[[#This Row],[Estimate error]])-Table1[[#This Row],[Standard Deviation]]&lt;0</f>
        <v>0</v>
      </c>
      <c r="U70" s="11"/>
      <c r="V70" s="12"/>
    </row>
    <row r="71" spans="1:22" x14ac:dyDescent="0.2">
      <c r="A71" s="29">
        <v>70</v>
      </c>
      <c r="B71" s="13">
        <v>44693.483453125002</v>
      </c>
      <c r="C71" s="14" t="s">
        <v>16</v>
      </c>
      <c r="D71" s="15">
        <v>50282.355008671017</v>
      </c>
      <c r="E71" s="16">
        <v>13019.648047409179</v>
      </c>
      <c r="F71" s="17">
        <v>-317185.22308557032</v>
      </c>
      <c r="G71" s="25">
        <v>29805.999043266896</v>
      </c>
      <c r="H71" s="26">
        <v>11187</v>
      </c>
      <c r="I71" s="24">
        <v>-330864.9970057765</v>
      </c>
      <c r="J71">
        <f t="shared" si="2"/>
        <v>24694</v>
      </c>
      <c r="K71" s="18">
        <v>0</v>
      </c>
      <c r="L71">
        <f t="shared" si="3"/>
        <v>0</v>
      </c>
      <c r="M71" s="19">
        <v>0</v>
      </c>
      <c r="N71" s="20" t="b">
        <v>0</v>
      </c>
      <c r="O71" s="21">
        <v>-88</v>
      </c>
      <c r="P71" s="26" t="b">
        <f>ABS(Table1[[#This Row],[Estimate error]])-Table1[[#This Row],[Standard Deviation]]&lt;0</f>
        <v>0</v>
      </c>
      <c r="U71" s="11"/>
      <c r="V71" s="12"/>
    </row>
    <row r="72" spans="1:22" x14ac:dyDescent="0.2">
      <c r="A72" s="29">
        <v>71</v>
      </c>
      <c r="B72" s="13">
        <v>44693.483453125002</v>
      </c>
      <c r="C72" s="14" t="s">
        <v>29</v>
      </c>
      <c r="D72" s="15">
        <v>50282.355008671017</v>
      </c>
      <c r="E72" s="16">
        <v>13019.648047409179</v>
      </c>
      <c r="F72" s="17">
        <v>-317185.22308557032</v>
      </c>
      <c r="G72" s="25">
        <v>66962.713641439259</v>
      </c>
      <c r="H72" s="26">
        <v>11187</v>
      </c>
      <c r="I72" s="24">
        <v>-324977.11831615516</v>
      </c>
      <c r="J72">
        <f t="shared" si="2"/>
        <v>18502</v>
      </c>
      <c r="K72" s="18">
        <v>19000</v>
      </c>
      <c r="L72">
        <f t="shared" si="3"/>
        <v>498</v>
      </c>
      <c r="M72" s="19">
        <v>750</v>
      </c>
      <c r="N72" s="20" t="b">
        <v>1</v>
      </c>
      <c r="O72" s="21">
        <v>-67</v>
      </c>
      <c r="P72" s="26" t="b">
        <f>ABS(Table1[[#This Row],[Estimate error]])-Table1[[#This Row],[Standard Deviation]]&lt;0</f>
        <v>1</v>
      </c>
      <c r="U72" s="11"/>
      <c r="V72" s="12"/>
    </row>
    <row r="73" spans="1:22" x14ac:dyDescent="0.2">
      <c r="A73" s="29">
        <v>72</v>
      </c>
      <c r="B73" s="13">
        <v>44693.483453125002</v>
      </c>
      <c r="C73" s="14" t="s">
        <v>31</v>
      </c>
      <c r="D73" s="15">
        <v>50282.355008671017</v>
      </c>
      <c r="E73" s="16">
        <v>13019.648047409179</v>
      </c>
      <c r="F73" s="17">
        <v>-317185.22308557032</v>
      </c>
      <c r="G73" s="25">
        <v>74177.481073078248</v>
      </c>
      <c r="H73" s="26">
        <v>11187</v>
      </c>
      <c r="I73" s="24">
        <v>-356447.89152410487</v>
      </c>
      <c r="J73">
        <f t="shared" si="2"/>
        <v>45999</v>
      </c>
      <c r="K73" s="18">
        <v>51562</v>
      </c>
      <c r="L73">
        <f t="shared" si="3"/>
        <v>5563</v>
      </c>
      <c r="M73" s="19">
        <v>1050</v>
      </c>
      <c r="N73" s="20" t="b">
        <v>1</v>
      </c>
      <c r="O73" s="21">
        <v>-90</v>
      </c>
      <c r="P73" s="26" t="b">
        <f>ABS(Table1[[#This Row],[Estimate error]])-Table1[[#This Row],[Standard Deviation]]&lt;0</f>
        <v>0</v>
      </c>
      <c r="U73" s="11"/>
      <c r="V73" s="12"/>
    </row>
    <row r="74" spans="1:22" x14ac:dyDescent="0.2">
      <c r="A74" s="29">
        <v>73</v>
      </c>
      <c r="B74" s="13">
        <v>44693.483453125002</v>
      </c>
      <c r="C74" s="14" t="s">
        <v>30</v>
      </c>
      <c r="D74" s="15">
        <v>50282.355008671017</v>
      </c>
      <c r="E74" s="16">
        <v>13019.648047409179</v>
      </c>
      <c r="F74" s="17">
        <v>-317185.22308557032</v>
      </c>
      <c r="G74" s="25">
        <v>69764.397321579861</v>
      </c>
      <c r="H74" s="26">
        <v>12050</v>
      </c>
      <c r="I74" s="24">
        <v>-335657.72548585641</v>
      </c>
      <c r="J74">
        <f t="shared" si="2"/>
        <v>26865</v>
      </c>
      <c r="K74" s="18">
        <v>37000</v>
      </c>
      <c r="L74">
        <f t="shared" si="3"/>
        <v>10135</v>
      </c>
      <c r="M74" s="19">
        <v>630</v>
      </c>
      <c r="N74" s="20" t="b">
        <v>1</v>
      </c>
      <c r="O74" s="21">
        <v>-71</v>
      </c>
      <c r="P74" s="26" t="b">
        <f>ABS(Table1[[#This Row],[Estimate error]])-Table1[[#This Row],[Standard Deviation]]&lt;0</f>
        <v>0</v>
      </c>
      <c r="U74" s="11"/>
      <c r="V74" s="12"/>
    </row>
    <row r="75" spans="1:22" x14ac:dyDescent="0.2">
      <c r="A75" s="29">
        <v>74</v>
      </c>
      <c r="B75" s="13">
        <v>44693.483453125002</v>
      </c>
      <c r="C75" s="14" t="s">
        <v>16</v>
      </c>
      <c r="D75" s="15">
        <v>50282.355008671017</v>
      </c>
      <c r="E75" s="16">
        <v>13019.648047409179</v>
      </c>
      <c r="F75" s="17">
        <v>-317185.22308557032</v>
      </c>
      <c r="G75" s="25">
        <v>29805.999043266896</v>
      </c>
      <c r="H75" s="26">
        <v>11187</v>
      </c>
      <c r="I75" s="24">
        <v>-330864.9970057765</v>
      </c>
      <c r="J75">
        <f t="shared" si="2"/>
        <v>24694</v>
      </c>
      <c r="K75" s="18">
        <v>0</v>
      </c>
      <c r="L75">
        <f t="shared" si="3"/>
        <v>0</v>
      </c>
      <c r="M75" s="19">
        <v>0</v>
      </c>
      <c r="N75" s="20" t="b">
        <v>0</v>
      </c>
      <c r="O75" s="21">
        <v>-88</v>
      </c>
      <c r="P75" s="26" t="b">
        <f>ABS(Table1[[#This Row],[Estimate error]])-Table1[[#This Row],[Standard Deviation]]&lt;0</f>
        <v>0</v>
      </c>
      <c r="U75" s="11"/>
      <c r="V75" s="12"/>
    </row>
    <row r="76" spans="1:22" x14ac:dyDescent="0.2">
      <c r="A76" s="29">
        <v>75</v>
      </c>
      <c r="B76" s="13">
        <v>44693.483453125002</v>
      </c>
      <c r="C76" s="14" t="s">
        <v>29</v>
      </c>
      <c r="D76" s="15">
        <v>50282.355008671017</v>
      </c>
      <c r="E76" s="16">
        <v>13019.648047409179</v>
      </c>
      <c r="F76" s="17">
        <v>-317185.22308557032</v>
      </c>
      <c r="G76" s="25">
        <v>66962.713641439259</v>
      </c>
      <c r="H76" s="26">
        <v>11187</v>
      </c>
      <c r="I76" s="24">
        <v>-324977.11831615516</v>
      </c>
      <c r="J76">
        <f t="shared" si="2"/>
        <v>18502</v>
      </c>
      <c r="K76" s="18">
        <v>20500</v>
      </c>
      <c r="L76">
        <f t="shared" si="3"/>
        <v>1998</v>
      </c>
      <c r="M76" s="19">
        <v>705</v>
      </c>
      <c r="N76" s="20" t="b">
        <v>1</v>
      </c>
      <c r="O76" s="21">
        <v>-67</v>
      </c>
      <c r="P76" s="26" t="b">
        <f>ABS(Table1[[#This Row],[Estimate error]])-Table1[[#This Row],[Standard Deviation]]&lt;0</f>
        <v>0</v>
      </c>
      <c r="U76" s="11"/>
      <c r="V76" s="12"/>
    </row>
    <row r="77" spans="1:22" x14ac:dyDescent="0.2">
      <c r="A77" s="29">
        <v>76</v>
      </c>
      <c r="B77" s="13">
        <v>44693.483453125002</v>
      </c>
      <c r="C77" s="14" t="s">
        <v>31</v>
      </c>
      <c r="D77" s="15">
        <v>50282.355008671017</v>
      </c>
      <c r="E77" s="16">
        <v>13019.648047409179</v>
      </c>
      <c r="F77" s="17">
        <v>-317185.22308557032</v>
      </c>
      <c r="G77" s="25">
        <v>74177.481073078248</v>
      </c>
      <c r="H77" s="26">
        <v>11187</v>
      </c>
      <c r="I77" s="24">
        <v>-356447.89152410487</v>
      </c>
      <c r="J77">
        <f t="shared" si="2"/>
        <v>45999</v>
      </c>
      <c r="K77" s="18">
        <v>0</v>
      </c>
      <c r="L77">
        <f t="shared" si="3"/>
        <v>0</v>
      </c>
      <c r="M77" s="19">
        <v>0</v>
      </c>
      <c r="N77" s="20" t="b">
        <v>0</v>
      </c>
      <c r="O77" s="21">
        <v>-90</v>
      </c>
      <c r="P77" s="26" t="b">
        <f>ABS(Table1[[#This Row],[Estimate error]])-Table1[[#This Row],[Standard Deviation]]&lt;0</f>
        <v>0</v>
      </c>
      <c r="U77" s="11"/>
      <c r="V77" s="12"/>
    </row>
    <row r="78" spans="1:22" x14ac:dyDescent="0.2">
      <c r="A78" s="29">
        <v>77</v>
      </c>
      <c r="B78" s="13">
        <v>44693.483453125002</v>
      </c>
      <c r="C78" s="14" t="s">
        <v>30</v>
      </c>
      <c r="D78" s="15">
        <v>50282.355008671017</v>
      </c>
      <c r="E78" s="16">
        <v>13019.648047409179</v>
      </c>
      <c r="F78" s="17">
        <v>-317185.22308557032</v>
      </c>
      <c r="G78" s="25">
        <v>69764.397321579861</v>
      </c>
      <c r="H78" s="26">
        <v>12050</v>
      </c>
      <c r="I78" s="24">
        <v>-335657.72548585641</v>
      </c>
      <c r="J78">
        <f t="shared" si="2"/>
        <v>26865</v>
      </c>
      <c r="K78" s="18">
        <v>37000</v>
      </c>
      <c r="L78">
        <f t="shared" si="3"/>
        <v>10135</v>
      </c>
      <c r="M78" s="19">
        <v>915</v>
      </c>
      <c r="N78" s="20" t="b">
        <v>1</v>
      </c>
      <c r="O78" s="21">
        <v>-71</v>
      </c>
      <c r="P78" s="26" t="b">
        <f>ABS(Table1[[#This Row],[Estimate error]])-Table1[[#This Row],[Standard Deviation]]&lt;0</f>
        <v>0</v>
      </c>
      <c r="U78" s="11"/>
      <c r="V78" s="12"/>
    </row>
    <row r="79" spans="1:22" x14ac:dyDescent="0.2">
      <c r="A79" s="29">
        <v>78</v>
      </c>
      <c r="B79" s="13">
        <v>44693.483453125002</v>
      </c>
      <c r="C79" s="14" t="s">
        <v>16</v>
      </c>
      <c r="D79" s="15">
        <v>50282.355008671017</v>
      </c>
      <c r="E79" s="16">
        <v>13019.648047409179</v>
      </c>
      <c r="F79" s="17">
        <v>-317185.22308557032</v>
      </c>
      <c r="G79" s="25">
        <v>29805.999043266896</v>
      </c>
      <c r="H79" s="26">
        <v>11187</v>
      </c>
      <c r="I79" s="24">
        <v>-330864.9970057765</v>
      </c>
      <c r="J79">
        <f t="shared" si="2"/>
        <v>24694</v>
      </c>
      <c r="K79" s="18">
        <v>0</v>
      </c>
      <c r="L79">
        <f t="shared" si="3"/>
        <v>0</v>
      </c>
      <c r="M79" s="19">
        <v>0</v>
      </c>
      <c r="N79" s="20" t="b">
        <v>0</v>
      </c>
      <c r="O79" s="21">
        <v>-88</v>
      </c>
      <c r="P79" s="26" t="b">
        <f>ABS(Table1[[#This Row],[Estimate error]])-Table1[[#This Row],[Standard Deviation]]&lt;0</f>
        <v>0</v>
      </c>
      <c r="U79" s="11"/>
      <c r="V79" s="12"/>
    </row>
    <row r="80" spans="1:22" x14ac:dyDescent="0.2">
      <c r="A80" s="29">
        <v>79</v>
      </c>
      <c r="B80" s="13">
        <v>44693.483453125002</v>
      </c>
      <c r="C80" s="14" t="s">
        <v>29</v>
      </c>
      <c r="D80" s="15">
        <v>50282.355008671017</v>
      </c>
      <c r="E80" s="16">
        <v>13019.648047409179</v>
      </c>
      <c r="F80" s="17">
        <v>-317185.22308557032</v>
      </c>
      <c r="G80" s="25">
        <v>66962.713641439259</v>
      </c>
      <c r="H80" s="26">
        <v>11187</v>
      </c>
      <c r="I80" s="24">
        <v>-324977.11831615516</v>
      </c>
      <c r="J80">
        <f t="shared" si="2"/>
        <v>18502</v>
      </c>
      <c r="K80" s="18">
        <v>19937</v>
      </c>
      <c r="L80">
        <f t="shared" si="3"/>
        <v>1435</v>
      </c>
      <c r="M80" s="19">
        <v>705</v>
      </c>
      <c r="N80" s="20" t="b">
        <v>1</v>
      </c>
      <c r="O80" s="21">
        <v>-67</v>
      </c>
      <c r="P80" s="26" t="b">
        <f>ABS(Table1[[#This Row],[Estimate error]])-Table1[[#This Row],[Standard Deviation]]&lt;0</f>
        <v>0</v>
      </c>
      <c r="U80" s="11"/>
      <c r="V80" s="12"/>
    </row>
    <row r="81" spans="1:22" x14ac:dyDescent="0.2">
      <c r="A81" s="29">
        <v>80</v>
      </c>
      <c r="B81" s="13">
        <v>44693.483453125002</v>
      </c>
      <c r="C81" s="14" t="s">
        <v>31</v>
      </c>
      <c r="D81" s="15">
        <v>50282.355008671017</v>
      </c>
      <c r="E81" s="16">
        <v>13019.648047409179</v>
      </c>
      <c r="F81" s="17">
        <v>-317185.22308557032</v>
      </c>
      <c r="G81" s="25">
        <v>74177.481073078248</v>
      </c>
      <c r="H81" s="26">
        <v>11187</v>
      </c>
      <c r="I81" s="24">
        <v>-356447.89152410487</v>
      </c>
      <c r="J81">
        <f t="shared" si="2"/>
        <v>45999</v>
      </c>
      <c r="K81" s="18">
        <v>0</v>
      </c>
      <c r="L81">
        <f t="shared" si="3"/>
        <v>0</v>
      </c>
      <c r="M81" s="19">
        <v>0</v>
      </c>
      <c r="N81" s="20" t="b">
        <v>0</v>
      </c>
      <c r="O81" s="21">
        <v>-90</v>
      </c>
      <c r="P81" s="26" t="b">
        <f>ABS(Table1[[#This Row],[Estimate error]])-Table1[[#This Row],[Standard Deviation]]&lt;0</f>
        <v>0</v>
      </c>
      <c r="U81" s="11"/>
      <c r="V81" s="12"/>
    </row>
    <row r="82" spans="1:22" x14ac:dyDescent="0.2">
      <c r="A82" s="29">
        <v>81</v>
      </c>
      <c r="B82" s="13">
        <v>44693.483453125002</v>
      </c>
      <c r="C82" s="14" t="s">
        <v>30</v>
      </c>
      <c r="D82" s="15">
        <v>50282.355008671017</v>
      </c>
      <c r="E82" s="16">
        <v>13019.648047409179</v>
      </c>
      <c r="F82" s="17">
        <v>-317185.22308557032</v>
      </c>
      <c r="G82" s="25">
        <v>69764.397321579861</v>
      </c>
      <c r="H82" s="26">
        <v>12050</v>
      </c>
      <c r="I82" s="24">
        <v>-335657.72548585641</v>
      </c>
      <c r="J82">
        <f t="shared" si="2"/>
        <v>26865</v>
      </c>
      <c r="K82" s="18">
        <v>35812</v>
      </c>
      <c r="L82">
        <f t="shared" si="3"/>
        <v>8947</v>
      </c>
      <c r="M82" s="19">
        <v>1635</v>
      </c>
      <c r="N82" s="20" t="b">
        <v>1</v>
      </c>
      <c r="O82" s="21">
        <v>-71</v>
      </c>
      <c r="P82" s="26" t="b">
        <f>ABS(Table1[[#This Row],[Estimate error]])-Table1[[#This Row],[Standard Deviation]]&lt;0</f>
        <v>0</v>
      </c>
      <c r="U82" s="11"/>
      <c r="V82" s="12"/>
    </row>
    <row r="83" spans="1:22" x14ac:dyDescent="0.2">
      <c r="A83" s="29">
        <v>82</v>
      </c>
      <c r="B83" s="13">
        <v>44693.483453125002</v>
      </c>
      <c r="C83" s="14" t="s">
        <v>16</v>
      </c>
      <c r="D83" s="15">
        <v>50282.355008671017</v>
      </c>
      <c r="E83" s="16">
        <v>13019.648047409179</v>
      </c>
      <c r="F83" s="17">
        <v>-317185.22308557032</v>
      </c>
      <c r="G83" s="25">
        <v>29805.999043266896</v>
      </c>
      <c r="H83" s="26">
        <v>11187</v>
      </c>
      <c r="I83" s="24">
        <v>-330864.9970057765</v>
      </c>
      <c r="J83">
        <f t="shared" si="2"/>
        <v>24694</v>
      </c>
      <c r="K83" s="18">
        <v>0</v>
      </c>
      <c r="L83">
        <f t="shared" si="3"/>
        <v>0</v>
      </c>
      <c r="M83" s="19">
        <v>0</v>
      </c>
      <c r="N83" s="20" t="b">
        <v>0</v>
      </c>
      <c r="O83" s="21">
        <v>-88</v>
      </c>
      <c r="P83" s="26" t="b">
        <f>ABS(Table1[[#This Row],[Estimate error]])-Table1[[#This Row],[Standard Deviation]]&lt;0</f>
        <v>0</v>
      </c>
      <c r="U83" s="11"/>
      <c r="V83" s="12"/>
    </row>
    <row r="84" spans="1:22" x14ac:dyDescent="0.2">
      <c r="A84" s="29">
        <v>83</v>
      </c>
      <c r="B84" s="13">
        <v>44693.483453125002</v>
      </c>
      <c r="C84" s="14" t="s">
        <v>29</v>
      </c>
      <c r="D84" s="15">
        <v>50282.355008671017</v>
      </c>
      <c r="E84" s="16">
        <v>13019.648047409179</v>
      </c>
      <c r="F84" s="17">
        <v>-317185.22308557032</v>
      </c>
      <c r="G84" s="25">
        <v>66962.713641439259</v>
      </c>
      <c r="H84" s="26">
        <v>11187</v>
      </c>
      <c r="I84" s="24">
        <v>-324977.11831615516</v>
      </c>
      <c r="J84">
        <f t="shared" si="2"/>
        <v>18502</v>
      </c>
      <c r="K84" s="18">
        <v>19750</v>
      </c>
      <c r="L84">
        <f t="shared" si="3"/>
        <v>1248</v>
      </c>
      <c r="M84" s="19">
        <v>735</v>
      </c>
      <c r="N84" s="20" t="b">
        <v>1</v>
      </c>
      <c r="O84" s="21">
        <v>-67</v>
      </c>
      <c r="P84" s="26" t="b">
        <f>ABS(Table1[[#This Row],[Estimate error]])-Table1[[#This Row],[Standard Deviation]]&lt;0</f>
        <v>0</v>
      </c>
      <c r="U84" s="11"/>
      <c r="V84" s="12"/>
    </row>
    <row r="85" spans="1:22" x14ac:dyDescent="0.2">
      <c r="A85" s="29">
        <v>84</v>
      </c>
      <c r="B85" s="13">
        <v>44693.483453125002</v>
      </c>
      <c r="C85" s="14" t="s">
        <v>31</v>
      </c>
      <c r="D85" s="15">
        <v>50282.355008671017</v>
      </c>
      <c r="E85" s="16">
        <v>13019.648047409179</v>
      </c>
      <c r="F85" s="17">
        <v>-317185.22308557032</v>
      </c>
      <c r="G85" s="25">
        <v>74177.481073078248</v>
      </c>
      <c r="H85" s="26">
        <v>11187</v>
      </c>
      <c r="I85" s="24">
        <v>-356447.89152410487</v>
      </c>
      <c r="J85">
        <f t="shared" si="2"/>
        <v>45999</v>
      </c>
      <c r="K85" s="18">
        <v>51437</v>
      </c>
      <c r="L85">
        <f t="shared" si="3"/>
        <v>5438</v>
      </c>
      <c r="M85" s="19">
        <v>0</v>
      </c>
      <c r="N85" s="20" t="b">
        <v>1</v>
      </c>
      <c r="O85" s="21">
        <v>-90</v>
      </c>
      <c r="P85" s="26" t="b">
        <f>ABS(Table1[[#This Row],[Estimate error]])-Table1[[#This Row],[Standard Deviation]]&lt;0</f>
        <v>0</v>
      </c>
      <c r="U85" s="11"/>
      <c r="V85" s="12"/>
    </row>
    <row r="86" spans="1:22" x14ac:dyDescent="0.2">
      <c r="A86" s="29">
        <v>85</v>
      </c>
      <c r="B86" s="13">
        <v>44693.483453125002</v>
      </c>
      <c r="C86" s="14" t="s">
        <v>30</v>
      </c>
      <c r="D86" s="15">
        <v>50282.355008671017</v>
      </c>
      <c r="E86" s="16">
        <v>13019.648047409179</v>
      </c>
      <c r="F86" s="17">
        <v>-317185.22308557032</v>
      </c>
      <c r="G86" s="25">
        <v>69764.397321579861</v>
      </c>
      <c r="H86" s="26">
        <v>12050</v>
      </c>
      <c r="I86" s="24">
        <v>-335657.72548585641</v>
      </c>
      <c r="J86">
        <f t="shared" si="2"/>
        <v>26865</v>
      </c>
      <c r="K86" s="18">
        <v>36750</v>
      </c>
      <c r="L86">
        <f t="shared" si="3"/>
        <v>9885</v>
      </c>
      <c r="M86" s="19">
        <v>615</v>
      </c>
      <c r="N86" s="20" t="b">
        <v>1</v>
      </c>
      <c r="O86" s="21">
        <v>-71</v>
      </c>
      <c r="P86" s="26" t="b">
        <f>ABS(Table1[[#This Row],[Estimate error]])-Table1[[#This Row],[Standard Deviation]]&lt;0</f>
        <v>0</v>
      </c>
      <c r="U86" s="11"/>
      <c r="V86" s="12"/>
    </row>
    <row r="87" spans="1:22" x14ac:dyDescent="0.2">
      <c r="A87" s="29">
        <v>86</v>
      </c>
      <c r="B87" s="13">
        <v>44693.483796257708</v>
      </c>
      <c r="C87" s="14" t="s">
        <v>16</v>
      </c>
      <c r="D87" s="15">
        <v>57467.940026174656</v>
      </c>
      <c r="E87" s="16">
        <v>12891.507905092565</v>
      </c>
      <c r="F87" s="17">
        <v>-315548.84449210123</v>
      </c>
      <c r="G87" s="25">
        <v>29805.999043266896</v>
      </c>
      <c r="H87" s="26">
        <v>11187</v>
      </c>
      <c r="I87" s="24">
        <v>-330864.9970057765</v>
      </c>
      <c r="J87">
        <f t="shared" si="2"/>
        <v>31665</v>
      </c>
      <c r="K87" s="18">
        <v>0</v>
      </c>
      <c r="L87">
        <f t="shared" si="3"/>
        <v>0</v>
      </c>
      <c r="M87" s="19">
        <v>0</v>
      </c>
      <c r="N87" s="20" t="b">
        <v>0</v>
      </c>
      <c r="O87" s="21">
        <v>-86</v>
      </c>
      <c r="P87" s="26" t="b">
        <f>ABS(Table1[[#This Row],[Estimate error]])-Table1[[#This Row],[Standard Deviation]]&lt;0</f>
        <v>0</v>
      </c>
      <c r="U87" s="11"/>
      <c r="V87" s="12"/>
    </row>
    <row r="88" spans="1:22" x14ac:dyDescent="0.2">
      <c r="A88" s="29">
        <v>87</v>
      </c>
      <c r="B88" s="13">
        <v>44693.483796257708</v>
      </c>
      <c r="C88" s="14" t="s">
        <v>29</v>
      </c>
      <c r="D88" s="15">
        <v>57467.940026174656</v>
      </c>
      <c r="E88" s="16">
        <v>12891.507905092565</v>
      </c>
      <c r="F88" s="17">
        <v>-315548.84449210123</v>
      </c>
      <c r="G88" s="25">
        <v>66962.713641439259</v>
      </c>
      <c r="H88" s="26">
        <v>11187</v>
      </c>
      <c r="I88" s="24">
        <v>-324977.11831615516</v>
      </c>
      <c r="J88">
        <f t="shared" si="2"/>
        <v>13489</v>
      </c>
      <c r="K88" s="18">
        <v>0</v>
      </c>
      <c r="L88">
        <f t="shared" si="3"/>
        <v>0</v>
      </c>
      <c r="M88" s="19">
        <v>0</v>
      </c>
      <c r="N88" s="20" t="b">
        <v>0</v>
      </c>
      <c r="O88" s="21">
        <v>-71</v>
      </c>
      <c r="P88" s="26" t="b">
        <f>ABS(Table1[[#This Row],[Estimate error]])-Table1[[#This Row],[Standard Deviation]]&lt;0</f>
        <v>0</v>
      </c>
      <c r="U88" s="11"/>
      <c r="V88" s="12"/>
    </row>
    <row r="89" spans="1:22" x14ac:dyDescent="0.2">
      <c r="A89" s="29">
        <v>88</v>
      </c>
      <c r="B89" s="13">
        <v>44693.483796257708</v>
      </c>
      <c r="C89" s="14" t="s">
        <v>31</v>
      </c>
      <c r="D89" s="15">
        <v>57467.940026174656</v>
      </c>
      <c r="E89" s="16">
        <v>12891.507905092565</v>
      </c>
      <c r="F89" s="17">
        <v>-315548.84449210123</v>
      </c>
      <c r="G89" s="25">
        <v>74177.481073078248</v>
      </c>
      <c r="H89" s="26">
        <v>11187</v>
      </c>
      <c r="I89" s="24">
        <v>-356447.89152410487</v>
      </c>
      <c r="J89">
        <f t="shared" si="2"/>
        <v>44214</v>
      </c>
      <c r="K89" s="18">
        <v>44500</v>
      </c>
      <c r="L89">
        <f t="shared" si="3"/>
        <v>286</v>
      </c>
      <c r="M89" s="19">
        <v>540</v>
      </c>
      <c r="N89" s="20" t="b">
        <v>1</v>
      </c>
      <c r="O89" s="21">
        <v>-66</v>
      </c>
      <c r="P89" s="26" t="b">
        <f>ABS(Table1[[#This Row],[Estimate error]])-Table1[[#This Row],[Standard Deviation]]&lt;0</f>
        <v>1</v>
      </c>
      <c r="U89" s="11"/>
      <c r="V89" s="12"/>
    </row>
    <row r="90" spans="1:22" x14ac:dyDescent="0.2">
      <c r="A90" s="29">
        <v>89</v>
      </c>
      <c r="B90" s="13">
        <v>44693.483796257708</v>
      </c>
      <c r="C90" s="14" t="s">
        <v>30</v>
      </c>
      <c r="D90" s="15">
        <v>57467.940026174656</v>
      </c>
      <c r="E90" s="16">
        <v>12891.507905092565</v>
      </c>
      <c r="F90" s="17">
        <v>-315548.84449210123</v>
      </c>
      <c r="G90" s="25">
        <v>69764.397321579861</v>
      </c>
      <c r="H90" s="26">
        <v>12050</v>
      </c>
      <c r="I90" s="24">
        <v>-335657.72548585641</v>
      </c>
      <c r="J90">
        <f t="shared" si="2"/>
        <v>23586</v>
      </c>
      <c r="K90" s="18">
        <v>26062</v>
      </c>
      <c r="L90">
        <f t="shared" si="3"/>
        <v>2476</v>
      </c>
      <c r="M90" s="19">
        <v>645</v>
      </c>
      <c r="N90" s="20" t="b">
        <v>1</v>
      </c>
      <c r="O90" s="21">
        <v>-72</v>
      </c>
      <c r="P90" s="26" t="b">
        <f>ABS(Table1[[#This Row],[Estimate error]])-Table1[[#This Row],[Standard Deviation]]&lt;0</f>
        <v>0</v>
      </c>
      <c r="U90" s="11"/>
      <c r="V90" s="12"/>
    </row>
    <row r="91" spans="1:22" x14ac:dyDescent="0.2">
      <c r="A91" s="29">
        <v>90</v>
      </c>
      <c r="B91" s="13">
        <v>44693.483796257708</v>
      </c>
      <c r="C91" s="14" t="s">
        <v>16</v>
      </c>
      <c r="D91" s="15">
        <v>57467.940026174656</v>
      </c>
      <c r="E91" s="16">
        <v>12891.507905092565</v>
      </c>
      <c r="F91" s="17">
        <v>-315548.84449210123</v>
      </c>
      <c r="G91" s="25">
        <v>29805.999043266896</v>
      </c>
      <c r="H91" s="26">
        <v>11187</v>
      </c>
      <c r="I91" s="24">
        <v>-330864.9970057765</v>
      </c>
      <c r="J91">
        <f t="shared" si="2"/>
        <v>31665</v>
      </c>
      <c r="K91" s="18">
        <v>0</v>
      </c>
      <c r="L91">
        <f t="shared" si="3"/>
        <v>0</v>
      </c>
      <c r="M91" s="19">
        <v>0</v>
      </c>
      <c r="N91" s="20" t="b">
        <v>0</v>
      </c>
      <c r="O91" s="21">
        <v>-86</v>
      </c>
      <c r="P91" s="26" t="b">
        <f>ABS(Table1[[#This Row],[Estimate error]])-Table1[[#This Row],[Standard Deviation]]&lt;0</f>
        <v>0</v>
      </c>
      <c r="U91" s="11"/>
      <c r="V91" s="12"/>
    </row>
    <row r="92" spans="1:22" x14ac:dyDescent="0.2">
      <c r="A92" s="29">
        <v>91</v>
      </c>
      <c r="B92" s="13">
        <v>44693.483796257708</v>
      </c>
      <c r="C92" s="14" t="s">
        <v>29</v>
      </c>
      <c r="D92" s="15">
        <v>57467.940026174656</v>
      </c>
      <c r="E92" s="16">
        <v>12891.507905092565</v>
      </c>
      <c r="F92" s="17">
        <v>-315548.84449210123</v>
      </c>
      <c r="G92" s="25">
        <v>66962.713641439259</v>
      </c>
      <c r="H92" s="26">
        <v>11187</v>
      </c>
      <c r="I92" s="24">
        <v>-324977.11831615516</v>
      </c>
      <c r="J92">
        <f t="shared" si="2"/>
        <v>13489</v>
      </c>
      <c r="K92" s="18">
        <v>15437</v>
      </c>
      <c r="L92">
        <f t="shared" si="3"/>
        <v>1948</v>
      </c>
      <c r="M92" s="19">
        <v>645</v>
      </c>
      <c r="N92" s="20" t="b">
        <v>1</v>
      </c>
      <c r="O92" s="21">
        <v>-71</v>
      </c>
      <c r="P92" s="26" t="b">
        <f>ABS(Table1[[#This Row],[Estimate error]])-Table1[[#This Row],[Standard Deviation]]&lt;0</f>
        <v>0</v>
      </c>
      <c r="U92" s="11"/>
      <c r="V92" s="12"/>
    </row>
    <row r="93" spans="1:22" x14ac:dyDescent="0.2">
      <c r="A93" s="29">
        <v>92</v>
      </c>
      <c r="B93" s="13">
        <v>44693.483796257708</v>
      </c>
      <c r="C93" s="14" t="s">
        <v>31</v>
      </c>
      <c r="D93" s="15">
        <v>57467.940026174656</v>
      </c>
      <c r="E93" s="16">
        <v>12891.507905092565</v>
      </c>
      <c r="F93" s="17">
        <v>-315548.84449210123</v>
      </c>
      <c r="G93" s="25">
        <v>74177.481073078248</v>
      </c>
      <c r="H93" s="26">
        <v>11187</v>
      </c>
      <c r="I93" s="24">
        <v>-356447.89152410487</v>
      </c>
      <c r="J93">
        <f t="shared" si="2"/>
        <v>44214</v>
      </c>
      <c r="K93" s="18">
        <v>44812</v>
      </c>
      <c r="L93">
        <f t="shared" si="3"/>
        <v>598</v>
      </c>
      <c r="M93" s="19">
        <v>840</v>
      </c>
      <c r="N93" s="20" t="b">
        <v>1</v>
      </c>
      <c r="O93" s="21">
        <v>-66</v>
      </c>
      <c r="P93" s="26" t="b">
        <f>ABS(Table1[[#This Row],[Estimate error]])-Table1[[#This Row],[Standard Deviation]]&lt;0</f>
        <v>1</v>
      </c>
      <c r="U93" s="11"/>
      <c r="V93" s="12"/>
    </row>
    <row r="94" spans="1:22" x14ac:dyDescent="0.2">
      <c r="A94" s="29">
        <v>93</v>
      </c>
      <c r="B94" s="13">
        <v>44693.483796257708</v>
      </c>
      <c r="C94" s="14" t="s">
        <v>30</v>
      </c>
      <c r="D94" s="15">
        <v>57467.940026174656</v>
      </c>
      <c r="E94" s="16">
        <v>12891.507905092565</v>
      </c>
      <c r="F94" s="17">
        <v>-315548.84449210123</v>
      </c>
      <c r="G94" s="25">
        <v>69764.397321579861</v>
      </c>
      <c r="H94" s="26">
        <v>12050</v>
      </c>
      <c r="I94" s="24">
        <v>-335657.72548585641</v>
      </c>
      <c r="J94">
        <f t="shared" si="2"/>
        <v>23586</v>
      </c>
      <c r="K94" s="18">
        <v>26062</v>
      </c>
      <c r="L94">
        <f t="shared" si="3"/>
        <v>2476</v>
      </c>
      <c r="M94" s="19">
        <v>615</v>
      </c>
      <c r="N94" s="20" t="b">
        <v>1</v>
      </c>
      <c r="O94" s="21">
        <v>-72</v>
      </c>
      <c r="P94" s="26" t="b">
        <f>ABS(Table1[[#This Row],[Estimate error]])-Table1[[#This Row],[Standard Deviation]]&lt;0</f>
        <v>0</v>
      </c>
      <c r="U94" s="11"/>
      <c r="V94" s="12"/>
    </row>
    <row r="95" spans="1:22" x14ac:dyDescent="0.2">
      <c r="A95" s="29">
        <v>94</v>
      </c>
      <c r="B95" s="13">
        <v>44693.483796257708</v>
      </c>
      <c r="C95" s="14" t="s">
        <v>16</v>
      </c>
      <c r="D95" s="15">
        <v>57467.940026174656</v>
      </c>
      <c r="E95" s="16">
        <v>12891.507905092565</v>
      </c>
      <c r="F95" s="17">
        <v>-315548.84449210123</v>
      </c>
      <c r="G95" s="25">
        <v>29805.999043266896</v>
      </c>
      <c r="H95" s="26">
        <v>11187</v>
      </c>
      <c r="I95" s="24">
        <v>-330864.9970057765</v>
      </c>
      <c r="J95">
        <f t="shared" si="2"/>
        <v>31665</v>
      </c>
      <c r="K95" s="18">
        <v>0</v>
      </c>
      <c r="L95">
        <f t="shared" si="3"/>
        <v>0</v>
      </c>
      <c r="M95" s="19">
        <v>0</v>
      </c>
      <c r="N95" s="20" t="b">
        <v>0</v>
      </c>
      <c r="O95" s="21">
        <v>-86</v>
      </c>
      <c r="P95" s="26" t="b">
        <f>ABS(Table1[[#This Row],[Estimate error]])-Table1[[#This Row],[Standard Deviation]]&lt;0</f>
        <v>0</v>
      </c>
      <c r="U95" s="11"/>
      <c r="V95" s="12"/>
    </row>
    <row r="96" spans="1:22" x14ac:dyDescent="0.2">
      <c r="A96" s="29">
        <v>95</v>
      </c>
      <c r="B96" s="13">
        <v>44693.483796257708</v>
      </c>
      <c r="C96" s="14" t="s">
        <v>29</v>
      </c>
      <c r="D96" s="15">
        <v>57467.940026174656</v>
      </c>
      <c r="E96" s="16">
        <v>12891.507905092565</v>
      </c>
      <c r="F96" s="17">
        <v>-315548.84449210123</v>
      </c>
      <c r="G96" s="25">
        <v>66962.713641439259</v>
      </c>
      <c r="H96" s="26">
        <v>11187</v>
      </c>
      <c r="I96" s="24">
        <v>-324977.11831615516</v>
      </c>
      <c r="J96">
        <f t="shared" si="2"/>
        <v>13489</v>
      </c>
      <c r="K96" s="18">
        <v>16187</v>
      </c>
      <c r="L96">
        <f t="shared" si="3"/>
        <v>2698</v>
      </c>
      <c r="M96" s="19">
        <v>645</v>
      </c>
      <c r="N96" s="20" t="b">
        <v>1</v>
      </c>
      <c r="O96" s="21">
        <v>-71</v>
      </c>
      <c r="P96" s="26" t="b">
        <f>ABS(Table1[[#This Row],[Estimate error]])-Table1[[#This Row],[Standard Deviation]]&lt;0</f>
        <v>0</v>
      </c>
      <c r="U96" s="11"/>
      <c r="V96" s="12"/>
    </row>
    <row r="97" spans="1:22" x14ac:dyDescent="0.2">
      <c r="A97" s="29">
        <v>96</v>
      </c>
      <c r="B97" s="13">
        <v>44693.483796257708</v>
      </c>
      <c r="C97" s="14" t="s">
        <v>31</v>
      </c>
      <c r="D97" s="15">
        <v>57467.940026174656</v>
      </c>
      <c r="E97" s="16">
        <v>12891.507905092565</v>
      </c>
      <c r="F97" s="17">
        <v>-315548.84449210123</v>
      </c>
      <c r="G97" s="25">
        <v>74177.481073078248</v>
      </c>
      <c r="H97" s="26">
        <v>11187</v>
      </c>
      <c r="I97" s="24">
        <v>-356447.89152410487</v>
      </c>
      <c r="J97">
        <f t="shared" si="2"/>
        <v>44214</v>
      </c>
      <c r="K97" s="18">
        <v>44500</v>
      </c>
      <c r="L97">
        <f t="shared" si="3"/>
        <v>286</v>
      </c>
      <c r="M97" s="19">
        <v>600</v>
      </c>
      <c r="N97" s="20" t="b">
        <v>1</v>
      </c>
      <c r="O97" s="21">
        <v>-66</v>
      </c>
      <c r="P97" s="26" t="b">
        <f>ABS(Table1[[#This Row],[Estimate error]])-Table1[[#This Row],[Standard Deviation]]&lt;0</f>
        <v>1</v>
      </c>
      <c r="U97" s="11"/>
      <c r="V97" s="12"/>
    </row>
    <row r="98" spans="1:22" x14ac:dyDescent="0.2">
      <c r="A98" s="29">
        <v>97</v>
      </c>
      <c r="B98" s="13">
        <v>44693.483796257708</v>
      </c>
      <c r="C98" s="14" t="s">
        <v>30</v>
      </c>
      <c r="D98" s="15">
        <v>57467.940026174656</v>
      </c>
      <c r="E98" s="16">
        <v>12891.507905092565</v>
      </c>
      <c r="F98" s="17">
        <v>-315548.84449210123</v>
      </c>
      <c r="G98" s="25">
        <v>69764.397321579861</v>
      </c>
      <c r="H98" s="26">
        <v>12050</v>
      </c>
      <c r="I98" s="24">
        <v>-335657.72548585641</v>
      </c>
      <c r="J98">
        <f t="shared" si="2"/>
        <v>23586</v>
      </c>
      <c r="K98" s="18">
        <v>26250</v>
      </c>
      <c r="L98">
        <f t="shared" si="3"/>
        <v>2664</v>
      </c>
      <c r="M98" s="19">
        <v>600</v>
      </c>
      <c r="N98" s="20" t="b">
        <v>1</v>
      </c>
      <c r="O98" s="21">
        <v>-72</v>
      </c>
      <c r="P98" s="26" t="b">
        <f>ABS(Table1[[#This Row],[Estimate error]])-Table1[[#This Row],[Standard Deviation]]&lt;0</f>
        <v>0</v>
      </c>
      <c r="U98" s="11"/>
      <c r="V98" s="12"/>
    </row>
    <row r="99" spans="1:22" x14ac:dyDescent="0.2">
      <c r="A99" s="29">
        <v>98</v>
      </c>
      <c r="B99" s="13">
        <v>44693.483796257708</v>
      </c>
      <c r="C99" s="14" t="s">
        <v>16</v>
      </c>
      <c r="D99" s="15">
        <v>57467.940026174656</v>
      </c>
      <c r="E99" s="16">
        <v>12891.507905092565</v>
      </c>
      <c r="F99" s="17">
        <v>-315548.84449210123</v>
      </c>
      <c r="G99" s="25">
        <v>29805.999043266896</v>
      </c>
      <c r="H99" s="26">
        <v>11187</v>
      </c>
      <c r="I99" s="24">
        <v>-330864.9970057765</v>
      </c>
      <c r="J99">
        <f t="shared" si="2"/>
        <v>31665</v>
      </c>
      <c r="K99" s="18">
        <v>0</v>
      </c>
      <c r="L99">
        <f t="shared" si="3"/>
        <v>0</v>
      </c>
      <c r="M99" s="19">
        <v>0</v>
      </c>
      <c r="N99" s="20" t="b">
        <v>0</v>
      </c>
      <c r="O99" s="21">
        <v>-86</v>
      </c>
      <c r="P99" s="26" t="b">
        <f>ABS(Table1[[#This Row],[Estimate error]])-Table1[[#This Row],[Standard Deviation]]&lt;0</f>
        <v>0</v>
      </c>
      <c r="U99" s="11"/>
      <c r="V99" s="12"/>
    </row>
    <row r="100" spans="1:22" x14ac:dyDescent="0.2">
      <c r="A100" s="29">
        <v>99</v>
      </c>
      <c r="B100" s="13">
        <v>44693.483796257708</v>
      </c>
      <c r="C100" s="14" t="s">
        <v>29</v>
      </c>
      <c r="D100" s="15">
        <v>57467.940026174656</v>
      </c>
      <c r="E100" s="16">
        <v>12891.507905092565</v>
      </c>
      <c r="F100" s="17">
        <v>-315548.84449210123</v>
      </c>
      <c r="G100" s="25">
        <v>66962.713641439259</v>
      </c>
      <c r="H100" s="26">
        <v>11187</v>
      </c>
      <c r="I100" s="24">
        <v>-324977.11831615516</v>
      </c>
      <c r="J100">
        <f t="shared" si="2"/>
        <v>13489</v>
      </c>
      <c r="K100" s="18">
        <v>16187</v>
      </c>
      <c r="L100">
        <f t="shared" si="3"/>
        <v>2698</v>
      </c>
      <c r="M100" s="19">
        <v>645</v>
      </c>
      <c r="N100" s="20" t="b">
        <v>1</v>
      </c>
      <c r="O100" s="21">
        <v>-71</v>
      </c>
      <c r="P100" s="26" t="b">
        <f>ABS(Table1[[#This Row],[Estimate error]])-Table1[[#This Row],[Standard Deviation]]&lt;0</f>
        <v>0</v>
      </c>
      <c r="U100" s="11"/>
      <c r="V100" s="12"/>
    </row>
    <row r="101" spans="1:22" x14ac:dyDescent="0.2">
      <c r="A101" s="29">
        <v>100</v>
      </c>
      <c r="B101" s="13">
        <v>44693.483796257708</v>
      </c>
      <c r="C101" s="14" t="s">
        <v>31</v>
      </c>
      <c r="D101" s="15">
        <v>57467.940026174656</v>
      </c>
      <c r="E101" s="16">
        <v>12891.507905092565</v>
      </c>
      <c r="F101" s="17">
        <v>-315548.84449210123</v>
      </c>
      <c r="G101" s="25">
        <v>74177.481073078248</v>
      </c>
      <c r="H101" s="26">
        <v>11187</v>
      </c>
      <c r="I101" s="24">
        <v>-356447.89152410487</v>
      </c>
      <c r="J101">
        <f t="shared" si="2"/>
        <v>44214</v>
      </c>
      <c r="K101" s="18">
        <v>44687</v>
      </c>
      <c r="L101">
        <f t="shared" si="3"/>
        <v>473</v>
      </c>
      <c r="M101" s="19">
        <v>585</v>
      </c>
      <c r="N101" s="20" t="b">
        <v>1</v>
      </c>
      <c r="O101" s="21">
        <v>-66</v>
      </c>
      <c r="P101" s="26" t="b">
        <f>ABS(Table1[[#This Row],[Estimate error]])-Table1[[#This Row],[Standard Deviation]]&lt;0</f>
        <v>1</v>
      </c>
      <c r="U101" s="11"/>
      <c r="V101" s="12"/>
    </row>
    <row r="102" spans="1:22" x14ac:dyDescent="0.2">
      <c r="A102" s="29">
        <v>101</v>
      </c>
      <c r="B102" s="13">
        <v>44693.483796257708</v>
      </c>
      <c r="C102" s="14" t="s">
        <v>30</v>
      </c>
      <c r="D102" s="15">
        <v>57467.940026174656</v>
      </c>
      <c r="E102" s="16">
        <v>12891.507905092565</v>
      </c>
      <c r="F102" s="17">
        <v>-315548.84449210123</v>
      </c>
      <c r="G102" s="25">
        <v>69764.397321579861</v>
      </c>
      <c r="H102" s="26">
        <v>12050</v>
      </c>
      <c r="I102" s="24">
        <v>-335657.72548585641</v>
      </c>
      <c r="J102">
        <f t="shared" si="2"/>
        <v>23586</v>
      </c>
      <c r="K102" s="18">
        <v>26375</v>
      </c>
      <c r="L102">
        <f t="shared" si="3"/>
        <v>2789</v>
      </c>
      <c r="M102" s="19">
        <v>585</v>
      </c>
      <c r="N102" s="20" t="b">
        <v>1</v>
      </c>
      <c r="O102" s="21">
        <v>-72</v>
      </c>
      <c r="P102" s="26" t="b">
        <f>ABS(Table1[[#This Row],[Estimate error]])-Table1[[#This Row],[Standard Deviation]]&lt;0</f>
        <v>0</v>
      </c>
      <c r="U102" s="11"/>
      <c r="V102" s="12"/>
    </row>
    <row r="103" spans="1:22" x14ac:dyDescent="0.2">
      <c r="A103" s="29">
        <v>102</v>
      </c>
      <c r="B103" s="13">
        <v>44693.483796257708</v>
      </c>
      <c r="C103" s="14" t="s">
        <v>16</v>
      </c>
      <c r="D103" s="15">
        <v>57467.940026174656</v>
      </c>
      <c r="E103" s="16">
        <v>12891.507905092565</v>
      </c>
      <c r="F103" s="17">
        <v>-315548.84449210123</v>
      </c>
      <c r="G103" s="25">
        <v>29805.999043266896</v>
      </c>
      <c r="H103" s="26">
        <v>11187</v>
      </c>
      <c r="I103" s="24">
        <v>-330864.9970057765</v>
      </c>
      <c r="J103">
        <f t="shared" si="2"/>
        <v>31665</v>
      </c>
      <c r="K103" s="18">
        <v>0</v>
      </c>
      <c r="L103">
        <f t="shared" si="3"/>
        <v>0</v>
      </c>
      <c r="M103" s="19">
        <v>0</v>
      </c>
      <c r="N103" s="20" t="b">
        <v>0</v>
      </c>
      <c r="O103" s="21">
        <v>-86</v>
      </c>
      <c r="P103" s="26" t="b">
        <f>ABS(Table1[[#This Row],[Estimate error]])-Table1[[#This Row],[Standard Deviation]]&lt;0</f>
        <v>0</v>
      </c>
      <c r="U103" s="11"/>
      <c r="V103" s="12"/>
    </row>
    <row r="104" spans="1:22" x14ac:dyDescent="0.2">
      <c r="A104" s="29">
        <v>103</v>
      </c>
      <c r="B104" s="13">
        <v>44693.483796257708</v>
      </c>
      <c r="C104" s="14" t="s">
        <v>29</v>
      </c>
      <c r="D104" s="15">
        <v>57467.940026174656</v>
      </c>
      <c r="E104" s="16">
        <v>12891.507905092565</v>
      </c>
      <c r="F104" s="17">
        <v>-315548.84449210123</v>
      </c>
      <c r="G104" s="25">
        <v>66962.713641439259</v>
      </c>
      <c r="H104" s="26">
        <v>11187</v>
      </c>
      <c r="I104" s="24">
        <v>-324977.11831615516</v>
      </c>
      <c r="J104">
        <f t="shared" si="2"/>
        <v>13489</v>
      </c>
      <c r="K104" s="18">
        <v>18000</v>
      </c>
      <c r="L104">
        <f t="shared" si="3"/>
        <v>4511</v>
      </c>
      <c r="M104" s="19">
        <v>705</v>
      </c>
      <c r="N104" s="20" t="b">
        <v>1</v>
      </c>
      <c r="O104" s="21">
        <v>-71</v>
      </c>
      <c r="P104" s="26" t="b">
        <f>ABS(Table1[[#This Row],[Estimate error]])-Table1[[#This Row],[Standard Deviation]]&lt;0</f>
        <v>0</v>
      </c>
      <c r="U104" s="11"/>
      <c r="V104" s="12"/>
    </row>
    <row r="105" spans="1:22" x14ac:dyDescent="0.2">
      <c r="A105" s="29">
        <v>104</v>
      </c>
      <c r="B105" s="13">
        <v>44693.483796257708</v>
      </c>
      <c r="C105" s="14" t="s">
        <v>31</v>
      </c>
      <c r="D105" s="15">
        <v>57467.940026174656</v>
      </c>
      <c r="E105" s="16">
        <v>12891.507905092565</v>
      </c>
      <c r="F105" s="17">
        <v>-315548.84449210123</v>
      </c>
      <c r="G105" s="25">
        <v>74177.481073078248</v>
      </c>
      <c r="H105" s="26">
        <v>11187</v>
      </c>
      <c r="I105" s="24">
        <v>-356447.89152410487</v>
      </c>
      <c r="J105">
        <f t="shared" si="2"/>
        <v>44214</v>
      </c>
      <c r="K105" s="18">
        <v>44687</v>
      </c>
      <c r="L105">
        <f t="shared" si="3"/>
        <v>473</v>
      </c>
      <c r="M105" s="19">
        <v>630</v>
      </c>
      <c r="N105" s="20" t="b">
        <v>1</v>
      </c>
      <c r="O105" s="21">
        <v>-66</v>
      </c>
      <c r="P105" s="26" t="b">
        <f>ABS(Table1[[#This Row],[Estimate error]])-Table1[[#This Row],[Standard Deviation]]&lt;0</f>
        <v>1</v>
      </c>
      <c r="U105" s="11"/>
      <c r="V105" s="12"/>
    </row>
    <row r="106" spans="1:22" x14ac:dyDescent="0.2">
      <c r="A106" s="29">
        <v>105</v>
      </c>
      <c r="B106" s="13">
        <v>44693.483796257708</v>
      </c>
      <c r="C106" s="14" t="s">
        <v>30</v>
      </c>
      <c r="D106" s="15">
        <v>57467.940026174656</v>
      </c>
      <c r="E106" s="16">
        <v>12891.507905092565</v>
      </c>
      <c r="F106" s="17">
        <v>-315548.84449210123</v>
      </c>
      <c r="G106" s="25">
        <v>69764.397321579861</v>
      </c>
      <c r="H106" s="26">
        <v>12050</v>
      </c>
      <c r="I106" s="24">
        <v>-335657.72548585641</v>
      </c>
      <c r="J106">
        <f t="shared" si="2"/>
        <v>23586</v>
      </c>
      <c r="K106" s="18">
        <v>26375</v>
      </c>
      <c r="L106">
        <f t="shared" si="3"/>
        <v>2789</v>
      </c>
      <c r="M106" s="19">
        <v>615</v>
      </c>
      <c r="N106" s="20" t="b">
        <v>1</v>
      </c>
      <c r="O106" s="21">
        <v>-72</v>
      </c>
      <c r="P106" s="26" t="b">
        <f>ABS(Table1[[#This Row],[Estimate error]])-Table1[[#This Row],[Standard Deviation]]&lt;0</f>
        <v>0</v>
      </c>
      <c r="U106" s="11"/>
      <c r="V106" s="12"/>
    </row>
    <row r="107" spans="1:22" x14ac:dyDescent="0.2">
      <c r="A107" s="29">
        <v>106</v>
      </c>
      <c r="B107" s="13">
        <v>44693.484165702153</v>
      </c>
      <c r="C107" s="14" t="s">
        <v>16</v>
      </c>
      <c r="D107" s="15">
        <v>61307.479999243355</v>
      </c>
      <c r="E107" s="16">
        <v>12701.251437208835</v>
      </c>
      <c r="F107" s="17">
        <v>-324703.91054824134</v>
      </c>
      <c r="G107" s="25">
        <v>29805.999043266896</v>
      </c>
      <c r="H107" s="26">
        <v>11187</v>
      </c>
      <c r="I107" s="24">
        <v>-330864.9970057765</v>
      </c>
      <c r="J107">
        <f t="shared" si="2"/>
        <v>32134</v>
      </c>
      <c r="K107" s="18">
        <v>33562</v>
      </c>
      <c r="L107">
        <f t="shared" si="3"/>
        <v>1428</v>
      </c>
      <c r="M107" s="19">
        <v>585</v>
      </c>
      <c r="N107" s="20" t="b">
        <v>1</v>
      </c>
      <c r="O107" s="21">
        <v>-81</v>
      </c>
      <c r="P107" s="26" t="b">
        <f>ABS(Table1[[#This Row],[Estimate error]])-Table1[[#This Row],[Standard Deviation]]&lt;0</f>
        <v>0</v>
      </c>
      <c r="U107" s="11"/>
      <c r="V107" s="12"/>
    </row>
    <row r="108" spans="1:22" x14ac:dyDescent="0.2">
      <c r="A108" s="29">
        <v>107</v>
      </c>
      <c r="B108" s="13">
        <v>44693.484165702153</v>
      </c>
      <c r="C108" s="14" t="s">
        <v>29</v>
      </c>
      <c r="D108" s="15">
        <v>61307.479999243355</v>
      </c>
      <c r="E108" s="16">
        <v>12701.251437208835</v>
      </c>
      <c r="F108" s="17">
        <v>-324703.91054824134</v>
      </c>
      <c r="G108" s="25">
        <v>66962.713641439259</v>
      </c>
      <c r="H108" s="26">
        <v>11187</v>
      </c>
      <c r="I108" s="24">
        <v>-324977.11831615516</v>
      </c>
      <c r="J108">
        <f t="shared" si="2"/>
        <v>5861</v>
      </c>
      <c r="K108" s="18">
        <v>6250</v>
      </c>
      <c r="L108">
        <f t="shared" si="3"/>
        <v>389</v>
      </c>
      <c r="M108" s="19">
        <v>690</v>
      </c>
      <c r="N108" s="20" t="b">
        <v>1</v>
      </c>
      <c r="O108" s="21">
        <v>-48</v>
      </c>
      <c r="P108" s="26" t="b">
        <f>ABS(Table1[[#This Row],[Estimate error]])-Table1[[#This Row],[Standard Deviation]]&lt;0</f>
        <v>1</v>
      </c>
      <c r="U108" s="11"/>
      <c r="V108" s="12"/>
    </row>
    <row r="109" spans="1:22" x14ac:dyDescent="0.2">
      <c r="A109" s="29">
        <v>108</v>
      </c>
      <c r="B109" s="13">
        <v>44693.484165702153</v>
      </c>
      <c r="C109" s="14" t="s">
        <v>31</v>
      </c>
      <c r="D109" s="15">
        <v>61307.479999243355</v>
      </c>
      <c r="E109" s="16">
        <v>12701.251437208835</v>
      </c>
      <c r="F109" s="17">
        <v>-324703.91054824134</v>
      </c>
      <c r="G109" s="25">
        <v>74177.481073078248</v>
      </c>
      <c r="H109" s="26">
        <v>11187</v>
      </c>
      <c r="I109" s="24">
        <v>-356447.89152410487</v>
      </c>
      <c r="J109">
        <f t="shared" si="2"/>
        <v>34287</v>
      </c>
      <c r="K109" s="18">
        <v>36000</v>
      </c>
      <c r="L109">
        <f t="shared" si="3"/>
        <v>1713</v>
      </c>
      <c r="M109" s="19">
        <v>525</v>
      </c>
      <c r="N109" s="20" t="b">
        <v>1</v>
      </c>
      <c r="O109" s="21">
        <v>-73</v>
      </c>
      <c r="P109" s="26" t="b">
        <f>ABS(Table1[[#This Row],[Estimate error]])-Table1[[#This Row],[Standard Deviation]]&lt;0</f>
        <v>0</v>
      </c>
      <c r="U109" s="11"/>
      <c r="V109" s="12"/>
    </row>
    <row r="110" spans="1:22" x14ac:dyDescent="0.2">
      <c r="A110" s="29">
        <v>109</v>
      </c>
      <c r="B110" s="13">
        <v>44693.484165702153</v>
      </c>
      <c r="C110" s="14" t="s">
        <v>30</v>
      </c>
      <c r="D110" s="15">
        <v>61307.479999243355</v>
      </c>
      <c r="E110" s="16">
        <v>12701.251437208835</v>
      </c>
      <c r="F110" s="17">
        <v>-324703.91054824134</v>
      </c>
      <c r="G110" s="25">
        <v>69764.397321579861</v>
      </c>
      <c r="H110" s="26">
        <v>12050</v>
      </c>
      <c r="I110" s="24">
        <v>-335657.72548585641</v>
      </c>
      <c r="J110">
        <f t="shared" si="2"/>
        <v>13854</v>
      </c>
      <c r="K110" s="18">
        <v>21000</v>
      </c>
      <c r="L110">
        <f t="shared" si="3"/>
        <v>7146</v>
      </c>
      <c r="M110" s="19">
        <v>630</v>
      </c>
      <c r="N110" s="20" t="b">
        <v>1</v>
      </c>
      <c r="O110" s="21">
        <v>-73</v>
      </c>
      <c r="P110" s="26" t="b">
        <f>ABS(Table1[[#This Row],[Estimate error]])-Table1[[#This Row],[Standard Deviation]]&lt;0</f>
        <v>0</v>
      </c>
      <c r="U110" s="11"/>
      <c r="V110" s="12"/>
    </row>
    <row r="111" spans="1:22" x14ac:dyDescent="0.2">
      <c r="A111" s="29">
        <v>110</v>
      </c>
      <c r="B111" s="13">
        <v>44693.484165702153</v>
      </c>
      <c r="C111" s="14" t="s">
        <v>16</v>
      </c>
      <c r="D111" s="15">
        <v>61307.479999243355</v>
      </c>
      <c r="E111" s="16">
        <v>12701.251437208835</v>
      </c>
      <c r="F111" s="17">
        <v>-324703.91054824134</v>
      </c>
      <c r="G111" s="25">
        <v>29805.999043266896</v>
      </c>
      <c r="H111" s="26">
        <v>11187</v>
      </c>
      <c r="I111" s="24">
        <v>-330864.9970057765</v>
      </c>
      <c r="J111">
        <f t="shared" si="2"/>
        <v>32134</v>
      </c>
      <c r="K111" s="18">
        <v>33562</v>
      </c>
      <c r="L111">
        <f t="shared" si="3"/>
        <v>1428</v>
      </c>
      <c r="M111" s="19">
        <v>555</v>
      </c>
      <c r="N111" s="20" t="b">
        <v>1</v>
      </c>
      <c r="O111" s="21">
        <v>-81</v>
      </c>
      <c r="P111" s="26" t="b">
        <f>ABS(Table1[[#This Row],[Estimate error]])-Table1[[#This Row],[Standard Deviation]]&lt;0</f>
        <v>0</v>
      </c>
      <c r="U111" s="11"/>
      <c r="V111" s="12"/>
    </row>
    <row r="112" spans="1:22" x14ac:dyDescent="0.2">
      <c r="A112" s="29">
        <v>111</v>
      </c>
      <c r="B112" s="13">
        <v>44693.484165702153</v>
      </c>
      <c r="C112" s="14" t="s">
        <v>29</v>
      </c>
      <c r="D112" s="15">
        <v>61307.479999243355</v>
      </c>
      <c r="E112" s="16">
        <v>12701.251437208835</v>
      </c>
      <c r="F112" s="17">
        <v>-324703.91054824134</v>
      </c>
      <c r="G112" s="25">
        <v>66962.713641439259</v>
      </c>
      <c r="H112" s="26">
        <v>11187</v>
      </c>
      <c r="I112" s="24">
        <v>-324977.11831615516</v>
      </c>
      <c r="J112">
        <f t="shared" si="2"/>
        <v>5861</v>
      </c>
      <c r="K112" s="18">
        <v>5812</v>
      </c>
      <c r="L112">
        <f t="shared" si="3"/>
        <v>-49</v>
      </c>
      <c r="M112" s="19">
        <v>570</v>
      </c>
      <c r="N112" s="20" t="b">
        <v>1</v>
      </c>
      <c r="O112" s="21">
        <v>-48</v>
      </c>
      <c r="P112" s="26" t="b">
        <f>ABS(Table1[[#This Row],[Estimate error]])-Table1[[#This Row],[Standard Deviation]]&lt;0</f>
        <v>1</v>
      </c>
      <c r="U112" s="11"/>
      <c r="V112" s="12"/>
    </row>
    <row r="113" spans="1:22" x14ac:dyDescent="0.2">
      <c r="A113" s="29">
        <v>112</v>
      </c>
      <c r="B113" s="13">
        <v>44693.484165702153</v>
      </c>
      <c r="C113" s="14" t="s">
        <v>31</v>
      </c>
      <c r="D113" s="15">
        <v>61307.479999243355</v>
      </c>
      <c r="E113" s="16">
        <v>12701.251437208835</v>
      </c>
      <c r="F113" s="17">
        <v>-324703.91054824134</v>
      </c>
      <c r="G113" s="25">
        <v>74177.481073078248</v>
      </c>
      <c r="H113" s="26">
        <v>11187</v>
      </c>
      <c r="I113" s="24">
        <v>-356447.89152410487</v>
      </c>
      <c r="J113">
        <f t="shared" si="2"/>
        <v>34287</v>
      </c>
      <c r="K113" s="18">
        <v>35250</v>
      </c>
      <c r="L113">
        <f t="shared" si="3"/>
        <v>963</v>
      </c>
      <c r="M113" s="19">
        <v>540</v>
      </c>
      <c r="N113" s="20" t="b">
        <v>1</v>
      </c>
      <c r="O113" s="21">
        <v>-73</v>
      </c>
      <c r="P113" s="26" t="b">
        <f>ABS(Table1[[#This Row],[Estimate error]])-Table1[[#This Row],[Standard Deviation]]&lt;0</f>
        <v>0</v>
      </c>
      <c r="U113" s="11"/>
      <c r="V113" s="12"/>
    </row>
    <row r="114" spans="1:22" x14ac:dyDescent="0.2">
      <c r="A114" s="29">
        <v>113</v>
      </c>
      <c r="B114" s="13">
        <v>44693.484165702153</v>
      </c>
      <c r="C114" s="14" t="s">
        <v>30</v>
      </c>
      <c r="D114" s="15">
        <v>61307.479999243355</v>
      </c>
      <c r="E114" s="16">
        <v>12701.251437208835</v>
      </c>
      <c r="F114" s="17">
        <v>-324703.91054824134</v>
      </c>
      <c r="G114" s="25">
        <v>69764.397321579861</v>
      </c>
      <c r="H114" s="26">
        <v>12050</v>
      </c>
      <c r="I114" s="24">
        <v>-335657.72548585641</v>
      </c>
      <c r="J114">
        <f t="shared" si="2"/>
        <v>13854</v>
      </c>
      <c r="K114" s="18">
        <v>18000</v>
      </c>
      <c r="L114">
        <f t="shared" si="3"/>
        <v>4146</v>
      </c>
      <c r="M114" s="19">
        <v>1695</v>
      </c>
      <c r="N114" s="20" t="b">
        <v>1</v>
      </c>
      <c r="O114" s="21">
        <v>-73</v>
      </c>
      <c r="P114" s="26" t="b">
        <f>ABS(Table1[[#This Row],[Estimate error]])-Table1[[#This Row],[Standard Deviation]]&lt;0</f>
        <v>0</v>
      </c>
      <c r="U114" s="11"/>
      <c r="V114" s="12"/>
    </row>
    <row r="115" spans="1:22" x14ac:dyDescent="0.2">
      <c r="A115" s="29">
        <v>114</v>
      </c>
      <c r="B115" s="13">
        <v>44693.484165702153</v>
      </c>
      <c r="C115" s="14" t="s">
        <v>16</v>
      </c>
      <c r="D115" s="15">
        <v>61307.479999243355</v>
      </c>
      <c r="E115" s="16">
        <v>12701.251437208835</v>
      </c>
      <c r="F115" s="17">
        <v>-324703.91054824134</v>
      </c>
      <c r="G115" s="25">
        <v>29805.999043266896</v>
      </c>
      <c r="H115" s="26">
        <v>11187</v>
      </c>
      <c r="I115" s="24">
        <v>-330864.9970057765</v>
      </c>
      <c r="J115">
        <f t="shared" si="2"/>
        <v>32134</v>
      </c>
      <c r="K115" s="18">
        <v>33250</v>
      </c>
      <c r="L115">
        <f t="shared" si="3"/>
        <v>1116</v>
      </c>
      <c r="M115" s="19">
        <v>585</v>
      </c>
      <c r="N115" s="20" t="b">
        <v>1</v>
      </c>
      <c r="O115" s="21">
        <v>-81</v>
      </c>
      <c r="P115" s="26" t="b">
        <f>ABS(Table1[[#This Row],[Estimate error]])-Table1[[#This Row],[Standard Deviation]]&lt;0</f>
        <v>0</v>
      </c>
      <c r="U115" s="11"/>
      <c r="V115" s="12"/>
    </row>
    <row r="116" spans="1:22" x14ac:dyDescent="0.2">
      <c r="A116" s="29">
        <v>115</v>
      </c>
      <c r="B116" s="13">
        <v>44693.484165702153</v>
      </c>
      <c r="C116" s="14" t="s">
        <v>29</v>
      </c>
      <c r="D116" s="15">
        <v>61307.479999243355</v>
      </c>
      <c r="E116" s="16">
        <v>12701.251437208835</v>
      </c>
      <c r="F116" s="17">
        <v>-324703.91054824134</v>
      </c>
      <c r="G116" s="25">
        <v>66962.713641439259</v>
      </c>
      <c r="H116" s="26">
        <v>11187</v>
      </c>
      <c r="I116" s="24">
        <v>-324977.11831615516</v>
      </c>
      <c r="J116">
        <f t="shared" si="2"/>
        <v>5861</v>
      </c>
      <c r="K116" s="18">
        <v>6000</v>
      </c>
      <c r="L116">
        <f t="shared" si="3"/>
        <v>139</v>
      </c>
      <c r="M116" s="19">
        <v>720</v>
      </c>
      <c r="N116" s="20" t="b">
        <v>1</v>
      </c>
      <c r="O116" s="21">
        <v>-48</v>
      </c>
      <c r="P116" s="26" t="b">
        <f>ABS(Table1[[#This Row],[Estimate error]])-Table1[[#This Row],[Standard Deviation]]&lt;0</f>
        <v>1</v>
      </c>
      <c r="U116" s="11"/>
      <c r="V116" s="12"/>
    </row>
    <row r="117" spans="1:22" x14ac:dyDescent="0.2">
      <c r="A117" s="29">
        <v>116</v>
      </c>
      <c r="B117" s="13">
        <v>44693.484165702153</v>
      </c>
      <c r="C117" s="14" t="s">
        <v>31</v>
      </c>
      <c r="D117" s="15">
        <v>61307.479999243355</v>
      </c>
      <c r="E117" s="16">
        <v>12701.251437208835</v>
      </c>
      <c r="F117" s="17">
        <v>-324703.91054824134</v>
      </c>
      <c r="G117" s="25">
        <v>74177.481073078248</v>
      </c>
      <c r="H117" s="26">
        <v>11187</v>
      </c>
      <c r="I117" s="24">
        <v>-356447.89152410487</v>
      </c>
      <c r="J117">
        <f t="shared" si="2"/>
        <v>34287</v>
      </c>
      <c r="K117" s="18">
        <v>36125</v>
      </c>
      <c r="L117">
        <f t="shared" si="3"/>
        <v>1838</v>
      </c>
      <c r="M117" s="19">
        <v>510</v>
      </c>
      <c r="N117" s="20" t="b">
        <v>1</v>
      </c>
      <c r="O117" s="21">
        <v>-73</v>
      </c>
      <c r="P117" s="26" t="b">
        <f>ABS(Table1[[#This Row],[Estimate error]])-Table1[[#This Row],[Standard Deviation]]&lt;0</f>
        <v>0</v>
      </c>
      <c r="U117" s="11"/>
      <c r="V117" s="12"/>
    </row>
    <row r="118" spans="1:22" x14ac:dyDescent="0.2">
      <c r="A118" s="29">
        <v>117</v>
      </c>
      <c r="B118" s="13">
        <v>44693.484165702153</v>
      </c>
      <c r="C118" s="14" t="s">
        <v>30</v>
      </c>
      <c r="D118" s="15">
        <v>61307.479999243355</v>
      </c>
      <c r="E118" s="16">
        <v>12701.251437208835</v>
      </c>
      <c r="F118" s="17">
        <v>-324703.91054824134</v>
      </c>
      <c r="G118" s="25">
        <v>69764.397321579861</v>
      </c>
      <c r="H118" s="26">
        <v>12050</v>
      </c>
      <c r="I118" s="24">
        <v>-335657.72548585641</v>
      </c>
      <c r="J118">
        <f t="shared" si="2"/>
        <v>13854</v>
      </c>
      <c r="K118" s="18">
        <v>15875</v>
      </c>
      <c r="L118">
        <f t="shared" si="3"/>
        <v>2021</v>
      </c>
      <c r="M118" s="19">
        <v>660</v>
      </c>
      <c r="N118" s="20" t="b">
        <v>1</v>
      </c>
      <c r="O118" s="21">
        <v>-73</v>
      </c>
      <c r="P118" s="26" t="b">
        <f>ABS(Table1[[#This Row],[Estimate error]])-Table1[[#This Row],[Standard Deviation]]&lt;0</f>
        <v>0</v>
      </c>
      <c r="U118" s="11"/>
      <c r="V118" s="12"/>
    </row>
    <row r="119" spans="1:22" x14ac:dyDescent="0.2">
      <c r="A119" s="29">
        <v>118</v>
      </c>
      <c r="B119" s="13">
        <v>44693.484165702153</v>
      </c>
      <c r="C119" s="14" t="s">
        <v>16</v>
      </c>
      <c r="D119" s="15">
        <v>61307.479999243355</v>
      </c>
      <c r="E119" s="16">
        <v>12701.251437208835</v>
      </c>
      <c r="F119" s="17">
        <v>-324703.91054824134</v>
      </c>
      <c r="G119" s="25">
        <v>29805.999043266896</v>
      </c>
      <c r="H119" s="26">
        <v>11187</v>
      </c>
      <c r="I119" s="24">
        <v>-330864.9970057765</v>
      </c>
      <c r="J119">
        <f t="shared" si="2"/>
        <v>32134</v>
      </c>
      <c r="K119" s="18">
        <v>35375</v>
      </c>
      <c r="L119">
        <f t="shared" si="3"/>
        <v>3241</v>
      </c>
      <c r="M119" s="19">
        <v>630</v>
      </c>
      <c r="N119" s="20" t="b">
        <v>1</v>
      </c>
      <c r="O119" s="21">
        <v>-81</v>
      </c>
      <c r="P119" s="26" t="b">
        <f>ABS(Table1[[#This Row],[Estimate error]])-Table1[[#This Row],[Standard Deviation]]&lt;0</f>
        <v>0</v>
      </c>
      <c r="U119" s="11"/>
      <c r="V119" s="12"/>
    </row>
    <row r="120" spans="1:22" x14ac:dyDescent="0.2">
      <c r="A120" s="29">
        <v>119</v>
      </c>
      <c r="B120" s="13">
        <v>44693.484165702153</v>
      </c>
      <c r="C120" s="14" t="s">
        <v>29</v>
      </c>
      <c r="D120" s="15">
        <v>61307.479999243355</v>
      </c>
      <c r="E120" s="16">
        <v>12701.251437208835</v>
      </c>
      <c r="F120" s="17">
        <v>-324703.91054824134</v>
      </c>
      <c r="G120" s="25">
        <v>66962.713641439259</v>
      </c>
      <c r="H120" s="26">
        <v>11187</v>
      </c>
      <c r="I120" s="24">
        <v>-324977.11831615516</v>
      </c>
      <c r="J120">
        <f t="shared" si="2"/>
        <v>5861</v>
      </c>
      <c r="K120" s="18">
        <v>5375</v>
      </c>
      <c r="L120">
        <f t="shared" si="3"/>
        <v>-486</v>
      </c>
      <c r="M120" s="19">
        <v>525</v>
      </c>
      <c r="N120" s="20" t="b">
        <v>1</v>
      </c>
      <c r="O120" s="21">
        <v>-48</v>
      </c>
      <c r="P120" s="26" t="b">
        <f>ABS(Table1[[#This Row],[Estimate error]])-Table1[[#This Row],[Standard Deviation]]&lt;0</f>
        <v>1</v>
      </c>
      <c r="U120" s="11"/>
      <c r="V120" s="12"/>
    </row>
    <row r="121" spans="1:22" x14ac:dyDescent="0.2">
      <c r="A121" s="29">
        <v>120</v>
      </c>
      <c r="B121" s="13">
        <v>44693.484165702153</v>
      </c>
      <c r="C121" s="14" t="s">
        <v>31</v>
      </c>
      <c r="D121" s="15">
        <v>61307.479999243355</v>
      </c>
      <c r="E121" s="16">
        <v>12701.251437208835</v>
      </c>
      <c r="F121" s="17">
        <v>-324703.91054824134</v>
      </c>
      <c r="G121" s="25">
        <v>74177.481073078248</v>
      </c>
      <c r="H121" s="26">
        <v>11187</v>
      </c>
      <c r="I121" s="24">
        <v>-356447.89152410487</v>
      </c>
      <c r="J121">
        <f t="shared" si="2"/>
        <v>34287</v>
      </c>
      <c r="K121" s="18">
        <v>36000</v>
      </c>
      <c r="L121">
        <f t="shared" si="3"/>
        <v>1713</v>
      </c>
      <c r="M121" s="19">
        <v>690</v>
      </c>
      <c r="N121" s="20" t="b">
        <v>1</v>
      </c>
      <c r="O121" s="21">
        <v>-73</v>
      </c>
      <c r="P121" s="26" t="b">
        <f>ABS(Table1[[#This Row],[Estimate error]])-Table1[[#This Row],[Standard Deviation]]&lt;0</f>
        <v>0</v>
      </c>
      <c r="U121" s="11"/>
      <c r="V121" s="12"/>
    </row>
    <row r="122" spans="1:22" x14ac:dyDescent="0.2">
      <c r="A122" s="29">
        <v>121</v>
      </c>
      <c r="B122" s="13">
        <v>44693.484165702153</v>
      </c>
      <c r="C122" s="14" t="s">
        <v>30</v>
      </c>
      <c r="D122" s="15">
        <v>61307.479999243355</v>
      </c>
      <c r="E122" s="16">
        <v>12701.251437208835</v>
      </c>
      <c r="F122" s="17">
        <v>-324703.91054824134</v>
      </c>
      <c r="G122" s="25">
        <v>69764.397321579861</v>
      </c>
      <c r="H122" s="26">
        <v>12050</v>
      </c>
      <c r="I122" s="24">
        <v>-335657.72548585641</v>
      </c>
      <c r="J122">
        <f t="shared" si="2"/>
        <v>13854</v>
      </c>
      <c r="K122" s="18">
        <v>15437</v>
      </c>
      <c r="L122">
        <f t="shared" si="3"/>
        <v>1583</v>
      </c>
      <c r="M122" s="19">
        <v>915</v>
      </c>
      <c r="N122" s="20" t="b">
        <v>1</v>
      </c>
      <c r="O122" s="21">
        <v>-73</v>
      </c>
      <c r="P122" s="26" t="b">
        <f>ABS(Table1[[#This Row],[Estimate error]])-Table1[[#This Row],[Standard Deviation]]&lt;0</f>
        <v>0</v>
      </c>
      <c r="U122" s="11"/>
      <c r="V122" s="12"/>
    </row>
    <row r="123" spans="1:22" x14ac:dyDescent="0.2">
      <c r="A123" s="29">
        <v>122</v>
      </c>
      <c r="B123" s="13">
        <v>44693.484165702153</v>
      </c>
      <c r="C123" s="14" t="s">
        <v>16</v>
      </c>
      <c r="D123" s="15">
        <v>61307.479999243355</v>
      </c>
      <c r="E123" s="16">
        <v>12701.251437208835</v>
      </c>
      <c r="F123" s="17">
        <v>-324703.91054824134</v>
      </c>
      <c r="G123" s="25">
        <v>29805.999043266896</v>
      </c>
      <c r="H123" s="26">
        <v>11187</v>
      </c>
      <c r="I123" s="24">
        <v>-330864.9970057765</v>
      </c>
      <c r="J123">
        <f t="shared" si="2"/>
        <v>32134</v>
      </c>
      <c r="K123" s="18">
        <v>35250</v>
      </c>
      <c r="L123">
        <f t="shared" si="3"/>
        <v>3116</v>
      </c>
      <c r="M123" s="19">
        <v>615</v>
      </c>
      <c r="N123" s="20" t="b">
        <v>1</v>
      </c>
      <c r="O123" s="21">
        <v>-81</v>
      </c>
      <c r="P123" s="26" t="b">
        <f>ABS(Table1[[#This Row],[Estimate error]])-Table1[[#This Row],[Standard Deviation]]&lt;0</f>
        <v>0</v>
      </c>
      <c r="U123" s="11"/>
      <c r="V123" s="12"/>
    </row>
    <row r="124" spans="1:22" x14ac:dyDescent="0.2">
      <c r="A124" s="29">
        <v>123</v>
      </c>
      <c r="B124" s="13">
        <v>44693.484165702153</v>
      </c>
      <c r="C124" s="14" t="s">
        <v>29</v>
      </c>
      <c r="D124" s="15">
        <v>61307.479999243355</v>
      </c>
      <c r="E124" s="16">
        <v>12701.251437208835</v>
      </c>
      <c r="F124" s="17">
        <v>-324703.91054824134</v>
      </c>
      <c r="G124" s="25">
        <v>66962.713641439259</v>
      </c>
      <c r="H124" s="26">
        <v>11187</v>
      </c>
      <c r="I124" s="24">
        <v>-324977.11831615516</v>
      </c>
      <c r="J124">
        <f t="shared" si="2"/>
        <v>5861</v>
      </c>
      <c r="K124" s="18">
        <v>5687</v>
      </c>
      <c r="L124">
        <f t="shared" si="3"/>
        <v>-174</v>
      </c>
      <c r="M124" s="19">
        <v>690</v>
      </c>
      <c r="N124" s="20" t="b">
        <v>1</v>
      </c>
      <c r="O124" s="21">
        <v>-48</v>
      </c>
      <c r="P124" s="26" t="b">
        <f>ABS(Table1[[#This Row],[Estimate error]])-Table1[[#This Row],[Standard Deviation]]&lt;0</f>
        <v>1</v>
      </c>
      <c r="U124" s="11"/>
      <c r="V124" s="12"/>
    </row>
    <row r="125" spans="1:22" x14ac:dyDescent="0.2">
      <c r="A125" s="29">
        <v>124</v>
      </c>
      <c r="B125" s="13">
        <v>44693.484165702153</v>
      </c>
      <c r="C125" s="14" t="s">
        <v>31</v>
      </c>
      <c r="D125" s="15">
        <v>61307.479999243355</v>
      </c>
      <c r="E125" s="16">
        <v>12701.251437208835</v>
      </c>
      <c r="F125" s="17">
        <v>-324703.91054824134</v>
      </c>
      <c r="G125" s="25">
        <v>74177.481073078248</v>
      </c>
      <c r="H125" s="26">
        <v>11187</v>
      </c>
      <c r="I125" s="24">
        <v>-356447.89152410487</v>
      </c>
      <c r="J125">
        <f t="shared" si="2"/>
        <v>34287</v>
      </c>
      <c r="K125" s="18">
        <v>36250</v>
      </c>
      <c r="L125">
        <f t="shared" si="3"/>
        <v>1963</v>
      </c>
      <c r="M125" s="19">
        <v>690</v>
      </c>
      <c r="N125" s="20" t="b">
        <v>1</v>
      </c>
      <c r="O125" s="21">
        <v>-73</v>
      </c>
      <c r="P125" s="26" t="b">
        <f>ABS(Table1[[#This Row],[Estimate error]])-Table1[[#This Row],[Standard Deviation]]&lt;0</f>
        <v>0</v>
      </c>
      <c r="U125" s="11"/>
      <c r="V125" s="12"/>
    </row>
    <row r="126" spans="1:22" x14ac:dyDescent="0.2">
      <c r="A126" s="29">
        <v>125</v>
      </c>
      <c r="B126" s="13">
        <v>44693.484165702153</v>
      </c>
      <c r="C126" s="14" t="s">
        <v>30</v>
      </c>
      <c r="D126" s="15">
        <v>61307.479999243355</v>
      </c>
      <c r="E126" s="16">
        <v>12701.251437208835</v>
      </c>
      <c r="F126" s="17">
        <v>-324703.91054824134</v>
      </c>
      <c r="G126" s="25">
        <v>69764.397321579861</v>
      </c>
      <c r="H126" s="26">
        <v>12050</v>
      </c>
      <c r="I126" s="24">
        <v>-335657.72548585641</v>
      </c>
      <c r="J126">
        <f t="shared" si="2"/>
        <v>13854</v>
      </c>
      <c r="K126" s="18">
        <v>15000</v>
      </c>
      <c r="L126">
        <f t="shared" si="3"/>
        <v>1146</v>
      </c>
      <c r="M126" s="19">
        <v>465</v>
      </c>
      <c r="N126" s="20" t="b">
        <v>1</v>
      </c>
      <c r="O126" s="21">
        <v>-73</v>
      </c>
      <c r="P126" s="26" t="b">
        <f>ABS(Table1[[#This Row],[Estimate error]])-Table1[[#This Row],[Standard Deviation]]&lt;0</f>
        <v>0</v>
      </c>
      <c r="U126" s="11"/>
      <c r="V126" s="12"/>
    </row>
    <row r="127" spans="1:22" x14ac:dyDescent="0.2">
      <c r="A127" s="29">
        <v>126</v>
      </c>
      <c r="B127" s="13">
        <v>44693.484815432101</v>
      </c>
      <c r="C127" s="14" t="s">
        <v>16</v>
      </c>
      <c r="D127" s="15">
        <v>68633.87498796724</v>
      </c>
      <c r="E127" s="16">
        <v>12706.019645536906</v>
      </c>
      <c r="F127" s="17">
        <v>-330735.76206932834</v>
      </c>
      <c r="G127" s="25">
        <v>29805.999043266896</v>
      </c>
      <c r="H127" s="26">
        <v>11187</v>
      </c>
      <c r="I127" s="24">
        <v>-330864.9970057765</v>
      </c>
      <c r="J127">
        <f t="shared" si="2"/>
        <v>38858</v>
      </c>
      <c r="K127" s="18">
        <v>0</v>
      </c>
      <c r="L127">
        <f t="shared" si="3"/>
        <v>0</v>
      </c>
      <c r="M127" s="19">
        <v>0</v>
      </c>
      <c r="N127" s="20" t="b">
        <v>0</v>
      </c>
      <c r="O127" s="21">
        <v>-92</v>
      </c>
      <c r="P127" s="26" t="b">
        <f>ABS(Table1[[#This Row],[Estimate error]])-Table1[[#This Row],[Standard Deviation]]&lt;0</f>
        <v>0</v>
      </c>
      <c r="U127" s="11"/>
      <c r="V127" s="12"/>
    </row>
    <row r="128" spans="1:22" x14ac:dyDescent="0.2">
      <c r="A128" s="29">
        <v>127</v>
      </c>
      <c r="B128" s="13">
        <v>44693.484815432101</v>
      </c>
      <c r="C128" s="14" t="s">
        <v>29</v>
      </c>
      <c r="D128" s="15">
        <v>68633.87498796724</v>
      </c>
      <c r="E128" s="16">
        <v>12706.019645536906</v>
      </c>
      <c r="F128" s="17">
        <v>-330735.76206932834</v>
      </c>
      <c r="G128" s="25">
        <v>66962.713641439259</v>
      </c>
      <c r="H128" s="26">
        <v>11187</v>
      </c>
      <c r="I128" s="24">
        <v>-324977.11831615516</v>
      </c>
      <c r="J128">
        <f t="shared" si="2"/>
        <v>6186</v>
      </c>
      <c r="K128" s="18">
        <v>9562</v>
      </c>
      <c r="L128">
        <f t="shared" si="3"/>
        <v>3376</v>
      </c>
      <c r="M128" s="19">
        <v>720</v>
      </c>
      <c r="N128" s="20" t="b">
        <v>1</v>
      </c>
      <c r="O128" s="21">
        <v>-64</v>
      </c>
      <c r="P128" s="26" t="b">
        <f>ABS(Table1[[#This Row],[Estimate error]])-Table1[[#This Row],[Standard Deviation]]&lt;0</f>
        <v>0</v>
      </c>
      <c r="U128" s="11"/>
      <c r="V128" s="12"/>
    </row>
    <row r="129" spans="1:22" x14ac:dyDescent="0.2">
      <c r="A129" s="29">
        <v>128</v>
      </c>
      <c r="B129" s="13">
        <v>44693.484815432101</v>
      </c>
      <c r="C129" s="14" t="s">
        <v>31</v>
      </c>
      <c r="D129" s="15">
        <v>68633.87498796724</v>
      </c>
      <c r="E129" s="16">
        <v>12706.019645536906</v>
      </c>
      <c r="F129" s="17">
        <v>-330735.76206932834</v>
      </c>
      <c r="G129" s="25">
        <v>74177.481073078248</v>
      </c>
      <c r="H129" s="26">
        <v>11187</v>
      </c>
      <c r="I129" s="24">
        <v>-356447.89152410487</v>
      </c>
      <c r="J129">
        <f t="shared" si="2"/>
        <v>26347</v>
      </c>
      <c r="K129" s="18">
        <v>0</v>
      </c>
      <c r="L129">
        <f t="shared" si="3"/>
        <v>0</v>
      </c>
      <c r="M129" s="19">
        <v>0</v>
      </c>
      <c r="N129" s="20" t="b">
        <v>0</v>
      </c>
      <c r="O129" s="21">
        <v>-87</v>
      </c>
      <c r="P129" s="26" t="b">
        <f>ABS(Table1[[#This Row],[Estimate error]])-Table1[[#This Row],[Standard Deviation]]&lt;0</f>
        <v>0</v>
      </c>
      <c r="U129" s="11"/>
      <c r="V129" s="12"/>
    </row>
    <row r="130" spans="1:22" x14ac:dyDescent="0.2">
      <c r="A130" s="29">
        <v>129</v>
      </c>
      <c r="B130" s="13">
        <v>44693.484815432101</v>
      </c>
      <c r="C130" s="14" t="s">
        <v>30</v>
      </c>
      <c r="D130" s="15">
        <v>68633.87498796724</v>
      </c>
      <c r="E130" s="16">
        <v>12706.019645536906</v>
      </c>
      <c r="F130" s="17">
        <v>-330735.76206932834</v>
      </c>
      <c r="G130" s="25">
        <v>69764.397321579861</v>
      </c>
      <c r="H130" s="26">
        <v>12050</v>
      </c>
      <c r="I130" s="24">
        <v>-335657.72548585641</v>
      </c>
      <c r="J130">
        <f t="shared" ref="J130:J193" si="4">ROUND(SQRT((G130-D130)^2+(H130-E130)^2+(I130-F130)^2),0)</f>
        <v>5093</v>
      </c>
      <c r="K130" s="18">
        <v>14062</v>
      </c>
      <c r="L130">
        <f t="shared" ref="L130:L193" si="5">ROUND(IF(N130,K130-J130,0),1)</f>
        <v>8969</v>
      </c>
      <c r="M130" s="19">
        <v>750</v>
      </c>
      <c r="N130" s="20" t="b">
        <v>1</v>
      </c>
      <c r="O130" s="21">
        <v>-69</v>
      </c>
      <c r="P130" s="26" t="b">
        <f>ABS(Table1[[#This Row],[Estimate error]])-Table1[[#This Row],[Standard Deviation]]&lt;0</f>
        <v>0</v>
      </c>
      <c r="U130" s="11"/>
      <c r="V130" s="12"/>
    </row>
    <row r="131" spans="1:22" x14ac:dyDescent="0.2">
      <c r="A131" s="29">
        <v>130</v>
      </c>
      <c r="B131" s="13">
        <v>44693.484815432101</v>
      </c>
      <c r="C131" s="14" t="s">
        <v>16</v>
      </c>
      <c r="D131" s="15">
        <v>68633.87498796724</v>
      </c>
      <c r="E131" s="16">
        <v>12706.019645536906</v>
      </c>
      <c r="F131" s="17">
        <v>-330735.76206932834</v>
      </c>
      <c r="G131" s="25">
        <v>29805.999043266896</v>
      </c>
      <c r="H131" s="26">
        <v>11187</v>
      </c>
      <c r="I131" s="24">
        <v>-330864.9970057765</v>
      </c>
      <c r="J131">
        <f t="shared" si="4"/>
        <v>38858</v>
      </c>
      <c r="K131" s="18">
        <v>0</v>
      </c>
      <c r="L131">
        <f t="shared" si="5"/>
        <v>0</v>
      </c>
      <c r="M131" s="19">
        <v>0</v>
      </c>
      <c r="N131" s="20" t="b">
        <v>0</v>
      </c>
      <c r="O131" s="21">
        <v>-92</v>
      </c>
      <c r="P131" s="26" t="b">
        <f>ABS(Table1[[#This Row],[Estimate error]])-Table1[[#This Row],[Standard Deviation]]&lt;0</f>
        <v>0</v>
      </c>
      <c r="U131" s="11"/>
      <c r="V131" s="12"/>
    </row>
    <row r="132" spans="1:22" x14ac:dyDescent="0.2">
      <c r="A132" s="29">
        <v>131</v>
      </c>
      <c r="B132" s="13">
        <v>44693.484815432101</v>
      </c>
      <c r="C132" s="14" t="s">
        <v>29</v>
      </c>
      <c r="D132" s="15">
        <v>68633.87498796724</v>
      </c>
      <c r="E132" s="16">
        <v>12706.019645536906</v>
      </c>
      <c r="F132" s="17">
        <v>-330735.76206932834</v>
      </c>
      <c r="G132" s="25">
        <v>66962.713641439259</v>
      </c>
      <c r="H132" s="26">
        <v>11187</v>
      </c>
      <c r="I132" s="24">
        <v>-324977.11831615516</v>
      </c>
      <c r="J132">
        <f t="shared" si="4"/>
        <v>6186</v>
      </c>
      <c r="K132" s="18">
        <v>9000</v>
      </c>
      <c r="L132">
        <f t="shared" si="5"/>
        <v>2814</v>
      </c>
      <c r="M132" s="19">
        <v>600</v>
      </c>
      <c r="N132" s="20" t="b">
        <v>1</v>
      </c>
      <c r="O132" s="21">
        <v>-64</v>
      </c>
      <c r="P132" s="26" t="b">
        <f>ABS(Table1[[#This Row],[Estimate error]])-Table1[[#This Row],[Standard Deviation]]&lt;0</f>
        <v>0</v>
      </c>
      <c r="U132" s="11"/>
      <c r="V132" s="12"/>
    </row>
    <row r="133" spans="1:22" x14ac:dyDescent="0.2">
      <c r="A133" s="29">
        <v>132</v>
      </c>
      <c r="B133" s="13">
        <v>44693.484815432101</v>
      </c>
      <c r="C133" s="14" t="s">
        <v>31</v>
      </c>
      <c r="D133" s="15">
        <v>68633.87498796724</v>
      </c>
      <c r="E133" s="16">
        <v>12706.019645536906</v>
      </c>
      <c r="F133" s="17">
        <v>-330735.76206932834</v>
      </c>
      <c r="G133" s="25">
        <v>74177.481073078248</v>
      </c>
      <c r="H133" s="26">
        <v>11187</v>
      </c>
      <c r="I133" s="24">
        <v>-356447.89152410487</v>
      </c>
      <c r="J133">
        <f t="shared" si="4"/>
        <v>26347</v>
      </c>
      <c r="K133" s="18">
        <v>43187</v>
      </c>
      <c r="L133">
        <f t="shared" si="5"/>
        <v>16840</v>
      </c>
      <c r="M133" s="19">
        <v>0</v>
      </c>
      <c r="N133" s="20" t="b">
        <v>1</v>
      </c>
      <c r="O133" s="21">
        <v>-87</v>
      </c>
      <c r="P133" s="26" t="b">
        <f>ABS(Table1[[#This Row],[Estimate error]])-Table1[[#This Row],[Standard Deviation]]&lt;0</f>
        <v>0</v>
      </c>
      <c r="U133" s="11"/>
      <c r="V133" s="12"/>
    </row>
    <row r="134" spans="1:22" x14ac:dyDescent="0.2">
      <c r="A134" s="29">
        <v>133</v>
      </c>
      <c r="B134" s="13">
        <v>44693.484815432101</v>
      </c>
      <c r="C134" s="14" t="s">
        <v>30</v>
      </c>
      <c r="D134" s="15">
        <v>68633.87498796724</v>
      </c>
      <c r="E134" s="16">
        <v>12706.019645536906</v>
      </c>
      <c r="F134" s="17">
        <v>-330735.76206932834</v>
      </c>
      <c r="G134" s="25">
        <v>69764.397321579861</v>
      </c>
      <c r="H134" s="26">
        <v>12050</v>
      </c>
      <c r="I134" s="24">
        <v>-335657.72548585641</v>
      </c>
      <c r="J134">
        <f t="shared" si="4"/>
        <v>5093</v>
      </c>
      <c r="K134" s="18">
        <v>13750</v>
      </c>
      <c r="L134">
        <f t="shared" si="5"/>
        <v>8657</v>
      </c>
      <c r="M134" s="19">
        <v>690</v>
      </c>
      <c r="N134" s="20" t="b">
        <v>1</v>
      </c>
      <c r="O134" s="21">
        <v>-69</v>
      </c>
      <c r="P134" s="26" t="b">
        <f>ABS(Table1[[#This Row],[Estimate error]])-Table1[[#This Row],[Standard Deviation]]&lt;0</f>
        <v>0</v>
      </c>
      <c r="U134" s="11"/>
      <c r="V134" s="12"/>
    </row>
    <row r="135" spans="1:22" x14ac:dyDescent="0.2">
      <c r="A135" s="29">
        <v>134</v>
      </c>
      <c r="B135" s="13">
        <v>44693.484815432101</v>
      </c>
      <c r="C135" s="14" t="s">
        <v>16</v>
      </c>
      <c r="D135" s="15">
        <v>68633.87498796724</v>
      </c>
      <c r="E135" s="16">
        <v>12706.019645536906</v>
      </c>
      <c r="F135" s="17">
        <v>-330735.76206932834</v>
      </c>
      <c r="G135" s="25">
        <v>29805.999043266896</v>
      </c>
      <c r="H135" s="26">
        <v>11187</v>
      </c>
      <c r="I135" s="24">
        <v>-330864.9970057765</v>
      </c>
      <c r="J135">
        <f t="shared" si="4"/>
        <v>38858</v>
      </c>
      <c r="K135" s="18">
        <v>0</v>
      </c>
      <c r="L135">
        <f t="shared" si="5"/>
        <v>0</v>
      </c>
      <c r="M135" s="19">
        <v>0</v>
      </c>
      <c r="N135" s="20" t="b">
        <v>0</v>
      </c>
      <c r="O135" s="21">
        <v>-92</v>
      </c>
      <c r="P135" s="26" t="b">
        <f>ABS(Table1[[#This Row],[Estimate error]])-Table1[[#This Row],[Standard Deviation]]&lt;0</f>
        <v>0</v>
      </c>
      <c r="U135" s="11"/>
      <c r="V135" s="12"/>
    </row>
    <row r="136" spans="1:22" x14ac:dyDescent="0.2">
      <c r="A136" s="29">
        <v>135</v>
      </c>
      <c r="B136" s="13">
        <v>44693.484815432101</v>
      </c>
      <c r="C136" s="14" t="s">
        <v>29</v>
      </c>
      <c r="D136" s="15">
        <v>68633.87498796724</v>
      </c>
      <c r="E136" s="16">
        <v>12706.019645536906</v>
      </c>
      <c r="F136" s="17">
        <v>-330735.76206932834</v>
      </c>
      <c r="G136" s="25">
        <v>66962.713641439259</v>
      </c>
      <c r="H136" s="26">
        <v>11187</v>
      </c>
      <c r="I136" s="24">
        <v>-324977.11831615516</v>
      </c>
      <c r="J136">
        <f t="shared" si="4"/>
        <v>6186</v>
      </c>
      <c r="K136" s="18">
        <v>7625</v>
      </c>
      <c r="L136">
        <f t="shared" si="5"/>
        <v>1439</v>
      </c>
      <c r="M136" s="19">
        <v>765</v>
      </c>
      <c r="N136" s="20" t="b">
        <v>1</v>
      </c>
      <c r="O136" s="21">
        <v>-64</v>
      </c>
      <c r="P136" s="26" t="b">
        <f>ABS(Table1[[#This Row],[Estimate error]])-Table1[[#This Row],[Standard Deviation]]&lt;0</f>
        <v>0</v>
      </c>
      <c r="U136" s="11"/>
      <c r="V136" s="12"/>
    </row>
    <row r="137" spans="1:22" x14ac:dyDescent="0.2">
      <c r="A137" s="29">
        <v>136</v>
      </c>
      <c r="B137" s="13">
        <v>44693.484815432101</v>
      </c>
      <c r="C137" s="14" t="s">
        <v>31</v>
      </c>
      <c r="D137" s="15">
        <v>68633.87498796724</v>
      </c>
      <c r="E137" s="16">
        <v>12706.019645536906</v>
      </c>
      <c r="F137" s="17">
        <v>-330735.76206932834</v>
      </c>
      <c r="G137" s="25">
        <v>74177.481073078248</v>
      </c>
      <c r="H137" s="26">
        <v>11187</v>
      </c>
      <c r="I137" s="24">
        <v>-356447.89152410487</v>
      </c>
      <c r="J137">
        <f t="shared" si="4"/>
        <v>26347</v>
      </c>
      <c r="K137" s="18">
        <v>43750</v>
      </c>
      <c r="L137">
        <f t="shared" si="5"/>
        <v>17403</v>
      </c>
      <c r="M137" s="19">
        <v>0</v>
      </c>
      <c r="N137" s="20" t="b">
        <v>1</v>
      </c>
      <c r="O137" s="21">
        <v>-87</v>
      </c>
      <c r="P137" s="26" t="b">
        <f>ABS(Table1[[#This Row],[Estimate error]])-Table1[[#This Row],[Standard Deviation]]&lt;0</f>
        <v>0</v>
      </c>
      <c r="U137" s="11"/>
      <c r="V137" s="12"/>
    </row>
    <row r="138" spans="1:22" x14ac:dyDescent="0.2">
      <c r="A138" s="29">
        <v>137</v>
      </c>
      <c r="B138" s="13">
        <v>44693.484815432101</v>
      </c>
      <c r="C138" s="14" t="s">
        <v>30</v>
      </c>
      <c r="D138" s="15">
        <v>68633.87498796724</v>
      </c>
      <c r="E138" s="16">
        <v>12706.019645536906</v>
      </c>
      <c r="F138" s="17">
        <v>-330735.76206932834</v>
      </c>
      <c r="G138" s="25">
        <v>69764.397321579861</v>
      </c>
      <c r="H138" s="26">
        <v>12050</v>
      </c>
      <c r="I138" s="24">
        <v>-335657.72548585641</v>
      </c>
      <c r="J138">
        <f t="shared" si="4"/>
        <v>5093</v>
      </c>
      <c r="K138" s="18">
        <v>13750</v>
      </c>
      <c r="L138">
        <f t="shared" si="5"/>
        <v>8657</v>
      </c>
      <c r="M138" s="19">
        <v>630</v>
      </c>
      <c r="N138" s="20" t="b">
        <v>1</v>
      </c>
      <c r="O138" s="21">
        <v>-69</v>
      </c>
      <c r="P138" s="26" t="b">
        <f>ABS(Table1[[#This Row],[Estimate error]])-Table1[[#This Row],[Standard Deviation]]&lt;0</f>
        <v>0</v>
      </c>
      <c r="U138" s="11"/>
      <c r="V138" s="12"/>
    </row>
    <row r="139" spans="1:22" x14ac:dyDescent="0.2">
      <c r="A139" s="29">
        <v>138</v>
      </c>
      <c r="B139" s="13">
        <v>44693.484815432101</v>
      </c>
      <c r="C139" s="14" t="s">
        <v>16</v>
      </c>
      <c r="D139" s="15">
        <v>68633.87498796724</v>
      </c>
      <c r="E139" s="16">
        <v>12706.019645536906</v>
      </c>
      <c r="F139" s="17">
        <v>-330735.76206932834</v>
      </c>
      <c r="G139" s="25">
        <v>29805.999043266896</v>
      </c>
      <c r="H139" s="26">
        <v>11187</v>
      </c>
      <c r="I139" s="24">
        <v>-330864.9970057765</v>
      </c>
      <c r="J139">
        <f t="shared" si="4"/>
        <v>38858</v>
      </c>
      <c r="K139" s="18">
        <v>0</v>
      </c>
      <c r="L139">
        <f t="shared" si="5"/>
        <v>0</v>
      </c>
      <c r="M139" s="19">
        <v>0</v>
      </c>
      <c r="N139" s="20" t="b">
        <v>0</v>
      </c>
      <c r="O139" s="21">
        <v>-92</v>
      </c>
      <c r="P139" s="26" t="b">
        <f>ABS(Table1[[#This Row],[Estimate error]])-Table1[[#This Row],[Standard Deviation]]&lt;0</f>
        <v>0</v>
      </c>
      <c r="U139" s="11"/>
      <c r="V139" s="12"/>
    </row>
    <row r="140" spans="1:22" x14ac:dyDescent="0.2">
      <c r="A140" s="29">
        <v>139</v>
      </c>
      <c r="B140" s="13">
        <v>44693.484815432101</v>
      </c>
      <c r="C140" s="14" t="s">
        <v>29</v>
      </c>
      <c r="D140" s="15">
        <v>68633.87498796724</v>
      </c>
      <c r="E140" s="16">
        <v>12706.019645536906</v>
      </c>
      <c r="F140" s="17">
        <v>-330735.76206932834</v>
      </c>
      <c r="G140" s="25">
        <v>66962.713641439259</v>
      </c>
      <c r="H140" s="26">
        <v>11187</v>
      </c>
      <c r="I140" s="24">
        <v>-324977.11831615516</v>
      </c>
      <c r="J140">
        <f t="shared" si="4"/>
        <v>6186</v>
      </c>
      <c r="K140" s="18">
        <v>7500</v>
      </c>
      <c r="L140">
        <f t="shared" si="5"/>
        <v>1314</v>
      </c>
      <c r="M140" s="19">
        <v>600</v>
      </c>
      <c r="N140" s="20" t="b">
        <v>1</v>
      </c>
      <c r="O140" s="21">
        <v>-64</v>
      </c>
      <c r="P140" s="26" t="b">
        <f>ABS(Table1[[#This Row],[Estimate error]])-Table1[[#This Row],[Standard Deviation]]&lt;0</f>
        <v>0</v>
      </c>
      <c r="U140" s="11"/>
      <c r="V140" s="12"/>
    </row>
    <row r="141" spans="1:22" x14ac:dyDescent="0.2">
      <c r="A141" s="29">
        <v>140</v>
      </c>
      <c r="B141" s="13">
        <v>44693.484815432101</v>
      </c>
      <c r="C141" s="14" t="s">
        <v>31</v>
      </c>
      <c r="D141" s="15">
        <v>68633.87498796724</v>
      </c>
      <c r="E141" s="16">
        <v>12706.019645536906</v>
      </c>
      <c r="F141" s="17">
        <v>-330735.76206932834</v>
      </c>
      <c r="G141" s="25">
        <v>74177.481073078248</v>
      </c>
      <c r="H141" s="26">
        <v>11187</v>
      </c>
      <c r="I141" s="24">
        <v>-356447.89152410487</v>
      </c>
      <c r="J141">
        <f t="shared" si="4"/>
        <v>26347</v>
      </c>
      <c r="K141" s="18">
        <v>0</v>
      </c>
      <c r="L141">
        <f t="shared" si="5"/>
        <v>0</v>
      </c>
      <c r="M141" s="19">
        <v>0</v>
      </c>
      <c r="N141" s="20" t="b">
        <v>0</v>
      </c>
      <c r="O141" s="21">
        <v>-87</v>
      </c>
      <c r="P141" s="26" t="b">
        <f>ABS(Table1[[#This Row],[Estimate error]])-Table1[[#This Row],[Standard Deviation]]&lt;0</f>
        <v>0</v>
      </c>
      <c r="U141" s="11"/>
      <c r="V141" s="12"/>
    </row>
    <row r="142" spans="1:22" x14ac:dyDescent="0.2">
      <c r="A142" s="29">
        <v>141</v>
      </c>
      <c r="B142" s="13">
        <v>44693.484815432101</v>
      </c>
      <c r="C142" s="14" t="s">
        <v>30</v>
      </c>
      <c r="D142" s="15">
        <v>68633.87498796724</v>
      </c>
      <c r="E142" s="16">
        <v>12706.019645536906</v>
      </c>
      <c r="F142" s="17">
        <v>-330735.76206932834</v>
      </c>
      <c r="G142" s="25">
        <v>69764.397321579861</v>
      </c>
      <c r="H142" s="26">
        <v>12050</v>
      </c>
      <c r="I142" s="24">
        <v>-335657.72548585641</v>
      </c>
      <c r="J142">
        <f t="shared" si="4"/>
        <v>5093</v>
      </c>
      <c r="K142" s="18">
        <v>13750</v>
      </c>
      <c r="L142">
        <f t="shared" si="5"/>
        <v>8657</v>
      </c>
      <c r="M142" s="19">
        <v>420</v>
      </c>
      <c r="N142" s="20" t="b">
        <v>1</v>
      </c>
      <c r="O142" s="21">
        <v>-69</v>
      </c>
      <c r="P142" s="26" t="b">
        <f>ABS(Table1[[#This Row],[Estimate error]])-Table1[[#This Row],[Standard Deviation]]&lt;0</f>
        <v>0</v>
      </c>
      <c r="U142" s="11"/>
      <c r="V142" s="12"/>
    </row>
    <row r="143" spans="1:22" x14ac:dyDescent="0.2">
      <c r="A143" s="29">
        <v>142</v>
      </c>
      <c r="B143" s="13">
        <v>44693.484815432101</v>
      </c>
      <c r="C143" s="14" t="s">
        <v>16</v>
      </c>
      <c r="D143" s="15">
        <v>68633.87498796724</v>
      </c>
      <c r="E143" s="16">
        <v>12706.019645536906</v>
      </c>
      <c r="F143" s="17">
        <v>-330735.76206932834</v>
      </c>
      <c r="G143" s="25">
        <v>29805.999043266896</v>
      </c>
      <c r="H143" s="26">
        <v>11187</v>
      </c>
      <c r="I143" s="24">
        <v>-330864.9970057765</v>
      </c>
      <c r="J143">
        <f t="shared" si="4"/>
        <v>38858</v>
      </c>
      <c r="K143" s="18">
        <v>0</v>
      </c>
      <c r="L143">
        <f t="shared" si="5"/>
        <v>0</v>
      </c>
      <c r="M143" s="19">
        <v>0</v>
      </c>
      <c r="N143" s="20" t="b">
        <v>0</v>
      </c>
      <c r="O143" s="21">
        <v>-92</v>
      </c>
      <c r="P143" s="26" t="b">
        <f>ABS(Table1[[#This Row],[Estimate error]])-Table1[[#This Row],[Standard Deviation]]&lt;0</f>
        <v>0</v>
      </c>
      <c r="U143" s="11"/>
      <c r="V143" s="12"/>
    </row>
    <row r="144" spans="1:22" x14ac:dyDescent="0.2">
      <c r="A144" s="29">
        <v>143</v>
      </c>
      <c r="B144" s="13">
        <v>44693.484815432101</v>
      </c>
      <c r="C144" s="14" t="s">
        <v>29</v>
      </c>
      <c r="D144" s="15">
        <v>68633.87498796724</v>
      </c>
      <c r="E144" s="16">
        <v>12706.019645536906</v>
      </c>
      <c r="F144" s="17">
        <v>-330735.76206932834</v>
      </c>
      <c r="G144" s="25">
        <v>66962.713641439259</v>
      </c>
      <c r="H144" s="26">
        <v>11187</v>
      </c>
      <c r="I144" s="24">
        <v>-324977.11831615516</v>
      </c>
      <c r="J144">
        <f t="shared" si="4"/>
        <v>6186</v>
      </c>
      <c r="K144" s="18">
        <v>7625</v>
      </c>
      <c r="L144">
        <f t="shared" si="5"/>
        <v>1439</v>
      </c>
      <c r="M144" s="19">
        <v>585</v>
      </c>
      <c r="N144" s="20" t="b">
        <v>1</v>
      </c>
      <c r="O144" s="21">
        <v>-64</v>
      </c>
      <c r="P144" s="26" t="b">
        <f>ABS(Table1[[#This Row],[Estimate error]])-Table1[[#This Row],[Standard Deviation]]&lt;0</f>
        <v>0</v>
      </c>
      <c r="U144" s="11"/>
      <c r="V144" s="12"/>
    </row>
    <row r="145" spans="1:22" x14ac:dyDescent="0.2">
      <c r="A145" s="29">
        <v>144</v>
      </c>
      <c r="B145" s="13">
        <v>44693.484815432101</v>
      </c>
      <c r="C145" s="14" t="s">
        <v>31</v>
      </c>
      <c r="D145" s="15">
        <v>68633.87498796724</v>
      </c>
      <c r="E145" s="16">
        <v>12706.019645536906</v>
      </c>
      <c r="F145" s="17">
        <v>-330735.76206932834</v>
      </c>
      <c r="G145" s="25">
        <v>74177.481073078248</v>
      </c>
      <c r="H145" s="26">
        <v>11187</v>
      </c>
      <c r="I145" s="24">
        <v>-356447.89152410487</v>
      </c>
      <c r="J145">
        <f t="shared" si="4"/>
        <v>26347</v>
      </c>
      <c r="K145" s="18">
        <v>0</v>
      </c>
      <c r="L145">
        <f t="shared" si="5"/>
        <v>0</v>
      </c>
      <c r="M145" s="19">
        <v>0</v>
      </c>
      <c r="N145" s="20" t="b">
        <v>0</v>
      </c>
      <c r="O145" s="21">
        <v>-87</v>
      </c>
      <c r="P145" s="26" t="b">
        <f>ABS(Table1[[#This Row],[Estimate error]])-Table1[[#This Row],[Standard Deviation]]&lt;0</f>
        <v>0</v>
      </c>
      <c r="U145" s="11"/>
      <c r="V145" s="12"/>
    </row>
    <row r="146" spans="1:22" x14ac:dyDescent="0.2">
      <c r="A146" s="29">
        <v>145</v>
      </c>
      <c r="B146" s="13">
        <v>44693.484815432101</v>
      </c>
      <c r="C146" s="14" t="s">
        <v>30</v>
      </c>
      <c r="D146" s="15">
        <v>68633.87498796724</v>
      </c>
      <c r="E146" s="16">
        <v>12706.019645536906</v>
      </c>
      <c r="F146" s="17">
        <v>-330735.76206932834</v>
      </c>
      <c r="G146" s="25">
        <v>69764.397321579861</v>
      </c>
      <c r="H146" s="26">
        <v>12050</v>
      </c>
      <c r="I146" s="24">
        <v>-335657.72548585641</v>
      </c>
      <c r="J146">
        <f t="shared" si="4"/>
        <v>5093</v>
      </c>
      <c r="K146" s="18">
        <v>13750</v>
      </c>
      <c r="L146">
        <f t="shared" si="5"/>
        <v>8657</v>
      </c>
      <c r="M146" s="19">
        <v>600</v>
      </c>
      <c r="N146" s="20" t="b">
        <v>1</v>
      </c>
      <c r="O146" s="21">
        <v>-69</v>
      </c>
      <c r="P146" s="26" t="b">
        <f>ABS(Table1[[#This Row],[Estimate error]])-Table1[[#This Row],[Standard Deviation]]&lt;0</f>
        <v>0</v>
      </c>
      <c r="U146" s="11"/>
      <c r="V146" s="12"/>
    </row>
    <row r="147" spans="1:22" x14ac:dyDescent="0.2">
      <c r="A147" s="29">
        <v>146</v>
      </c>
      <c r="B147" s="13">
        <v>44693.485225964505</v>
      </c>
      <c r="C147" s="14" t="s">
        <v>29</v>
      </c>
      <c r="D147" s="15">
        <v>76554.929399806118</v>
      </c>
      <c r="E147" s="16">
        <v>12660.484865645683</v>
      </c>
      <c r="F147" s="17">
        <v>-335301.534021987</v>
      </c>
      <c r="G147" s="25">
        <v>66962.713641439259</v>
      </c>
      <c r="H147" s="26">
        <v>11187</v>
      </c>
      <c r="I147" s="24">
        <v>-324977.11831615516</v>
      </c>
      <c r="J147">
        <f t="shared" si="4"/>
        <v>14170</v>
      </c>
      <c r="K147" s="18">
        <v>16500</v>
      </c>
      <c r="L147">
        <f t="shared" si="5"/>
        <v>2330</v>
      </c>
      <c r="M147" s="19">
        <v>615</v>
      </c>
      <c r="N147" s="20" t="b">
        <v>1</v>
      </c>
      <c r="O147" s="21">
        <v>-70</v>
      </c>
      <c r="P147" s="26" t="b">
        <f>ABS(Table1[[#This Row],[Estimate error]])-Table1[[#This Row],[Standard Deviation]]&lt;0</f>
        <v>0</v>
      </c>
      <c r="U147" s="11"/>
      <c r="V147" s="12"/>
    </row>
    <row r="148" spans="1:22" x14ac:dyDescent="0.2">
      <c r="A148" s="29">
        <v>147</v>
      </c>
      <c r="B148" s="13">
        <v>44693.485225964505</v>
      </c>
      <c r="C148" s="14" t="s">
        <v>31</v>
      </c>
      <c r="D148" s="15">
        <v>76554.929399806118</v>
      </c>
      <c r="E148" s="16">
        <v>12660.484865645683</v>
      </c>
      <c r="F148" s="17">
        <v>-335301.534021987</v>
      </c>
      <c r="G148" s="25">
        <v>74177.481073078248</v>
      </c>
      <c r="H148" s="26">
        <v>11187</v>
      </c>
      <c r="I148" s="24">
        <v>-356447.89152410487</v>
      </c>
      <c r="J148">
        <f t="shared" si="4"/>
        <v>21331</v>
      </c>
      <c r="K148" s="18">
        <v>0</v>
      </c>
      <c r="L148">
        <f t="shared" si="5"/>
        <v>0</v>
      </c>
      <c r="M148" s="19">
        <v>0</v>
      </c>
      <c r="N148" s="20" t="b">
        <v>0</v>
      </c>
      <c r="O148" s="21">
        <v>-89</v>
      </c>
      <c r="P148" s="26" t="b">
        <f>ABS(Table1[[#This Row],[Estimate error]])-Table1[[#This Row],[Standard Deviation]]&lt;0</f>
        <v>0</v>
      </c>
      <c r="U148" s="11"/>
      <c r="V148" s="12"/>
    </row>
    <row r="149" spans="1:22" x14ac:dyDescent="0.2">
      <c r="A149" s="29">
        <v>148</v>
      </c>
      <c r="B149" s="13">
        <v>44693.485225964505</v>
      </c>
      <c r="C149" s="14" t="s">
        <v>30</v>
      </c>
      <c r="D149" s="15">
        <v>76554.929399806118</v>
      </c>
      <c r="E149" s="16">
        <v>12660.484865645683</v>
      </c>
      <c r="F149" s="17">
        <v>-335301.534021987</v>
      </c>
      <c r="G149" s="25">
        <v>69764.397321579861</v>
      </c>
      <c r="H149" s="26">
        <v>12050</v>
      </c>
      <c r="I149" s="24">
        <v>-335657.72548585641</v>
      </c>
      <c r="J149">
        <f t="shared" si="4"/>
        <v>6827</v>
      </c>
      <c r="K149" s="18">
        <v>7187</v>
      </c>
      <c r="L149">
        <f t="shared" si="5"/>
        <v>360</v>
      </c>
      <c r="M149" s="19">
        <v>540</v>
      </c>
      <c r="N149" s="20" t="b">
        <v>1</v>
      </c>
      <c r="O149" s="21">
        <v>-61</v>
      </c>
      <c r="P149" s="26" t="b">
        <f>ABS(Table1[[#This Row],[Estimate error]])-Table1[[#This Row],[Standard Deviation]]&lt;0</f>
        <v>1</v>
      </c>
      <c r="U149" s="11"/>
      <c r="V149" s="12"/>
    </row>
    <row r="150" spans="1:22" x14ac:dyDescent="0.2">
      <c r="A150" s="29">
        <v>149</v>
      </c>
      <c r="B150" s="13">
        <v>44693.485225964505</v>
      </c>
      <c r="C150" s="14" t="s">
        <v>29</v>
      </c>
      <c r="D150" s="15">
        <v>76554.929399806118</v>
      </c>
      <c r="E150" s="16">
        <v>12660.484865645683</v>
      </c>
      <c r="F150" s="17">
        <v>-335301.534021987</v>
      </c>
      <c r="G150" s="25">
        <v>66962.713641439259</v>
      </c>
      <c r="H150" s="26">
        <v>11187</v>
      </c>
      <c r="I150" s="24">
        <v>-324977.11831615516</v>
      </c>
      <c r="J150">
        <f t="shared" si="4"/>
        <v>14170</v>
      </c>
      <c r="K150" s="18">
        <v>19187</v>
      </c>
      <c r="L150">
        <f t="shared" si="5"/>
        <v>5017</v>
      </c>
      <c r="M150" s="19">
        <v>1995</v>
      </c>
      <c r="N150" s="20" t="b">
        <v>1</v>
      </c>
      <c r="O150" s="21">
        <v>-70</v>
      </c>
      <c r="P150" s="26" t="b">
        <f>ABS(Table1[[#This Row],[Estimate error]])-Table1[[#This Row],[Standard Deviation]]&lt;0</f>
        <v>0</v>
      </c>
      <c r="U150" s="11"/>
      <c r="V150" s="12"/>
    </row>
    <row r="151" spans="1:22" x14ac:dyDescent="0.2">
      <c r="A151" s="29">
        <v>150</v>
      </c>
      <c r="B151" s="13">
        <v>44693.485225964505</v>
      </c>
      <c r="C151" s="14" t="s">
        <v>31</v>
      </c>
      <c r="D151" s="15">
        <v>76554.929399806118</v>
      </c>
      <c r="E151" s="16">
        <v>12660.484865645683</v>
      </c>
      <c r="F151" s="17">
        <v>-335301.534021987</v>
      </c>
      <c r="G151" s="25">
        <v>74177.481073078248</v>
      </c>
      <c r="H151" s="26">
        <v>11187</v>
      </c>
      <c r="I151" s="24">
        <v>-356447.89152410487</v>
      </c>
      <c r="J151">
        <f t="shared" si="4"/>
        <v>21331</v>
      </c>
      <c r="K151" s="18">
        <v>0</v>
      </c>
      <c r="L151">
        <f t="shared" si="5"/>
        <v>0</v>
      </c>
      <c r="M151" s="19">
        <v>0</v>
      </c>
      <c r="N151" s="20" t="b">
        <v>0</v>
      </c>
      <c r="O151" s="21">
        <v>-89</v>
      </c>
      <c r="P151" s="26" t="b">
        <f>ABS(Table1[[#This Row],[Estimate error]])-Table1[[#This Row],[Standard Deviation]]&lt;0</f>
        <v>0</v>
      </c>
      <c r="U151" s="11"/>
      <c r="V151" s="12"/>
    </row>
    <row r="152" spans="1:22" x14ac:dyDescent="0.2">
      <c r="A152" s="29">
        <v>151</v>
      </c>
      <c r="B152" s="13">
        <v>44693.485225964505</v>
      </c>
      <c r="C152" s="14" t="s">
        <v>30</v>
      </c>
      <c r="D152" s="15">
        <v>76554.929399806118</v>
      </c>
      <c r="E152" s="16">
        <v>12660.484865645683</v>
      </c>
      <c r="F152" s="17">
        <v>-335301.534021987</v>
      </c>
      <c r="G152" s="25">
        <v>69764.397321579861</v>
      </c>
      <c r="H152" s="26">
        <v>12050</v>
      </c>
      <c r="I152" s="24">
        <v>-335657.72548585641</v>
      </c>
      <c r="J152">
        <f t="shared" si="4"/>
        <v>6827</v>
      </c>
      <c r="K152" s="18">
        <v>7000</v>
      </c>
      <c r="L152">
        <f t="shared" si="5"/>
        <v>173</v>
      </c>
      <c r="M152" s="19">
        <v>585</v>
      </c>
      <c r="N152" s="20" t="b">
        <v>1</v>
      </c>
      <c r="O152" s="21">
        <v>-61</v>
      </c>
      <c r="P152" s="26" t="b">
        <f>ABS(Table1[[#This Row],[Estimate error]])-Table1[[#This Row],[Standard Deviation]]&lt;0</f>
        <v>1</v>
      </c>
      <c r="U152" s="11"/>
      <c r="V152" s="12"/>
    </row>
    <row r="153" spans="1:22" x14ac:dyDescent="0.2">
      <c r="A153" s="29">
        <v>152</v>
      </c>
      <c r="B153" s="13">
        <v>44693.485225964505</v>
      </c>
      <c r="C153" s="14" t="s">
        <v>29</v>
      </c>
      <c r="D153" s="15">
        <v>76554.929399806118</v>
      </c>
      <c r="E153" s="16">
        <v>12660.484865645683</v>
      </c>
      <c r="F153" s="17">
        <v>-335301.534021987</v>
      </c>
      <c r="G153" s="25">
        <v>66962.713641439259</v>
      </c>
      <c r="H153" s="26">
        <v>11187</v>
      </c>
      <c r="I153" s="24">
        <v>-324977.11831615516</v>
      </c>
      <c r="J153">
        <f t="shared" si="4"/>
        <v>14170</v>
      </c>
      <c r="K153" s="18">
        <v>20812</v>
      </c>
      <c r="L153">
        <f t="shared" si="5"/>
        <v>6642</v>
      </c>
      <c r="M153" s="19">
        <v>1305</v>
      </c>
      <c r="N153" s="20" t="b">
        <v>1</v>
      </c>
      <c r="O153" s="21">
        <v>-70</v>
      </c>
      <c r="P153" s="26" t="b">
        <f>ABS(Table1[[#This Row],[Estimate error]])-Table1[[#This Row],[Standard Deviation]]&lt;0</f>
        <v>0</v>
      </c>
      <c r="U153" s="11"/>
      <c r="V153" s="12"/>
    </row>
    <row r="154" spans="1:22" x14ac:dyDescent="0.2">
      <c r="A154" s="29">
        <v>153</v>
      </c>
      <c r="B154" s="13">
        <v>44693.485225964505</v>
      </c>
      <c r="C154" s="14" t="s">
        <v>31</v>
      </c>
      <c r="D154" s="15">
        <v>76554.929399806118</v>
      </c>
      <c r="E154" s="16">
        <v>12660.484865645683</v>
      </c>
      <c r="F154" s="17">
        <v>-335301.534021987</v>
      </c>
      <c r="G154" s="25">
        <v>74177.481073078248</v>
      </c>
      <c r="H154" s="26">
        <v>11187</v>
      </c>
      <c r="I154" s="24">
        <v>-356447.89152410487</v>
      </c>
      <c r="J154">
        <f t="shared" si="4"/>
        <v>21331</v>
      </c>
      <c r="K154" s="18">
        <v>0</v>
      </c>
      <c r="L154">
        <f t="shared" si="5"/>
        <v>0</v>
      </c>
      <c r="M154" s="19">
        <v>0</v>
      </c>
      <c r="N154" s="20" t="b">
        <v>0</v>
      </c>
      <c r="O154" s="21">
        <v>-89</v>
      </c>
      <c r="P154" s="26" t="b">
        <f>ABS(Table1[[#This Row],[Estimate error]])-Table1[[#This Row],[Standard Deviation]]&lt;0</f>
        <v>0</v>
      </c>
      <c r="U154" s="11"/>
      <c r="V154" s="12"/>
    </row>
    <row r="155" spans="1:22" x14ac:dyDescent="0.2">
      <c r="A155" s="29">
        <v>154</v>
      </c>
      <c r="B155" s="13">
        <v>44693.485225964505</v>
      </c>
      <c r="C155" s="14" t="s">
        <v>30</v>
      </c>
      <c r="D155" s="15">
        <v>76554.929399806118</v>
      </c>
      <c r="E155" s="16">
        <v>12660.484865645683</v>
      </c>
      <c r="F155" s="17">
        <v>-335301.534021987</v>
      </c>
      <c r="G155" s="25">
        <v>69764.397321579861</v>
      </c>
      <c r="H155" s="26">
        <v>12050</v>
      </c>
      <c r="I155" s="24">
        <v>-335657.72548585641</v>
      </c>
      <c r="J155">
        <f t="shared" si="4"/>
        <v>6827</v>
      </c>
      <c r="K155" s="18">
        <v>6875</v>
      </c>
      <c r="L155">
        <f t="shared" si="5"/>
        <v>48</v>
      </c>
      <c r="M155" s="19">
        <v>615</v>
      </c>
      <c r="N155" s="20" t="b">
        <v>1</v>
      </c>
      <c r="O155" s="21">
        <v>-61</v>
      </c>
      <c r="P155" s="26" t="b">
        <f>ABS(Table1[[#This Row],[Estimate error]])-Table1[[#This Row],[Standard Deviation]]&lt;0</f>
        <v>1</v>
      </c>
      <c r="U155" s="11"/>
      <c r="V155" s="12"/>
    </row>
    <row r="156" spans="1:22" x14ac:dyDescent="0.2">
      <c r="A156" s="29">
        <v>155</v>
      </c>
      <c r="B156" s="13">
        <v>44693.485225964505</v>
      </c>
      <c r="C156" s="14" t="s">
        <v>29</v>
      </c>
      <c r="D156" s="15">
        <v>76554.929399806118</v>
      </c>
      <c r="E156" s="16">
        <v>12660.484865645683</v>
      </c>
      <c r="F156" s="17">
        <v>-335301.534021987</v>
      </c>
      <c r="G156" s="25">
        <v>66962.713641439259</v>
      </c>
      <c r="H156" s="26">
        <v>11187</v>
      </c>
      <c r="I156" s="24">
        <v>-324977.11831615516</v>
      </c>
      <c r="J156">
        <f t="shared" si="4"/>
        <v>14170</v>
      </c>
      <c r="K156" s="18">
        <v>22625</v>
      </c>
      <c r="L156">
        <f t="shared" si="5"/>
        <v>8455</v>
      </c>
      <c r="M156" s="19">
        <v>705</v>
      </c>
      <c r="N156" s="20" t="b">
        <v>1</v>
      </c>
      <c r="O156" s="21">
        <v>-70</v>
      </c>
      <c r="P156" s="26" t="b">
        <f>ABS(Table1[[#This Row],[Estimate error]])-Table1[[#This Row],[Standard Deviation]]&lt;0</f>
        <v>0</v>
      </c>
      <c r="U156" s="11"/>
      <c r="V156" s="12"/>
    </row>
    <row r="157" spans="1:22" x14ac:dyDescent="0.2">
      <c r="A157" s="29">
        <v>156</v>
      </c>
      <c r="B157" s="13">
        <v>44693.485225964505</v>
      </c>
      <c r="C157" s="14" t="s">
        <v>31</v>
      </c>
      <c r="D157" s="15">
        <v>76554.929399806118</v>
      </c>
      <c r="E157" s="16">
        <v>12660.484865645683</v>
      </c>
      <c r="F157" s="17">
        <v>-335301.534021987</v>
      </c>
      <c r="G157" s="25">
        <v>74177.481073078248</v>
      </c>
      <c r="H157" s="26">
        <v>11187</v>
      </c>
      <c r="I157" s="24">
        <v>-356447.89152410487</v>
      </c>
      <c r="J157">
        <f t="shared" si="4"/>
        <v>21331</v>
      </c>
      <c r="K157" s="18">
        <v>0</v>
      </c>
      <c r="L157">
        <f t="shared" si="5"/>
        <v>0</v>
      </c>
      <c r="M157" s="19">
        <v>0</v>
      </c>
      <c r="N157" s="20" t="b">
        <v>0</v>
      </c>
      <c r="O157" s="21">
        <v>-89</v>
      </c>
      <c r="P157" s="26" t="b">
        <f>ABS(Table1[[#This Row],[Estimate error]])-Table1[[#This Row],[Standard Deviation]]&lt;0</f>
        <v>0</v>
      </c>
      <c r="U157" s="11"/>
      <c r="V157" s="12"/>
    </row>
    <row r="158" spans="1:22" x14ac:dyDescent="0.2">
      <c r="A158" s="29">
        <v>157</v>
      </c>
      <c r="B158" s="13">
        <v>44693.485225964505</v>
      </c>
      <c r="C158" s="14" t="s">
        <v>30</v>
      </c>
      <c r="D158" s="15">
        <v>76554.929399806118</v>
      </c>
      <c r="E158" s="16">
        <v>12660.484865645683</v>
      </c>
      <c r="F158" s="17">
        <v>-335301.534021987</v>
      </c>
      <c r="G158" s="25">
        <v>69764.397321579861</v>
      </c>
      <c r="H158" s="26">
        <v>12050</v>
      </c>
      <c r="I158" s="24">
        <v>-335657.72548585641</v>
      </c>
      <c r="J158">
        <f t="shared" si="4"/>
        <v>6827</v>
      </c>
      <c r="K158" s="18">
        <v>6875</v>
      </c>
      <c r="L158">
        <f t="shared" si="5"/>
        <v>48</v>
      </c>
      <c r="M158" s="19">
        <v>615</v>
      </c>
      <c r="N158" s="20" t="b">
        <v>1</v>
      </c>
      <c r="O158" s="21">
        <v>-61</v>
      </c>
      <c r="P158" s="26" t="b">
        <f>ABS(Table1[[#This Row],[Estimate error]])-Table1[[#This Row],[Standard Deviation]]&lt;0</f>
        <v>1</v>
      </c>
      <c r="U158" s="11"/>
      <c r="V158" s="12"/>
    </row>
    <row r="159" spans="1:22" x14ac:dyDescent="0.2">
      <c r="A159" s="29">
        <v>158</v>
      </c>
      <c r="B159" s="13">
        <v>44693.485225964505</v>
      </c>
      <c r="C159" s="14" t="s">
        <v>29</v>
      </c>
      <c r="D159" s="15">
        <v>76554.929399806118</v>
      </c>
      <c r="E159" s="16">
        <v>12660.484865645683</v>
      </c>
      <c r="F159" s="17">
        <v>-335301.534021987</v>
      </c>
      <c r="G159" s="25">
        <v>66962.713641439259</v>
      </c>
      <c r="H159" s="26">
        <v>11187</v>
      </c>
      <c r="I159" s="24">
        <v>-324977.11831615516</v>
      </c>
      <c r="J159">
        <f t="shared" si="4"/>
        <v>14170</v>
      </c>
      <c r="K159" s="18">
        <v>21437</v>
      </c>
      <c r="L159">
        <f t="shared" si="5"/>
        <v>7267</v>
      </c>
      <c r="M159" s="19">
        <v>570</v>
      </c>
      <c r="N159" s="20" t="b">
        <v>1</v>
      </c>
      <c r="O159" s="21">
        <v>-70</v>
      </c>
      <c r="P159" s="26" t="b">
        <f>ABS(Table1[[#This Row],[Estimate error]])-Table1[[#This Row],[Standard Deviation]]&lt;0</f>
        <v>0</v>
      </c>
      <c r="U159" s="11"/>
      <c r="V159" s="12"/>
    </row>
    <row r="160" spans="1:22" x14ac:dyDescent="0.2">
      <c r="A160" s="29">
        <v>159</v>
      </c>
      <c r="B160" s="13">
        <v>44693.485225964505</v>
      </c>
      <c r="C160" s="14" t="s">
        <v>31</v>
      </c>
      <c r="D160" s="15">
        <v>76554.929399806118</v>
      </c>
      <c r="E160" s="16">
        <v>12660.484865645683</v>
      </c>
      <c r="F160" s="17">
        <v>-335301.534021987</v>
      </c>
      <c r="G160" s="25">
        <v>74177.481073078248</v>
      </c>
      <c r="H160" s="26">
        <v>11187</v>
      </c>
      <c r="I160" s="24">
        <v>-356447.89152410487</v>
      </c>
      <c r="J160">
        <f t="shared" si="4"/>
        <v>21331</v>
      </c>
      <c r="K160" s="18">
        <v>0</v>
      </c>
      <c r="L160">
        <f t="shared" si="5"/>
        <v>0</v>
      </c>
      <c r="M160" s="19">
        <v>0</v>
      </c>
      <c r="N160" s="20" t="b">
        <v>0</v>
      </c>
      <c r="O160" s="21">
        <v>-89</v>
      </c>
      <c r="P160" s="26" t="b">
        <f>ABS(Table1[[#This Row],[Estimate error]])-Table1[[#This Row],[Standard Deviation]]&lt;0</f>
        <v>0</v>
      </c>
      <c r="U160" s="11"/>
      <c r="V160" s="12"/>
    </row>
    <row r="161" spans="1:22" x14ac:dyDescent="0.2">
      <c r="A161" s="29">
        <v>160</v>
      </c>
      <c r="B161" s="13">
        <v>44693.485225964505</v>
      </c>
      <c r="C161" s="14" t="s">
        <v>30</v>
      </c>
      <c r="D161" s="15">
        <v>76554.929399806118</v>
      </c>
      <c r="E161" s="16">
        <v>12660.484865645683</v>
      </c>
      <c r="F161" s="17">
        <v>-335301.534021987</v>
      </c>
      <c r="G161" s="25">
        <v>69764.397321579861</v>
      </c>
      <c r="H161" s="26">
        <v>12050</v>
      </c>
      <c r="I161" s="24">
        <v>-335657.72548585641</v>
      </c>
      <c r="J161">
        <f t="shared" si="4"/>
        <v>6827</v>
      </c>
      <c r="K161" s="18">
        <v>8375</v>
      </c>
      <c r="L161">
        <f t="shared" si="5"/>
        <v>1548</v>
      </c>
      <c r="M161" s="19">
        <v>660</v>
      </c>
      <c r="N161" s="20" t="b">
        <v>1</v>
      </c>
      <c r="O161" s="21">
        <v>-61</v>
      </c>
      <c r="P161" s="26" t="b">
        <f>ABS(Table1[[#This Row],[Estimate error]])-Table1[[#This Row],[Standard Deviation]]&lt;0</f>
        <v>0</v>
      </c>
      <c r="U161" s="11"/>
      <c r="V161" s="12"/>
    </row>
    <row r="162" spans="1:22" x14ac:dyDescent="0.2">
      <c r="A162" s="29">
        <v>161</v>
      </c>
      <c r="B162" s="13">
        <v>44693.485854282408</v>
      </c>
      <c r="C162" s="14" t="s">
        <v>28</v>
      </c>
      <c r="D162" s="15">
        <v>78906.623779740767</v>
      </c>
      <c r="E162" s="16">
        <v>13000.576319195477</v>
      </c>
      <c r="F162" s="17">
        <v>-345969.45607042889</v>
      </c>
      <c r="G162" s="25">
        <v>47511.84397421257</v>
      </c>
      <c r="H162" s="26">
        <v>12577</v>
      </c>
      <c r="I162" s="24">
        <v>-366209.6994908413</v>
      </c>
      <c r="J162">
        <f t="shared" si="4"/>
        <v>37356</v>
      </c>
      <c r="K162" s="18">
        <v>41812</v>
      </c>
      <c r="L162">
        <f t="shared" si="5"/>
        <v>4456</v>
      </c>
      <c r="M162" s="19">
        <v>1710</v>
      </c>
      <c r="N162" s="20" t="b">
        <v>1</v>
      </c>
      <c r="O162" s="21">
        <v>-81</v>
      </c>
      <c r="P162" s="26" t="b">
        <f>ABS(Table1[[#This Row],[Estimate error]])-Table1[[#This Row],[Standard Deviation]]&lt;0</f>
        <v>0</v>
      </c>
      <c r="U162" s="11"/>
      <c r="V162" s="12"/>
    </row>
    <row r="163" spans="1:22" x14ac:dyDescent="0.2">
      <c r="A163" s="29">
        <v>162</v>
      </c>
      <c r="B163" s="13">
        <v>44693.485854282408</v>
      </c>
      <c r="C163" s="14" t="s">
        <v>29</v>
      </c>
      <c r="D163" s="15">
        <v>78906.623779740767</v>
      </c>
      <c r="E163" s="16">
        <v>13000.576319195477</v>
      </c>
      <c r="F163" s="17">
        <v>-345969.45607042889</v>
      </c>
      <c r="G163" s="25">
        <v>66962.713641439259</v>
      </c>
      <c r="H163" s="26">
        <v>11187</v>
      </c>
      <c r="I163" s="24">
        <v>-324977.11831615516</v>
      </c>
      <c r="J163">
        <f t="shared" si="4"/>
        <v>24220</v>
      </c>
      <c r="K163" s="18">
        <v>30250</v>
      </c>
      <c r="L163">
        <f t="shared" si="5"/>
        <v>6030</v>
      </c>
      <c r="M163" s="19">
        <v>660</v>
      </c>
      <c r="N163" s="20" t="b">
        <v>1</v>
      </c>
      <c r="O163" s="21">
        <v>-80</v>
      </c>
      <c r="P163" s="26" t="b">
        <f>ABS(Table1[[#This Row],[Estimate error]])-Table1[[#This Row],[Standard Deviation]]&lt;0</f>
        <v>0</v>
      </c>
      <c r="U163" s="11"/>
      <c r="V163" s="12"/>
    </row>
    <row r="164" spans="1:22" x14ac:dyDescent="0.2">
      <c r="A164" s="29">
        <v>163</v>
      </c>
      <c r="B164" s="13">
        <v>44693.485854282408</v>
      </c>
      <c r="C164" s="14" t="s">
        <v>31</v>
      </c>
      <c r="D164" s="15">
        <v>78906.623779740767</v>
      </c>
      <c r="E164" s="16">
        <v>13000.576319195477</v>
      </c>
      <c r="F164" s="17">
        <v>-345969.45607042889</v>
      </c>
      <c r="G164" s="25">
        <v>74177.481073078248</v>
      </c>
      <c r="H164" s="26">
        <v>11187</v>
      </c>
      <c r="I164" s="24">
        <v>-356447.89152410487</v>
      </c>
      <c r="J164">
        <f t="shared" si="4"/>
        <v>11638</v>
      </c>
      <c r="K164" s="18">
        <v>16625</v>
      </c>
      <c r="L164">
        <f t="shared" si="5"/>
        <v>4987</v>
      </c>
      <c r="M164" s="19">
        <v>690</v>
      </c>
      <c r="N164" s="20" t="b">
        <v>1</v>
      </c>
      <c r="O164" s="21">
        <v>-69</v>
      </c>
      <c r="P164" s="26" t="b">
        <f>ABS(Table1[[#This Row],[Estimate error]])-Table1[[#This Row],[Standard Deviation]]&lt;0</f>
        <v>0</v>
      </c>
      <c r="U164" s="11"/>
      <c r="V164" s="12"/>
    </row>
    <row r="165" spans="1:22" x14ac:dyDescent="0.2">
      <c r="A165" s="29">
        <v>164</v>
      </c>
      <c r="B165" s="13">
        <v>44693.485854282408</v>
      </c>
      <c r="C165" s="14" t="s">
        <v>17</v>
      </c>
      <c r="D165" s="15">
        <v>78906.623779740767</v>
      </c>
      <c r="E165" s="16">
        <v>13000.576319195477</v>
      </c>
      <c r="F165" s="17">
        <v>-345969.45607042889</v>
      </c>
      <c r="G165" s="25">
        <v>32876.488350740532</v>
      </c>
      <c r="H165" s="26">
        <v>12372</v>
      </c>
      <c r="I165" s="24">
        <v>-351732.9374828916</v>
      </c>
      <c r="J165">
        <f t="shared" si="4"/>
        <v>46394</v>
      </c>
      <c r="K165" s="18">
        <v>0</v>
      </c>
      <c r="L165">
        <f t="shared" si="5"/>
        <v>0</v>
      </c>
      <c r="M165" s="19">
        <v>0</v>
      </c>
      <c r="N165" s="20" t="b">
        <v>0</v>
      </c>
      <c r="O165" s="21">
        <v>-84</v>
      </c>
      <c r="P165" s="26" t="b">
        <f>ABS(Table1[[#This Row],[Estimate error]])-Table1[[#This Row],[Standard Deviation]]&lt;0</f>
        <v>0</v>
      </c>
      <c r="U165" s="11"/>
      <c r="V165" s="12"/>
    </row>
    <row r="166" spans="1:22" x14ac:dyDescent="0.2">
      <c r="A166" s="29">
        <v>165</v>
      </c>
      <c r="B166" s="13">
        <v>44693.485854282408</v>
      </c>
      <c r="C166" s="14" t="s">
        <v>30</v>
      </c>
      <c r="D166" s="15">
        <v>78906.623779740767</v>
      </c>
      <c r="E166" s="16">
        <v>13000.576319195477</v>
      </c>
      <c r="F166" s="17">
        <v>-345969.45607042889</v>
      </c>
      <c r="G166" s="25">
        <v>69764.397321579861</v>
      </c>
      <c r="H166" s="26">
        <v>12050</v>
      </c>
      <c r="I166" s="24">
        <v>-335657.72548585641</v>
      </c>
      <c r="J166">
        <f t="shared" si="4"/>
        <v>13814</v>
      </c>
      <c r="K166" s="18">
        <v>19937</v>
      </c>
      <c r="L166">
        <f t="shared" si="5"/>
        <v>6123</v>
      </c>
      <c r="M166" s="19">
        <v>615</v>
      </c>
      <c r="N166" s="20" t="b">
        <v>1</v>
      </c>
      <c r="O166" s="21">
        <v>-79</v>
      </c>
      <c r="P166" s="26" t="b">
        <f>ABS(Table1[[#This Row],[Estimate error]])-Table1[[#This Row],[Standard Deviation]]&lt;0</f>
        <v>0</v>
      </c>
      <c r="U166" s="11"/>
      <c r="V166" s="12"/>
    </row>
    <row r="167" spans="1:22" x14ac:dyDescent="0.2">
      <c r="A167" s="29">
        <v>166</v>
      </c>
      <c r="B167" s="13">
        <v>44693.485854282408</v>
      </c>
      <c r="C167" s="14" t="s">
        <v>28</v>
      </c>
      <c r="D167" s="15">
        <v>78906.623779740767</v>
      </c>
      <c r="E167" s="16">
        <v>13000.576319195477</v>
      </c>
      <c r="F167" s="17">
        <v>-345969.45607042889</v>
      </c>
      <c r="G167" s="25">
        <v>47511.84397421257</v>
      </c>
      <c r="H167" s="26">
        <v>12577</v>
      </c>
      <c r="I167" s="24">
        <v>-366209.6994908413</v>
      </c>
      <c r="J167">
        <f t="shared" si="4"/>
        <v>37356</v>
      </c>
      <c r="K167" s="18">
        <v>42562</v>
      </c>
      <c r="L167">
        <f t="shared" si="5"/>
        <v>5206</v>
      </c>
      <c r="M167" s="19">
        <v>1560</v>
      </c>
      <c r="N167" s="20" t="b">
        <v>1</v>
      </c>
      <c r="O167" s="21">
        <v>-81</v>
      </c>
      <c r="P167" s="26" t="b">
        <f>ABS(Table1[[#This Row],[Estimate error]])-Table1[[#This Row],[Standard Deviation]]&lt;0</f>
        <v>0</v>
      </c>
      <c r="U167" s="11"/>
      <c r="V167" s="12"/>
    </row>
    <row r="168" spans="1:22" x14ac:dyDescent="0.2">
      <c r="A168" s="29">
        <v>167</v>
      </c>
      <c r="B168" s="13">
        <v>44693.485854282408</v>
      </c>
      <c r="C168" s="14" t="s">
        <v>29</v>
      </c>
      <c r="D168" s="15">
        <v>78906.623779740767</v>
      </c>
      <c r="E168" s="16">
        <v>13000.576319195477</v>
      </c>
      <c r="F168" s="17">
        <v>-345969.45607042889</v>
      </c>
      <c r="G168" s="25">
        <v>66962.713641439259</v>
      </c>
      <c r="H168" s="26">
        <v>11187</v>
      </c>
      <c r="I168" s="24">
        <v>-324977.11831615516</v>
      </c>
      <c r="J168">
        <f t="shared" si="4"/>
        <v>24220</v>
      </c>
      <c r="K168" s="18">
        <v>30125</v>
      </c>
      <c r="L168">
        <f t="shared" si="5"/>
        <v>5905</v>
      </c>
      <c r="M168" s="19">
        <v>660</v>
      </c>
      <c r="N168" s="20" t="b">
        <v>1</v>
      </c>
      <c r="O168" s="21">
        <v>-80</v>
      </c>
      <c r="P168" s="26" t="b">
        <f>ABS(Table1[[#This Row],[Estimate error]])-Table1[[#This Row],[Standard Deviation]]&lt;0</f>
        <v>0</v>
      </c>
      <c r="U168" s="11"/>
      <c r="V168" s="12"/>
    </row>
    <row r="169" spans="1:22" x14ac:dyDescent="0.2">
      <c r="A169" s="29">
        <v>168</v>
      </c>
      <c r="B169" s="13">
        <v>44693.485854282408</v>
      </c>
      <c r="C169" s="14" t="s">
        <v>31</v>
      </c>
      <c r="D169" s="15">
        <v>78906.623779740767</v>
      </c>
      <c r="E169" s="16">
        <v>13000.576319195477</v>
      </c>
      <c r="F169" s="17">
        <v>-345969.45607042889</v>
      </c>
      <c r="G169" s="25">
        <v>74177.481073078248</v>
      </c>
      <c r="H169" s="26">
        <v>11187</v>
      </c>
      <c r="I169" s="24">
        <v>-356447.89152410487</v>
      </c>
      <c r="J169">
        <f t="shared" si="4"/>
        <v>11638</v>
      </c>
      <c r="K169" s="18">
        <v>15750</v>
      </c>
      <c r="L169">
        <f t="shared" si="5"/>
        <v>4112</v>
      </c>
      <c r="M169" s="19">
        <v>570</v>
      </c>
      <c r="N169" s="20" t="b">
        <v>1</v>
      </c>
      <c r="O169" s="21">
        <v>-69</v>
      </c>
      <c r="P169" s="26" t="b">
        <f>ABS(Table1[[#This Row],[Estimate error]])-Table1[[#This Row],[Standard Deviation]]&lt;0</f>
        <v>0</v>
      </c>
      <c r="U169" s="11"/>
      <c r="V169" s="12"/>
    </row>
    <row r="170" spans="1:22" x14ac:dyDescent="0.2">
      <c r="A170" s="29">
        <v>169</v>
      </c>
      <c r="B170" s="13">
        <v>44693.485854282408</v>
      </c>
      <c r="C170" s="14" t="s">
        <v>17</v>
      </c>
      <c r="D170" s="15">
        <v>78906.623779740767</v>
      </c>
      <c r="E170" s="16">
        <v>13000.576319195477</v>
      </c>
      <c r="F170" s="17">
        <v>-345969.45607042889</v>
      </c>
      <c r="G170" s="25">
        <v>32876.488350740532</v>
      </c>
      <c r="H170" s="26">
        <v>12372</v>
      </c>
      <c r="I170" s="24">
        <v>-351732.9374828916</v>
      </c>
      <c r="J170">
        <f t="shared" si="4"/>
        <v>46394</v>
      </c>
      <c r="K170" s="18">
        <v>0</v>
      </c>
      <c r="L170">
        <f t="shared" si="5"/>
        <v>0</v>
      </c>
      <c r="M170" s="19">
        <v>0</v>
      </c>
      <c r="N170" s="20" t="b">
        <v>0</v>
      </c>
      <c r="O170" s="21">
        <v>-84</v>
      </c>
      <c r="P170" s="26" t="b">
        <f>ABS(Table1[[#This Row],[Estimate error]])-Table1[[#This Row],[Standard Deviation]]&lt;0</f>
        <v>0</v>
      </c>
      <c r="U170" s="11"/>
      <c r="V170" s="12"/>
    </row>
    <row r="171" spans="1:22" x14ac:dyDescent="0.2">
      <c r="A171" s="29">
        <v>170</v>
      </c>
      <c r="B171" s="13">
        <v>44693.485854282408</v>
      </c>
      <c r="C171" s="14" t="s">
        <v>30</v>
      </c>
      <c r="D171" s="15">
        <v>78906.623779740767</v>
      </c>
      <c r="E171" s="16">
        <v>13000.576319195477</v>
      </c>
      <c r="F171" s="17">
        <v>-345969.45607042889</v>
      </c>
      <c r="G171" s="25">
        <v>69764.397321579861</v>
      </c>
      <c r="H171" s="26">
        <v>12050</v>
      </c>
      <c r="I171" s="24">
        <v>-335657.72548585641</v>
      </c>
      <c r="J171">
        <f t="shared" si="4"/>
        <v>13814</v>
      </c>
      <c r="K171" s="18">
        <v>20062</v>
      </c>
      <c r="L171">
        <f t="shared" si="5"/>
        <v>6248</v>
      </c>
      <c r="M171" s="19">
        <v>795</v>
      </c>
      <c r="N171" s="20" t="b">
        <v>1</v>
      </c>
      <c r="O171" s="21">
        <v>-79</v>
      </c>
      <c r="P171" s="26" t="b">
        <f>ABS(Table1[[#This Row],[Estimate error]])-Table1[[#This Row],[Standard Deviation]]&lt;0</f>
        <v>0</v>
      </c>
      <c r="U171" s="11"/>
      <c r="V171" s="12"/>
    </row>
    <row r="172" spans="1:22" x14ac:dyDescent="0.2">
      <c r="A172" s="29">
        <v>171</v>
      </c>
      <c r="B172" s="13">
        <v>44693.485854282408</v>
      </c>
      <c r="C172" s="14" t="s">
        <v>28</v>
      </c>
      <c r="D172" s="15">
        <v>78906.623779740767</v>
      </c>
      <c r="E172" s="16">
        <v>13000.576319195477</v>
      </c>
      <c r="F172" s="17">
        <v>-345969.45607042889</v>
      </c>
      <c r="G172" s="25">
        <v>47511.84397421257</v>
      </c>
      <c r="H172" s="26">
        <v>12577</v>
      </c>
      <c r="I172" s="24">
        <v>-366209.6994908413</v>
      </c>
      <c r="J172">
        <f t="shared" si="4"/>
        <v>37356</v>
      </c>
      <c r="K172" s="18">
        <v>40750</v>
      </c>
      <c r="L172">
        <f t="shared" si="5"/>
        <v>3394</v>
      </c>
      <c r="M172" s="19">
        <v>645</v>
      </c>
      <c r="N172" s="20" t="b">
        <v>1</v>
      </c>
      <c r="O172" s="21">
        <v>-81</v>
      </c>
      <c r="P172" s="26" t="b">
        <f>ABS(Table1[[#This Row],[Estimate error]])-Table1[[#This Row],[Standard Deviation]]&lt;0</f>
        <v>0</v>
      </c>
      <c r="U172" s="11"/>
      <c r="V172" s="12"/>
    </row>
    <row r="173" spans="1:22" x14ac:dyDescent="0.2">
      <c r="A173" s="29">
        <v>172</v>
      </c>
      <c r="B173" s="13">
        <v>44693.485854282408</v>
      </c>
      <c r="C173" s="14" t="s">
        <v>29</v>
      </c>
      <c r="D173" s="15">
        <v>78906.623779740767</v>
      </c>
      <c r="E173" s="16">
        <v>13000.576319195477</v>
      </c>
      <c r="F173" s="17">
        <v>-345969.45607042889</v>
      </c>
      <c r="G173" s="25">
        <v>66962.713641439259</v>
      </c>
      <c r="H173" s="26">
        <v>11187</v>
      </c>
      <c r="I173" s="24">
        <v>-324977.11831615516</v>
      </c>
      <c r="J173">
        <f t="shared" si="4"/>
        <v>24220</v>
      </c>
      <c r="K173" s="18">
        <v>30125</v>
      </c>
      <c r="L173">
        <f t="shared" si="5"/>
        <v>5905</v>
      </c>
      <c r="M173" s="19">
        <v>645</v>
      </c>
      <c r="N173" s="20" t="b">
        <v>1</v>
      </c>
      <c r="O173" s="21">
        <v>-80</v>
      </c>
      <c r="P173" s="26" t="b">
        <f>ABS(Table1[[#This Row],[Estimate error]])-Table1[[#This Row],[Standard Deviation]]&lt;0</f>
        <v>0</v>
      </c>
      <c r="U173" s="11"/>
      <c r="V173" s="12"/>
    </row>
    <row r="174" spans="1:22" x14ac:dyDescent="0.2">
      <c r="A174" s="29">
        <v>173</v>
      </c>
      <c r="B174" s="13">
        <v>44693.485854282408</v>
      </c>
      <c r="C174" s="14" t="s">
        <v>31</v>
      </c>
      <c r="D174" s="15">
        <v>78906.623779740767</v>
      </c>
      <c r="E174" s="16">
        <v>13000.576319195477</v>
      </c>
      <c r="F174" s="17">
        <v>-345969.45607042889</v>
      </c>
      <c r="G174" s="25">
        <v>74177.481073078248</v>
      </c>
      <c r="H174" s="26">
        <v>11187</v>
      </c>
      <c r="I174" s="24">
        <v>-356447.89152410487</v>
      </c>
      <c r="J174">
        <f t="shared" si="4"/>
        <v>11638</v>
      </c>
      <c r="K174" s="18">
        <v>15562</v>
      </c>
      <c r="L174">
        <f t="shared" si="5"/>
        <v>3924</v>
      </c>
      <c r="M174" s="19">
        <v>600</v>
      </c>
      <c r="N174" s="20" t="b">
        <v>1</v>
      </c>
      <c r="O174" s="21">
        <v>-69</v>
      </c>
      <c r="P174" s="26" t="b">
        <f>ABS(Table1[[#This Row],[Estimate error]])-Table1[[#This Row],[Standard Deviation]]&lt;0</f>
        <v>0</v>
      </c>
      <c r="U174" s="11"/>
      <c r="V174" s="12"/>
    </row>
    <row r="175" spans="1:22" x14ac:dyDescent="0.2">
      <c r="A175" s="29">
        <v>174</v>
      </c>
      <c r="B175" s="13">
        <v>44693.485854282408</v>
      </c>
      <c r="C175" s="14" t="s">
        <v>17</v>
      </c>
      <c r="D175" s="15">
        <v>78906.623779740767</v>
      </c>
      <c r="E175" s="16">
        <v>13000.576319195477</v>
      </c>
      <c r="F175" s="17">
        <v>-345969.45607042889</v>
      </c>
      <c r="G175" s="25">
        <v>32876.488350740532</v>
      </c>
      <c r="H175" s="26">
        <v>12372</v>
      </c>
      <c r="I175" s="24">
        <v>-351732.9374828916</v>
      </c>
      <c r="J175">
        <f t="shared" si="4"/>
        <v>46394</v>
      </c>
      <c r="K175" s="18">
        <v>0</v>
      </c>
      <c r="L175">
        <f t="shared" si="5"/>
        <v>0</v>
      </c>
      <c r="M175" s="19">
        <v>0</v>
      </c>
      <c r="N175" s="20" t="b">
        <v>0</v>
      </c>
      <c r="O175" s="21">
        <v>-84</v>
      </c>
      <c r="P175" s="26" t="b">
        <f>ABS(Table1[[#This Row],[Estimate error]])-Table1[[#This Row],[Standard Deviation]]&lt;0</f>
        <v>0</v>
      </c>
      <c r="U175" s="11"/>
      <c r="V175" s="12"/>
    </row>
    <row r="176" spans="1:22" x14ac:dyDescent="0.2">
      <c r="A176" s="29">
        <v>175</v>
      </c>
      <c r="B176" s="13">
        <v>44693.485854282408</v>
      </c>
      <c r="C176" s="14" t="s">
        <v>30</v>
      </c>
      <c r="D176" s="15">
        <v>78906.623779740767</v>
      </c>
      <c r="E176" s="16">
        <v>13000.576319195477</v>
      </c>
      <c r="F176" s="17">
        <v>-345969.45607042889</v>
      </c>
      <c r="G176" s="25">
        <v>69764.397321579861</v>
      </c>
      <c r="H176" s="26">
        <v>12050</v>
      </c>
      <c r="I176" s="24">
        <v>-335657.72548585641</v>
      </c>
      <c r="J176">
        <f t="shared" si="4"/>
        <v>13814</v>
      </c>
      <c r="K176" s="18">
        <v>19750</v>
      </c>
      <c r="L176">
        <f t="shared" si="5"/>
        <v>5936</v>
      </c>
      <c r="M176" s="19">
        <v>660</v>
      </c>
      <c r="N176" s="20" t="b">
        <v>1</v>
      </c>
      <c r="O176" s="21">
        <v>-79</v>
      </c>
      <c r="P176" s="26" t="b">
        <f>ABS(Table1[[#This Row],[Estimate error]])-Table1[[#This Row],[Standard Deviation]]&lt;0</f>
        <v>0</v>
      </c>
      <c r="U176" s="11"/>
      <c r="V176" s="12"/>
    </row>
    <row r="177" spans="1:22" x14ac:dyDescent="0.2">
      <c r="A177" s="29">
        <v>176</v>
      </c>
      <c r="B177" s="13">
        <v>44693.485854282408</v>
      </c>
      <c r="C177" s="14" t="s">
        <v>28</v>
      </c>
      <c r="D177" s="15">
        <v>78906.623779740767</v>
      </c>
      <c r="E177" s="16">
        <v>13000.576319195477</v>
      </c>
      <c r="F177" s="17">
        <v>-345969.45607042889</v>
      </c>
      <c r="G177" s="25">
        <v>47511.84397421257</v>
      </c>
      <c r="H177" s="26">
        <v>12577</v>
      </c>
      <c r="I177" s="24">
        <v>-366209.6994908413</v>
      </c>
      <c r="J177">
        <f t="shared" si="4"/>
        <v>37356</v>
      </c>
      <c r="K177" s="18">
        <v>39875</v>
      </c>
      <c r="L177">
        <f t="shared" si="5"/>
        <v>2519</v>
      </c>
      <c r="M177" s="19">
        <v>585</v>
      </c>
      <c r="N177" s="20" t="b">
        <v>1</v>
      </c>
      <c r="O177" s="21">
        <v>-81</v>
      </c>
      <c r="P177" s="26" t="b">
        <f>ABS(Table1[[#This Row],[Estimate error]])-Table1[[#This Row],[Standard Deviation]]&lt;0</f>
        <v>0</v>
      </c>
      <c r="U177" s="11"/>
      <c r="V177" s="12"/>
    </row>
    <row r="178" spans="1:22" x14ac:dyDescent="0.2">
      <c r="A178" s="29">
        <v>177</v>
      </c>
      <c r="B178" s="13">
        <v>44693.485854282408</v>
      </c>
      <c r="C178" s="14" t="s">
        <v>29</v>
      </c>
      <c r="D178" s="15">
        <v>78906.623779740767</v>
      </c>
      <c r="E178" s="16">
        <v>13000.576319195477</v>
      </c>
      <c r="F178" s="17">
        <v>-345969.45607042889</v>
      </c>
      <c r="G178" s="25">
        <v>66962.713641439259</v>
      </c>
      <c r="H178" s="26">
        <v>11187</v>
      </c>
      <c r="I178" s="24">
        <v>-324977.11831615516</v>
      </c>
      <c r="J178">
        <f t="shared" si="4"/>
        <v>24220</v>
      </c>
      <c r="K178" s="18">
        <v>30125</v>
      </c>
      <c r="L178">
        <f t="shared" si="5"/>
        <v>5905</v>
      </c>
      <c r="M178" s="19">
        <v>630</v>
      </c>
      <c r="N178" s="20" t="b">
        <v>1</v>
      </c>
      <c r="O178" s="21">
        <v>-80</v>
      </c>
      <c r="P178" s="26" t="b">
        <f>ABS(Table1[[#This Row],[Estimate error]])-Table1[[#This Row],[Standard Deviation]]&lt;0</f>
        <v>0</v>
      </c>
      <c r="U178" s="11"/>
      <c r="V178" s="12"/>
    </row>
    <row r="179" spans="1:22" x14ac:dyDescent="0.2">
      <c r="A179" s="29">
        <v>178</v>
      </c>
      <c r="B179" s="13">
        <v>44693.485854282408</v>
      </c>
      <c r="C179" s="14" t="s">
        <v>31</v>
      </c>
      <c r="D179" s="15">
        <v>78906.623779740767</v>
      </c>
      <c r="E179" s="16">
        <v>13000.576319195477</v>
      </c>
      <c r="F179" s="17">
        <v>-345969.45607042889</v>
      </c>
      <c r="G179" s="25">
        <v>74177.481073078248</v>
      </c>
      <c r="H179" s="26">
        <v>11187</v>
      </c>
      <c r="I179" s="24">
        <v>-356447.89152410487</v>
      </c>
      <c r="J179">
        <f t="shared" si="4"/>
        <v>11638</v>
      </c>
      <c r="K179" s="18">
        <v>14812</v>
      </c>
      <c r="L179">
        <f t="shared" si="5"/>
        <v>3174</v>
      </c>
      <c r="M179" s="19">
        <v>690</v>
      </c>
      <c r="N179" s="20" t="b">
        <v>1</v>
      </c>
      <c r="O179" s="21">
        <v>-69</v>
      </c>
      <c r="P179" s="26" t="b">
        <f>ABS(Table1[[#This Row],[Estimate error]])-Table1[[#This Row],[Standard Deviation]]&lt;0</f>
        <v>0</v>
      </c>
      <c r="U179" s="11"/>
      <c r="V179" s="12"/>
    </row>
    <row r="180" spans="1:22" x14ac:dyDescent="0.2">
      <c r="A180" s="29">
        <v>179</v>
      </c>
      <c r="B180" s="13">
        <v>44693.485854282408</v>
      </c>
      <c r="C180" s="14" t="s">
        <v>17</v>
      </c>
      <c r="D180" s="15">
        <v>78906.623779740767</v>
      </c>
      <c r="E180" s="16">
        <v>13000.576319195477</v>
      </c>
      <c r="F180" s="17">
        <v>-345969.45607042889</v>
      </c>
      <c r="G180" s="25">
        <v>32876.488350740532</v>
      </c>
      <c r="H180" s="26">
        <v>12372</v>
      </c>
      <c r="I180" s="24">
        <v>-351732.9374828916</v>
      </c>
      <c r="J180">
        <f t="shared" si="4"/>
        <v>46394</v>
      </c>
      <c r="K180" s="18">
        <v>0</v>
      </c>
      <c r="L180">
        <f t="shared" si="5"/>
        <v>0</v>
      </c>
      <c r="M180" s="19">
        <v>0</v>
      </c>
      <c r="N180" s="20" t="b">
        <v>0</v>
      </c>
      <c r="O180" s="21">
        <v>-84</v>
      </c>
      <c r="P180" s="26" t="b">
        <f>ABS(Table1[[#This Row],[Estimate error]])-Table1[[#This Row],[Standard Deviation]]&lt;0</f>
        <v>0</v>
      </c>
      <c r="U180" s="11"/>
      <c r="V180" s="12"/>
    </row>
    <row r="181" spans="1:22" x14ac:dyDescent="0.2">
      <c r="A181" s="29">
        <v>180</v>
      </c>
      <c r="B181" s="13">
        <v>44693.485854282408</v>
      </c>
      <c r="C181" s="14" t="s">
        <v>30</v>
      </c>
      <c r="D181" s="15">
        <v>78906.623779740767</v>
      </c>
      <c r="E181" s="16">
        <v>13000.576319195477</v>
      </c>
      <c r="F181" s="17">
        <v>-345969.45607042889</v>
      </c>
      <c r="G181" s="25">
        <v>69764.397321579861</v>
      </c>
      <c r="H181" s="26">
        <v>12050</v>
      </c>
      <c r="I181" s="24">
        <v>-335657.72548585641</v>
      </c>
      <c r="J181">
        <f t="shared" si="4"/>
        <v>13814</v>
      </c>
      <c r="K181" s="18">
        <v>20375</v>
      </c>
      <c r="L181">
        <f t="shared" si="5"/>
        <v>6561</v>
      </c>
      <c r="M181" s="19">
        <v>900</v>
      </c>
      <c r="N181" s="20" t="b">
        <v>1</v>
      </c>
      <c r="O181" s="21">
        <v>-79</v>
      </c>
      <c r="P181" s="26" t="b">
        <f>ABS(Table1[[#This Row],[Estimate error]])-Table1[[#This Row],[Standard Deviation]]&lt;0</f>
        <v>0</v>
      </c>
      <c r="U181" s="11"/>
      <c r="V181" s="12"/>
    </row>
    <row r="182" spans="1:22" x14ac:dyDescent="0.2">
      <c r="A182" s="29">
        <v>181</v>
      </c>
      <c r="B182" s="13">
        <v>44693.485854282408</v>
      </c>
      <c r="C182" s="14" t="s">
        <v>28</v>
      </c>
      <c r="D182" s="15">
        <v>78906.623779740767</v>
      </c>
      <c r="E182" s="16">
        <v>13000.576319195477</v>
      </c>
      <c r="F182" s="17">
        <v>-345969.45607042889</v>
      </c>
      <c r="G182" s="25">
        <v>47511.84397421257</v>
      </c>
      <c r="H182" s="26">
        <v>12577</v>
      </c>
      <c r="I182" s="24">
        <v>-366209.6994908413</v>
      </c>
      <c r="J182">
        <f t="shared" si="4"/>
        <v>37356</v>
      </c>
      <c r="K182" s="18">
        <v>39562</v>
      </c>
      <c r="L182">
        <f t="shared" si="5"/>
        <v>2206</v>
      </c>
      <c r="M182" s="19">
        <v>720</v>
      </c>
      <c r="N182" s="20" t="b">
        <v>1</v>
      </c>
      <c r="O182" s="21">
        <v>-81</v>
      </c>
      <c r="P182" s="26" t="b">
        <f>ABS(Table1[[#This Row],[Estimate error]])-Table1[[#This Row],[Standard Deviation]]&lt;0</f>
        <v>0</v>
      </c>
      <c r="U182" s="11"/>
      <c r="V182" s="12"/>
    </row>
    <row r="183" spans="1:22" x14ac:dyDescent="0.2">
      <c r="A183" s="29">
        <v>182</v>
      </c>
      <c r="B183" s="13">
        <v>44693.485854282408</v>
      </c>
      <c r="C183" s="14" t="s">
        <v>29</v>
      </c>
      <c r="D183" s="15">
        <v>78906.623779740767</v>
      </c>
      <c r="E183" s="16">
        <v>13000.576319195477</v>
      </c>
      <c r="F183" s="17">
        <v>-345969.45607042889</v>
      </c>
      <c r="G183" s="25">
        <v>66962.713641439259</v>
      </c>
      <c r="H183" s="26">
        <v>11187</v>
      </c>
      <c r="I183" s="24">
        <v>-324977.11831615516</v>
      </c>
      <c r="J183">
        <f t="shared" si="4"/>
        <v>24220</v>
      </c>
      <c r="K183" s="18">
        <v>31000</v>
      </c>
      <c r="L183">
        <f t="shared" si="5"/>
        <v>6780</v>
      </c>
      <c r="M183" s="19">
        <v>585</v>
      </c>
      <c r="N183" s="20" t="b">
        <v>1</v>
      </c>
      <c r="O183" s="21">
        <v>-80</v>
      </c>
      <c r="P183" s="26" t="b">
        <f>ABS(Table1[[#This Row],[Estimate error]])-Table1[[#This Row],[Standard Deviation]]&lt;0</f>
        <v>0</v>
      </c>
      <c r="U183" s="11"/>
      <c r="V183" s="12"/>
    </row>
    <row r="184" spans="1:22" x14ac:dyDescent="0.2">
      <c r="A184" s="29">
        <v>183</v>
      </c>
      <c r="B184" s="13">
        <v>44693.485854282408</v>
      </c>
      <c r="C184" s="14" t="s">
        <v>31</v>
      </c>
      <c r="D184" s="15">
        <v>78906.623779740767</v>
      </c>
      <c r="E184" s="16">
        <v>13000.576319195477</v>
      </c>
      <c r="F184" s="17">
        <v>-345969.45607042889</v>
      </c>
      <c r="G184" s="25">
        <v>74177.481073078248</v>
      </c>
      <c r="H184" s="26">
        <v>11187</v>
      </c>
      <c r="I184" s="24">
        <v>-356447.89152410487</v>
      </c>
      <c r="J184">
        <f t="shared" si="4"/>
        <v>11638</v>
      </c>
      <c r="K184" s="18">
        <v>14687</v>
      </c>
      <c r="L184">
        <f t="shared" si="5"/>
        <v>3049</v>
      </c>
      <c r="M184" s="19">
        <v>690</v>
      </c>
      <c r="N184" s="20" t="b">
        <v>1</v>
      </c>
      <c r="O184" s="21">
        <v>-69</v>
      </c>
      <c r="P184" s="26" t="b">
        <f>ABS(Table1[[#This Row],[Estimate error]])-Table1[[#This Row],[Standard Deviation]]&lt;0</f>
        <v>0</v>
      </c>
      <c r="U184" s="11"/>
      <c r="V184" s="12"/>
    </row>
    <row r="185" spans="1:22" x14ac:dyDescent="0.2">
      <c r="A185" s="29">
        <v>184</v>
      </c>
      <c r="B185" s="13">
        <v>44693.485854282408</v>
      </c>
      <c r="C185" s="14" t="s">
        <v>17</v>
      </c>
      <c r="D185" s="15">
        <v>78906.623779740767</v>
      </c>
      <c r="E185" s="16">
        <v>13000.576319195477</v>
      </c>
      <c r="F185" s="17">
        <v>-345969.45607042889</v>
      </c>
      <c r="G185" s="25">
        <v>32876.488350740532</v>
      </c>
      <c r="H185" s="26">
        <v>12372</v>
      </c>
      <c r="I185" s="24">
        <v>-351732.9374828916</v>
      </c>
      <c r="J185">
        <f t="shared" si="4"/>
        <v>46394</v>
      </c>
      <c r="K185" s="18">
        <v>0</v>
      </c>
      <c r="L185">
        <f t="shared" si="5"/>
        <v>0</v>
      </c>
      <c r="M185" s="19">
        <v>0</v>
      </c>
      <c r="N185" s="20" t="b">
        <v>0</v>
      </c>
      <c r="O185" s="21">
        <v>-84</v>
      </c>
      <c r="P185" s="26" t="b">
        <f>ABS(Table1[[#This Row],[Estimate error]])-Table1[[#This Row],[Standard Deviation]]&lt;0</f>
        <v>0</v>
      </c>
      <c r="U185" s="11"/>
      <c r="V185" s="12"/>
    </row>
    <row r="186" spans="1:22" x14ac:dyDescent="0.2">
      <c r="A186" s="29">
        <v>185</v>
      </c>
      <c r="B186" s="13">
        <v>44693.485854282408</v>
      </c>
      <c r="C186" s="14" t="s">
        <v>30</v>
      </c>
      <c r="D186" s="15">
        <v>78906.623779740767</v>
      </c>
      <c r="E186" s="16">
        <v>13000.576319195477</v>
      </c>
      <c r="F186" s="17">
        <v>-345969.45607042889</v>
      </c>
      <c r="G186" s="25">
        <v>69764.397321579861</v>
      </c>
      <c r="H186" s="26">
        <v>12050</v>
      </c>
      <c r="I186" s="24">
        <v>-335657.72548585641</v>
      </c>
      <c r="J186">
        <f t="shared" si="4"/>
        <v>13814</v>
      </c>
      <c r="K186" s="18">
        <v>19500</v>
      </c>
      <c r="L186">
        <f t="shared" si="5"/>
        <v>5686</v>
      </c>
      <c r="M186" s="19">
        <v>840</v>
      </c>
      <c r="N186" s="20" t="b">
        <v>1</v>
      </c>
      <c r="O186" s="21">
        <v>-79</v>
      </c>
      <c r="P186" s="26" t="b">
        <f>ABS(Table1[[#This Row],[Estimate error]])-Table1[[#This Row],[Standard Deviation]]&lt;0</f>
        <v>0</v>
      </c>
      <c r="U186" s="11"/>
      <c r="V186" s="12"/>
    </row>
    <row r="187" spans="1:22" x14ac:dyDescent="0.2">
      <c r="A187" s="29">
        <v>186</v>
      </c>
      <c r="B187" s="13">
        <v>44693.48636412037</v>
      </c>
      <c r="C187" s="14" t="s">
        <v>28</v>
      </c>
      <c r="D187" s="15">
        <v>80564.751738280422</v>
      </c>
      <c r="E187" s="16">
        <v>13026.794757640593</v>
      </c>
      <c r="F187" s="17">
        <v>-352741.40211100498</v>
      </c>
      <c r="G187" s="25">
        <v>47511.84397421257</v>
      </c>
      <c r="H187" s="26">
        <v>12577</v>
      </c>
      <c r="I187" s="24">
        <v>-366209.6994908413</v>
      </c>
      <c r="J187">
        <f t="shared" si="4"/>
        <v>35694</v>
      </c>
      <c r="K187" s="18">
        <v>35250</v>
      </c>
      <c r="L187">
        <f t="shared" si="5"/>
        <v>-444</v>
      </c>
      <c r="M187" s="19">
        <v>825</v>
      </c>
      <c r="N187" s="20" t="b">
        <v>1</v>
      </c>
      <c r="O187" s="21">
        <v>-73</v>
      </c>
      <c r="P187" s="26" t="b">
        <f>ABS(Table1[[#This Row],[Estimate error]])-Table1[[#This Row],[Standard Deviation]]&lt;0</f>
        <v>1</v>
      </c>
      <c r="U187" s="11"/>
      <c r="V187" s="12"/>
    </row>
    <row r="188" spans="1:22" x14ac:dyDescent="0.2">
      <c r="A188" s="29">
        <v>187</v>
      </c>
      <c r="B188" s="13">
        <v>44693.48636412037</v>
      </c>
      <c r="C188" s="14" t="s">
        <v>29</v>
      </c>
      <c r="D188" s="15">
        <v>80564.751738280422</v>
      </c>
      <c r="E188" s="16">
        <v>13026.794757640593</v>
      </c>
      <c r="F188" s="17">
        <v>-352741.40211100498</v>
      </c>
      <c r="G188" s="25">
        <v>66962.713641439259</v>
      </c>
      <c r="H188" s="26">
        <v>11187</v>
      </c>
      <c r="I188" s="24">
        <v>-324977.11831615516</v>
      </c>
      <c r="J188">
        <f t="shared" si="4"/>
        <v>30972</v>
      </c>
      <c r="K188" s="18">
        <v>37187</v>
      </c>
      <c r="L188">
        <f t="shared" si="5"/>
        <v>6215</v>
      </c>
      <c r="M188" s="19">
        <v>0</v>
      </c>
      <c r="N188" s="20" t="b">
        <v>1</v>
      </c>
      <c r="O188" s="21">
        <v>-87</v>
      </c>
      <c r="P188" s="26" t="b">
        <f>ABS(Table1[[#This Row],[Estimate error]])-Table1[[#This Row],[Standard Deviation]]&lt;0</f>
        <v>0</v>
      </c>
      <c r="U188" s="11"/>
      <c r="V188" s="12"/>
    </row>
    <row r="189" spans="1:22" x14ac:dyDescent="0.2">
      <c r="A189" s="29">
        <v>188</v>
      </c>
      <c r="B189" s="13">
        <v>44693.48636412037</v>
      </c>
      <c r="C189" s="14" t="s">
        <v>31</v>
      </c>
      <c r="D189" s="15">
        <v>80564.751738280422</v>
      </c>
      <c r="E189" s="16">
        <v>13026.794757640593</v>
      </c>
      <c r="F189" s="17">
        <v>-352741.40211100498</v>
      </c>
      <c r="G189" s="25">
        <v>74177.481073078248</v>
      </c>
      <c r="H189" s="26">
        <v>11187</v>
      </c>
      <c r="I189" s="24">
        <v>-356447.89152410487</v>
      </c>
      <c r="J189">
        <f t="shared" si="4"/>
        <v>7611</v>
      </c>
      <c r="K189" s="18">
        <v>10937</v>
      </c>
      <c r="L189">
        <f t="shared" si="5"/>
        <v>3326</v>
      </c>
      <c r="M189" s="19">
        <v>735</v>
      </c>
      <c r="N189" s="20" t="b">
        <v>1</v>
      </c>
      <c r="O189" s="21">
        <v>-66</v>
      </c>
      <c r="P189" s="26" t="b">
        <f>ABS(Table1[[#This Row],[Estimate error]])-Table1[[#This Row],[Standard Deviation]]&lt;0</f>
        <v>0</v>
      </c>
      <c r="U189" s="11"/>
      <c r="V189" s="12"/>
    </row>
    <row r="190" spans="1:22" x14ac:dyDescent="0.2">
      <c r="A190" s="29">
        <v>189</v>
      </c>
      <c r="B190" s="13">
        <v>44693.48636412037</v>
      </c>
      <c r="C190" s="14" t="s">
        <v>30</v>
      </c>
      <c r="D190" s="15">
        <v>80564.751738280422</v>
      </c>
      <c r="E190" s="16">
        <v>13026.794757640593</v>
      </c>
      <c r="F190" s="17">
        <v>-352741.40211100498</v>
      </c>
      <c r="G190" s="25">
        <v>69764.397321579861</v>
      </c>
      <c r="H190" s="26">
        <v>12050</v>
      </c>
      <c r="I190" s="24">
        <v>-335657.72548585641</v>
      </c>
      <c r="J190">
        <f t="shared" si="4"/>
        <v>20235</v>
      </c>
      <c r="K190" s="18">
        <v>24875</v>
      </c>
      <c r="L190">
        <f t="shared" si="5"/>
        <v>4640</v>
      </c>
      <c r="M190" s="19">
        <v>1155</v>
      </c>
      <c r="N190" s="20" t="b">
        <v>1</v>
      </c>
      <c r="O190" s="21">
        <v>-79</v>
      </c>
      <c r="P190" s="26" t="b">
        <f>ABS(Table1[[#This Row],[Estimate error]])-Table1[[#This Row],[Standard Deviation]]&lt;0</f>
        <v>0</v>
      </c>
      <c r="U190" s="11"/>
      <c r="V190" s="12"/>
    </row>
    <row r="191" spans="1:22" x14ac:dyDescent="0.2">
      <c r="A191" s="29">
        <v>190</v>
      </c>
      <c r="B191" s="13">
        <v>44693.48636412037</v>
      </c>
      <c r="C191" s="14" t="s">
        <v>28</v>
      </c>
      <c r="D191" s="15">
        <v>80564.751738280422</v>
      </c>
      <c r="E191" s="16">
        <v>13026.794757640593</v>
      </c>
      <c r="F191" s="17">
        <v>-352741.40211100498</v>
      </c>
      <c r="G191" s="25">
        <v>47511.84397421257</v>
      </c>
      <c r="H191" s="26">
        <v>12577</v>
      </c>
      <c r="I191" s="24">
        <v>-366209.6994908413</v>
      </c>
      <c r="J191">
        <f t="shared" si="4"/>
        <v>35694</v>
      </c>
      <c r="K191" s="18">
        <v>35500</v>
      </c>
      <c r="L191">
        <f t="shared" si="5"/>
        <v>-194</v>
      </c>
      <c r="M191" s="19">
        <v>660</v>
      </c>
      <c r="N191" s="20" t="b">
        <v>1</v>
      </c>
      <c r="O191" s="21">
        <v>-73</v>
      </c>
      <c r="P191" s="26" t="b">
        <f>ABS(Table1[[#This Row],[Estimate error]])-Table1[[#This Row],[Standard Deviation]]&lt;0</f>
        <v>1</v>
      </c>
      <c r="U191" s="11"/>
      <c r="V191" s="12"/>
    </row>
    <row r="192" spans="1:22" x14ac:dyDescent="0.2">
      <c r="A192" s="29">
        <v>191</v>
      </c>
      <c r="B192" s="13">
        <v>44693.48636412037</v>
      </c>
      <c r="C192" s="14" t="s">
        <v>29</v>
      </c>
      <c r="D192" s="15">
        <v>80564.751738280422</v>
      </c>
      <c r="E192" s="16">
        <v>13026.794757640593</v>
      </c>
      <c r="F192" s="17">
        <v>-352741.40211100498</v>
      </c>
      <c r="G192" s="25">
        <v>66962.713641439259</v>
      </c>
      <c r="H192" s="26">
        <v>11187</v>
      </c>
      <c r="I192" s="24">
        <v>-324977.11831615516</v>
      </c>
      <c r="J192">
        <f t="shared" si="4"/>
        <v>30972</v>
      </c>
      <c r="K192" s="18">
        <v>36562</v>
      </c>
      <c r="L192">
        <f t="shared" si="5"/>
        <v>5590</v>
      </c>
      <c r="M192" s="19">
        <v>780</v>
      </c>
      <c r="N192" s="20" t="b">
        <v>1</v>
      </c>
      <c r="O192" s="21">
        <v>-87</v>
      </c>
      <c r="P192" s="26" t="b">
        <f>ABS(Table1[[#This Row],[Estimate error]])-Table1[[#This Row],[Standard Deviation]]&lt;0</f>
        <v>0</v>
      </c>
      <c r="U192" s="11"/>
      <c r="V192" s="12"/>
    </row>
    <row r="193" spans="1:22" x14ac:dyDescent="0.2">
      <c r="A193" s="29">
        <v>192</v>
      </c>
      <c r="B193" s="13">
        <v>44693.48636412037</v>
      </c>
      <c r="C193" s="14" t="s">
        <v>31</v>
      </c>
      <c r="D193" s="15">
        <v>80564.751738280422</v>
      </c>
      <c r="E193" s="16">
        <v>13026.794757640593</v>
      </c>
      <c r="F193" s="17">
        <v>-352741.40211100498</v>
      </c>
      <c r="G193" s="25">
        <v>74177.481073078248</v>
      </c>
      <c r="H193" s="26">
        <v>11187</v>
      </c>
      <c r="I193" s="24">
        <v>-356447.89152410487</v>
      </c>
      <c r="J193">
        <f t="shared" si="4"/>
        <v>7611</v>
      </c>
      <c r="K193" s="18">
        <v>10000</v>
      </c>
      <c r="L193">
        <f t="shared" si="5"/>
        <v>2389</v>
      </c>
      <c r="M193" s="19">
        <v>705</v>
      </c>
      <c r="N193" s="20" t="b">
        <v>1</v>
      </c>
      <c r="O193" s="21">
        <v>-66</v>
      </c>
      <c r="P193" s="26" t="b">
        <f>ABS(Table1[[#This Row],[Estimate error]])-Table1[[#This Row],[Standard Deviation]]&lt;0</f>
        <v>0</v>
      </c>
      <c r="U193" s="11"/>
      <c r="V193" s="12"/>
    </row>
    <row r="194" spans="1:22" x14ac:dyDescent="0.2">
      <c r="A194" s="29">
        <v>193</v>
      </c>
      <c r="B194" s="13">
        <v>44693.48636412037</v>
      </c>
      <c r="C194" s="14" t="s">
        <v>30</v>
      </c>
      <c r="D194" s="15">
        <v>80564.751738280422</v>
      </c>
      <c r="E194" s="16">
        <v>13026.794757640593</v>
      </c>
      <c r="F194" s="17">
        <v>-352741.40211100498</v>
      </c>
      <c r="G194" s="25">
        <v>69764.397321579861</v>
      </c>
      <c r="H194" s="26">
        <v>12050</v>
      </c>
      <c r="I194" s="24">
        <v>-335657.72548585641</v>
      </c>
      <c r="J194">
        <f t="shared" ref="J194:J257" si="6">ROUND(SQRT((G194-D194)^2+(H194-E194)^2+(I194-F194)^2),0)</f>
        <v>20235</v>
      </c>
      <c r="K194" s="18">
        <v>26500</v>
      </c>
      <c r="L194">
        <f t="shared" ref="L194:L257" si="7">ROUND(IF(N194,K194-J194,0),1)</f>
        <v>6265</v>
      </c>
      <c r="M194" s="19">
        <v>810</v>
      </c>
      <c r="N194" s="20" t="b">
        <v>1</v>
      </c>
      <c r="O194" s="21">
        <v>-79</v>
      </c>
      <c r="P194" s="26" t="b">
        <f>ABS(Table1[[#This Row],[Estimate error]])-Table1[[#This Row],[Standard Deviation]]&lt;0</f>
        <v>0</v>
      </c>
      <c r="U194" s="11"/>
      <c r="V194" s="12"/>
    </row>
    <row r="195" spans="1:22" x14ac:dyDescent="0.2">
      <c r="A195" s="29">
        <v>194</v>
      </c>
      <c r="B195" s="13">
        <v>44693.48636412037</v>
      </c>
      <c r="C195" s="14" t="s">
        <v>28</v>
      </c>
      <c r="D195" s="15">
        <v>80564.751738280422</v>
      </c>
      <c r="E195" s="16">
        <v>13026.794757640593</v>
      </c>
      <c r="F195" s="17">
        <v>-352741.40211100498</v>
      </c>
      <c r="G195" s="25">
        <v>47511.84397421257</v>
      </c>
      <c r="H195" s="26">
        <v>12577</v>
      </c>
      <c r="I195" s="24">
        <v>-366209.6994908413</v>
      </c>
      <c r="J195">
        <f t="shared" si="6"/>
        <v>35694</v>
      </c>
      <c r="K195" s="18">
        <v>36562</v>
      </c>
      <c r="L195">
        <f t="shared" si="7"/>
        <v>868</v>
      </c>
      <c r="M195" s="19">
        <v>810</v>
      </c>
      <c r="N195" s="20" t="b">
        <v>1</v>
      </c>
      <c r="O195" s="21">
        <v>-73</v>
      </c>
      <c r="P195" s="26" t="b">
        <f>ABS(Table1[[#This Row],[Estimate error]])-Table1[[#This Row],[Standard Deviation]]&lt;0</f>
        <v>0</v>
      </c>
      <c r="U195" s="11"/>
      <c r="V195" s="12"/>
    </row>
    <row r="196" spans="1:22" x14ac:dyDescent="0.2">
      <c r="A196" s="29">
        <v>195</v>
      </c>
      <c r="B196" s="13">
        <v>44693.48636412037</v>
      </c>
      <c r="C196" s="14" t="s">
        <v>29</v>
      </c>
      <c r="D196" s="15">
        <v>80564.751738280422</v>
      </c>
      <c r="E196" s="16">
        <v>13026.794757640593</v>
      </c>
      <c r="F196" s="17">
        <v>-352741.40211100498</v>
      </c>
      <c r="G196" s="25">
        <v>66962.713641439259</v>
      </c>
      <c r="H196" s="26">
        <v>11187</v>
      </c>
      <c r="I196" s="24">
        <v>-324977.11831615516</v>
      </c>
      <c r="J196">
        <f t="shared" si="6"/>
        <v>30972</v>
      </c>
      <c r="K196" s="18">
        <v>0</v>
      </c>
      <c r="L196">
        <f t="shared" si="7"/>
        <v>0</v>
      </c>
      <c r="M196" s="19">
        <v>0</v>
      </c>
      <c r="N196" s="20" t="b">
        <v>0</v>
      </c>
      <c r="O196" s="21">
        <v>-87</v>
      </c>
      <c r="P196" s="26" t="b">
        <f>ABS(Table1[[#This Row],[Estimate error]])-Table1[[#This Row],[Standard Deviation]]&lt;0</f>
        <v>0</v>
      </c>
      <c r="U196" s="11"/>
      <c r="V196" s="12"/>
    </row>
    <row r="197" spans="1:22" x14ac:dyDescent="0.2">
      <c r="A197" s="29">
        <v>196</v>
      </c>
      <c r="B197" s="13">
        <v>44693.48636412037</v>
      </c>
      <c r="C197" s="14" t="s">
        <v>31</v>
      </c>
      <c r="D197" s="15">
        <v>80564.751738280422</v>
      </c>
      <c r="E197" s="16">
        <v>13026.794757640593</v>
      </c>
      <c r="F197" s="17">
        <v>-352741.40211100498</v>
      </c>
      <c r="G197" s="25">
        <v>74177.481073078248</v>
      </c>
      <c r="H197" s="26">
        <v>11187</v>
      </c>
      <c r="I197" s="24">
        <v>-356447.89152410487</v>
      </c>
      <c r="J197">
        <f t="shared" si="6"/>
        <v>7611</v>
      </c>
      <c r="K197" s="18">
        <v>10312</v>
      </c>
      <c r="L197">
        <f t="shared" si="7"/>
        <v>2701</v>
      </c>
      <c r="M197" s="19">
        <v>735</v>
      </c>
      <c r="N197" s="20" t="b">
        <v>1</v>
      </c>
      <c r="O197" s="21">
        <v>-66</v>
      </c>
      <c r="P197" s="26" t="b">
        <f>ABS(Table1[[#This Row],[Estimate error]])-Table1[[#This Row],[Standard Deviation]]&lt;0</f>
        <v>0</v>
      </c>
      <c r="U197" s="11"/>
      <c r="V197" s="12"/>
    </row>
    <row r="198" spans="1:22" x14ac:dyDescent="0.2">
      <c r="A198" s="29">
        <v>197</v>
      </c>
      <c r="B198" s="13">
        <v>44693.48636412037</v>
      </c>
      <c r="C198" s="14" t="s">
        <v>30</v>
      </c>
      <c r="D198" s="15">
        <v>80564.751738280422</v>
      </c>
      <c r="E198" s="16">
        <v>13026.794757640593</v>
      </c>
      <c r="F198" s="17">
        <v>-352741.40211100498</v>
      </c>
      <c r="G198" s="25">
        <v>69764.397321579861</v>
      </c>
      <c r="H198" s="26">
        <v>12050</v>
      </c>
      <c r="I198" s="24">
        <v>-335657.72548585641</v>
      </c>
      <c r="J198">
        <f t="shared" si="6"/>
        <v>20235</v>
      </c>
      <c r="K198" s="18">
        <v>26812</v>
      </c>
      <c r="L198">
        <f t="shared" si="7"/>
        <v>6577</v>
      </c>
      <c r="M198" s="19">
        <v>480</v>
      </c>
      <c r="N198" s="20" t="b">
        <v>1</v>
      </c>
      <c r="O198" s="21">
        <v>-79</v>
      </c>
      <c r="P198" s="26" t="b">
        <f>ABS(Table1[[#This Row],[Estimate error]])-Table1[[#This Row],[Standard Deviation]]&lt;0</f>
        <v>0</v>
      </c>
      <c r="U198" s="11"/>
      <c r="V198" s="12"/>
    </row>
    <row r="199" spans="1:22" x14ac:dyDescent="0.2">
      <c r="A199" s="29">
        <v>198</v>
      </c>
      <c r="B199" s="13">
        <v>44693.48636412037</v>
      </c>
      <c r="C199" s="14" t="s">
        <v>28</v>
      </c>
      <c r="D199" s="15">
        <v>80564.751738280422</v>
      </c>
      <c r="E199" s="16">
        <v>13026.794757640593</v>
      </c>
      <c r="F199" s="17">
        <v>-352741.40211100498</v>
      </c>
      <c r="G199" s="25">
        <v>47511.84397421257</v>
      </c>
      <c r="H199" s="26">
        <v>12577</v>
      </c>
      <c r="I199" s="24">
        <v>-366209.6994908413</v>
      </c>
      <c r="J199">
        <f t="shared" si="6"/>
        <v>35694</v>
      </c>
      <c r="K199" s="18">
        <v>35812</v>
      </c>
      <c r="L199">
        <f t="shared" si="7"/>
        <v>118</v>
      </c>
      <c r="M199" s="19">
        <v>585</v>
      </c>
      <c r="N199" s="20" t="b">
        <v>1</v>
      </c>
      <c r="O199" s="21">
        <v>-73</v>
      </c>
      <c r="P199" s="26" t="b">
        <f>ABS(Table1[[#This Row],[Estimate error]])-Table1[[#This Row],[Standard Deviation]]&lt;0</f>
        <v>1</v>
      </c>
      <c r="U199" s="11"/>
      <c r="V199" s="12"/>
    </row>
    <row r="200" spans="1:22" x14ac:dyDescent="0.2">
      <c r="A200" s="29">
        <v>199</v>
      </c>
      <c r="B200" s="13">
        <v>44693.48636412037</v>
      </c>
      <c r="C200" s="14" t="s">
        <v>29</v>
      </c>
      <c r="D200" s="15">
        <v>80564.751738280422</v>
      </c>
      <c r="E200" s="16">
        <v>13026.794757640593</v>
      </c>
      <c r="F200" s="17">
        <v>-352741.40211100498</v>
      </c>
      <c r="G200" s="25">
        <v>66962.713641439259</v>
      </c>
      <c r="H200" s="26">
        <v>11187</v>
      </c>
      <c r="I200" s="24">
        <v>-324977.11831615516</v>
      </c>
      <c r="J200">
        <f t="shared" si="6"/>
        <v>30972</v>
      </c>
      <c r="K200" s="18">
        <v>0</v>
      </c>
      <c r="L200">
        <f t="shared" si="7"/>
        <v>0</v>
      </c>
      <c r="M200" s="19">
        <v>0</v>
      </c>
      <c r="N200" s="20" t="b">
        <v>0</v>
      </c>
      <c r="O200" s="21">
        <v>-87</v>
      </c>
      <c r="P200" s="26" t="b">
        <f>ABS(Table1[[#This Row],[Estimate error]])-Table1[[#This Row],[Standard Deviation]]&lt;0</f>
        <v>0</v>
      </c>
      <c r="U200" s="11"/>
      <c r="V200" s="12"/>
    </row>
    <row r="201" spans="1:22" x14ac:dyDescent="0.2">
      <c r="A201" s="29">
        <v>200</v>
      </c>
      <c r="B201" s="13">
        <v>44693.48636412037</v>
      </c>
      <c r="C201" s="14" t="s">
        <v>31</v>
      </c>
      <c r="D201" s="15">
        <v>80564.751738280422</v>
      </c>
      <c r="E201" s="16">
        <v>13026.794757640593</v>
      </c>
      <c r="F201" s="17">
        <v>-352741.40211100498</v>
      </c>
      <c r="G201" s="25">
        <v>74177.481073078248</v>
      </c>
      <c r="H201" s="26">
        <v>11187</v>
      </c>
      <c r="I201" s="24">
        <v>-356447.89152410487</v>
      </c>
      <c r="J201">
        <f t="shared" si="6"/>
        <v>7611</v>
      </c>
      <c r="K201" s="18">
        <v>9750</v>
      </c>
      <c r="L201">
        <f t="shared" si="7"/>
        <v>2139</v>
      </c>
      <c r="M201" s="19">
        <v>645</v>
      </c>
      <c r="N201" s="20" t="b">
        <v>1</v>
      </c>
      <c r="O201" s="21">
        <v>-66</v>
      </c>
      <c r="P201" s="26" t="b">
        <f>ABS(Table1[[#This Row],[Estimate error]])-Table1[[#This Row],[Standard Deviation]]&lt;0</f>
        <v>0</v>
      </c>
      <c r="U201" s="11"/>
      <c r="V201" s="12"/>
    </row>
    <row r="202" spans="1:22" x14ac:dyDescent="0.2">
      <c r="A202" s="29">
        <v>201</v>
      </c>
      <c r="B202" s="13">
        <v>44693.48636412037</v>
      </c>
      <c r="C202" s="14" t="s">
        <v>30</v>
      </c>
      <c r="D202" s="15">
        <v>80564.751738280422</v>
      </c>
      <c r="E202" s="16">
        <v>13026.794757640593</v>
      </c>
      <c r="F202" s="17">
        <v>-352741.40211100498</v>
      </c>
      <c r="G202" s="25">
        <v>69764.397321579861</v>
      </c>
      <c r="H202" s="26">
        <v>12050</v>
      </c>
      <c r="I202" s="24">
        <v>-335657.72548585641</v>
      </c>
      <c r="J202">
        <f t="shared" si="6"/>
        <v>20235</v>
      </c>
      <c r="K202" s="18">
        <v>27000</v>
      </c>
      <c r="L202">
        <f t="shared" si="7"/>
        <v>6765</v>
      </c>
      <c r="M202" s="19">
        <v>645</v>
      </c>
      <c r="N202" s="20" t="b">
        <v>1</v>
      </c>
      <c r="O202" s="21">
        <v>-79</v>
      </c>
      <c r="P202" s="26" t="b">
        <f>ABS(Table1[[#This Row],[Estimate error]])-Table1[[#This Row],[Standard Deviation]]&lt;0</f>
        <v>0</v>
      </c>
      <c r="U202" s="11"/>
      <c r="V202" s="12"/>
    </row>
    <row r="203" spans="1:22" x14ac:dyDescent="0.2">
      <c r="A203" s="29">
        <v>202</v>
      </c>
      <c r="B203" s="13">
        <v>44693.48636412037</v>
      </c>
      <c r="C203" s="14" t="s">
        <v>28</v>
      </c>
      <c r="D203" s="15">
        <v>80564.751738280422</v>
      </c>
      <c r="E203" s="16">
        <v>13026.794757640593</v>
      </c>
      <c r="F203" s="17">
        <v>-352741.40211100498</v>
      </c>
      <c r="G203" s="25">
        <v>47511.84397421257</v>
      </c>
      <c r="H203" s="26">
        <v>12577</v>
      </c>
      <c r="I203" s="24">
        <v>-366209.6994908413</v>
      </c>
      <c r="J203">
        <f t="shared" si="6"/>
        <v>35694</v>
      </c>
      <c r="K203" s="18">
        <v>35500</v>
      </c>
      <c r="L203">
        <f t="shared" si="7"/>
        <v>-194</v>
      </c>
      <c r="M203" s="19">
        <v>795</v>
      </c>
      <c r="N203" s="20" t="b">
        <v>1</v>
      </c>
      <c r="O203" s="21">
        <v>-73</v>
      </c>
      <c r="P203" s="26" t="b">
        <f>ABS(Table1[[#This Row],[Estimate error]])-Table1[[#This Row],[Standard Deviation]]&lt;0</f>
        <v>1</v>
      </c>
      <c r="U203" s="11"/>
      <c r="V203" s="12"/>
    </row>
    <row r="204" spans="1:22" x14ac:dyDescent="0.2">
      <c r="A204" s="29">
        <v>203</v>
      </c>
      <c r="B204" s="13">
        <v>44693.48636412037</v>
      </c>
      <c r="C204" s="14" t="s">
        <v>29</v>
      </c>
      <c r="D204" s="15">
        <v>80564.751738280422</v>
      </c>
      <c r="E204" s="16">
        <v>13026.794757640593</v>
      </c>
      <c r="F204" s="17">
        <v>-352741.40211100498</v>
      </c>
      <c r="G204" s="25">
        <v>66962.713641439259</v>
      </c>
      <c r="H204" s="26">
        <v>11187</v>
      </c>
      <c r="I204" s="24">
        <v>-324977.11831615516</v>
      </c>
      <c r="J204">
        <f t="shared" si="6"/>
        <v>30972</v>
      </c>
      <c r="K204" s="18">
        <v>0</v>
      </c>
      <c r="L204">
        <f t="shared" si="7"/>
        <v>0</v>
      </c>
      <c r="M204" s="19">
        <v>0</v>
      </c>
      <c r="N204" s="20" t="b">
        <v>0</v>
      </c>
      <c r="O204" s="21">
        <v>-87</v>
      </c>
      <c r="P204" s="26" t="b">
        <f>ABS(Table1[[#This Row],[Estimate error]])-Table1[[#This Row],[Standard Deviation]]&lt;0</f>
        <v>0</v>
      </c>
      <c r="U204" s="11"/>
      <c r="V204" s="12"/>
    </row>
    <row r="205" spans="1:22" x14ac:dyDescent="0.2">
      <c r="A205" s="29">
        <v>204</v>
      </c>
      <c r="B205" s="13">
        <v>44693.48636412037</v>
      </c>
      <c r="C205" s="14" t="s">
        <v>31</v>
      </c>
      <c r="D205" s="15">
        <v>80564.751738280422</v>
      </c>
      <c r="E205" s="16">
        <v>13026.794757640593</v>
      </c>
      <c r="F205" s="17">
        <v>-352741.40211100498</v>
      </c>
      <c r="G205" s="25">
        <v>74177.481073078248</v>
      </c>
      <c r="H205" s="26">
        <v>11187</v>
      </c>
      <c r="I205" s="24">
        <v>-356447.89152410487</v>
      </c>
      <c r="J205">
        <f t="shared" si="6"/>
        <v>7611</v>
      </c>
      <c r="K205" s="18">
        <v>9750</v>
      </c>
      <c r="L205">
        <f t="shared" si="7"/>
        <v>2139</v>
      </c>
      <c r="M205" s="19">
        <v>705</v>
      </c>
      <c r="N205" s="20" t="b">
        <v>1</v>
      </c>
      <c r="O205" s="21">
        <v>-66</v>
      </c>
      <c r="P205" s="26" t="b">
        <f>ABS(Table1[[#This Row],[Estimate error]])-Table1[[#This Row],[Standard Deviation]]&lt;0</f>
        <v>0</v>
      </c>
      <c r="U205" s="11"/>
      <c r="V205" s="12"/>
    </row>
    <row r="206" spans="1:22" x14ac:dyDescent="0.2">
      <c r="A206" s="29">
        <v>205</v>
      </c>
      <c r="B206" s="13">
        <v>44693.48636412037</v>
      </c>
      <c r="C206" s="14" t="s">
        <v>30</v>
      </c>
      <c r="D206" s="15">
        <v>80564.751738280422</v>
      </c>
      <c r="E206" s="16">
        <v>13026.794757640593</v>
      </c>
      <c r="F206" s="17">
        <v>-352741.40211100498</v>
      </c>
      <c r="G206" s="25">
        <v>69764.397321579861</v>
      </c>
      <c r="H206" s="26">
        <v>12050</v>
      </c>
      <c r="I206" s="24">
        <v>-335657.72548585641</v>
      </c>
      <c r="J206">
        <f t="shared" si="6"/>
        <v>20235</v>
      </c>
      <c r="K206" s="18">
        <v>26375</v>
      </c>
      <c r="L206">
        <f t="shared" si="7"/>
        <v>6140</v>
      </c>
      <c r="M206" s="19">
        <v>945</v>
      </c>
      <c r="N206" s="20" t="b">
        <v>1</v>
      </c>
      <c r="O206" s="21">
        <v>-79</v>
      </c>
      <c r="P206" s="26" t="b">
        <f>ABS(Table1[[#This Row],[Estimate error]])-Table1[[#This Row],[Standard Deviation]]&lt;0</f>
        <v>0</v>
      </c>
      <c r="U206" s="11"/>
      <c r="V206" s="12"/>
    </row>
    <row r="207" spans="1:22" x14ac:dyDescent="0.2">
      <c r="A207" s="29">
        <v>206</v>
      </c>
      <c r="B207" s="13">
        <v>44693.486738387342</v>
      </c>
      <c r="C207" s="14" t="s">
        <v>28</v>
      </c>
      <c r="D207" s="15">
        <v>71335.864732837683</v>
      </c>
      <c r="E207" s="16">
        <v>12796.990068175337</v>
      </c>
      <c r="F207" s="17">
        <v>-360648.30640507385</v>
      </c>
      <c r="G207" s="25">
        <v>47511.84397421257</v>
      </c>
      <c r="H207" s="26">
        <v>12577</v>
      </c>
      <c r="I207" s="24">
        <v>-366209.6994908413</v>
      </c>
      <c r="J207">
        <f t="shared" si="6"/>
        <v>24466</v>
      </c>
      <c r="K207" s="18">
        <v>24125</v>
      </c>
      <c r="L207">
        <f t="shared" si="7"/>
        <v>-341</v>
      </c>
      <c r="M207" s="19">
        <v>750</v>
      </c>
      <c r="N207" s="20" t="b">
        <v>1</v>
      </c>
      <c r="O207" s="21">
        <v>-75</v>
      </c>
      <c r="P207" s="26" t="b">
        <f>ABS(Table1[[#This Row],[Estimate error]])-Table1[[#This Row],[Standard Deviation]]&lt;0</f>
        <v>1</v>
      </c>
      <c r="U207" s="11"/>
      <c r="V207" s="12"/>
    </row>
    <row r="208" spans="1:22" x14ac:dyDescent="0.2">
      <c r="A208" s="29">
        <v>207</v>
      </c>
      <c r="B208" s="13">
        <v>44693.486738387342</v>
      </c>
      <c r="C208" s="14" t="s">
        <v>29</v>
      </c>
      <c r="D208" s="15">
        <v>71335.864732837683</v>
      </c>
      <c r="E208" s="16">
        <v>12796.990068175337</v>
      </c>
      <c r="F208" s="17">
        <v>-360648.30640507385</v>
      </c>
      <c r="G208" s="25">
        <v>66962.713641439259</v>
      </c>
      <c r="H208" s="26">
        <v>11187</v>
      </c>
      <c r="I208" s="24">
        <v>-324977.11831615516</v>
      </c>
      <c r="J208">
        <f t="shared" si="6"/>
        <v>35974</v>
      </c>
      <c r="K208" s="18">
        <v>36562</v>
      </c>
      <c r="L208">
        <f t="shared" si="7"/>
        <v>588</v>
      </c>
      <c r="M208" s="19">
        <v>495</v>
      </c>
      <c r="N208" s="20" t="b">
        <v>1</v>
      </c>
      <c r="O208" s="21">
        <v>-78</v>
      </c>
      <c r="P208" s="26" t="b">
        <f>ABS(Table1[[#This Row],[Estimate error]])-Table1[[#This Row],[Standard Deviation]]&lt;0</f>
        <v>0</v>
      </c>
      <c r="U208" s="11"/>
      <c r="V208" s="12"/>
    </row>
    <row r="209" spans="1:22" x14ac:dyDescent="0.2">
      <c r="A209" s="29">
        <v>208</v>
      </c>
      <c r="B209" s="13">
        <v>44693.486738387342</v>
      </c>
      <c r="C209" s="14" t="s">
        <v>31</v>
      </c>
      <c r="D209" s="15">
        <v>71335.864732837683</v>
      </c>
      <c r="E209" s="16">
        <v>12796.990068175337</v>
      </c>
      <c r="F209" s="17">
        <v>-360648.30640507385</v>
      </c>
      <c r="G209" s="25">
        <v>74177.481073078248</v>
      </c>
      <c r="H209" s="26">
        <v>11187</v>
      </c>
      <c r="I209" s="24">
        <v>-356447.89152410487</v>
      </c>
      <c r="J209">
        <f t="shared" si="6"/>
        <v>5321</v>
      </c>
      <c r="K209" s="18">
        <v>5687</v>
      </c>
      <c r="L209">
        <f t="shared" si="7"/>
        <v>366</v>
      </c>
      <c r="M209" s="19">
        <v>570</v>
      </c>
      <c r="N209" s="20" t="b">
        <v>1</v>
      </c>
      <c r="O209" s="21">
        <v>-65</v>
      </c>
      <c r="P209" s="26" t="b">
        <f>ABS(Table1[[#This Row],[Estimate error]])-Table1[[#This Row],[Standard Deviation]]&lt;0</f>
        <v>1</v>
      </c>
      <c r="U209" s="11"/>
      <c r="V209" s="12"/>
    </row>
    <row r="210" spans="1:22" x14ac:dyDescent="0.2">
      <c r="A210" s="29">
        <v>209</v>
      </c>
      <c r="B210" s="13">
        <v>44693.486738387342</v>
      </c>
      <c r="C210" s="14" t="s">
        <v>17</v>
      </c>
      <c r="D210" s="15">
        <v>71335.864732837683</v>
      </c>
      <c r="E210" s="16">
        <v>12796.990068175337</v>
      </c>
      <c r="F210" s="17">
        <v>-360648.30640507385</v>
      </c>
      <c r="G210" s="25">
        <v>32876.488350740532</v>
      </c>
      <c r="H210" s="26">
        <v>12372</v>
      </c>
      <c r="I210" s="24">
        <v>-351732.9374828916</v>
      </c>
      <c r="J210">
        <f t="shared" si="6"/>
        <v>39481</v>
      </c>
      <c r="K210" s="18">
        <v>50812</v>
      </c>
      <c r="L210">
        <f t="shared" si="7"/>
        <v>11331</v>
      </c>
      <c r="M210" s="19">
        <v>105</v>
      </c>
      <c r="N210" s="20" t="b">
        <v>1</v>
      </c>
      <c r="O210" s="21">
        <v>-84</v>
      </c>
      <c r="P210" s="26" t="b">
        <f>ABS(Table1[[#This Row],[Estimate error]])-Table1[[#This Row],[Standard Deviation]]&lt;0</f>
        <v>0</v>
      </c>
      <c r="U210" s="11"/>
      <c r="V210" s="12"/>
    </row>
    <row r="211" spans="1:22" x14ac:dyDescent="0.2">
      <c r="A211" s="29">
        <v>210</v>
      </c>
      <c r="B211" s="13">
        <v>44693.486738387342</v>
      </c>
      <c r="C211" s="14" t="s">
        <v>30</v>
      </c>
      <c r="D211" s="15">
        <v>71335.864732837683</v>
      </c>
      <c r="E211" s="16">
        <v>12796.990068175337</v>
      </c>
      <c r="F211" s="17">
        <v>-360648.30640507385</v>
      </c>
      <c r="G211" s="25">
        <v>69764.397321579861</v>
      </c>
      <c r="H211" s="26">
        <v>12050</v>
      </c>
      <c r="I211" s="24">
        <v>-335657.72548585641</v>
      </c>
      <c r="J211">
        <f t="shared" si="6"/>
        <v>25051</v>
      </c>
      <c r="K211" s="18">
        <v>25750</v>
      </c>
      <c r="L211">
        <f t="shared" si="7"/>
        <v>699</v>
      </c>
      <c r="M211" s="19">
        <v>690</v>
      </c>
      <c r="N211" s="20" t="b">
        <v>1</v>
      </c>
      <c r="O211" s="21">
        <v>-73</v>
      </c>
      <c r="P211" s="26" t="b">
        <f>ABS(Table1[[#This Row],[Estimate error]])-Table1[[#This Row],[Standard Deviation]]&lt;0</f>
        <v>0</v>
      </c>
      <c r="U211" s="11"/>
      <c r="V211" s="12"/>
    </row>
    <row r="212" spans="1:22" x14ac:dyDescent="0.2">
      <c r="A212" s="29">
        <v>211</v>
      </c>
      <c r="B212" s="13">
        <v>44693.486738387342</v>
      </c>
      <c r="C212" s="14" t="s">
        <v>28</v>
      </c>
      <c r="D212" s="15">
        <v>71335.864732837683</v>
      </c>
      <c r="E212" s="16">
        <v>12796.990068175337</v>
      </c>
      <c r="F212" s="17">
        <v>-360648.30640507385</v>
      </c>
      <c r="G212" s="25">
        <v>47511.84397421257</v>
      </c>
      <c r="H212" s="26">
        <v>12577</v>
      </c>
      <c r="I212" s="24">
        <v>-366209.6994908413</v>
      </c>
      <c r="J212">
        <f t="shared" si="6"/>
        <v>24466</v>
      </c>
      <c r="K212" s="18">
        <v>24000</v>
      </c>
      <c r="L212">
        <f t="shared" si="7"/>
        <v>-466</v>
      </c>
      <c r="M212" s="19">
        <v>645</v>
      </c>
      <c r="N212" s="20" t="b">
        <v>1</v>
      </c>
      <c r="O212" s="21">
        <v>-75</v>
      </c>
      <c r="P212" s="26" t="b">
        <f>ABS(Table1[[#This Row],[Estimate error]])-Table1[[#This Row],[Standard Deviation]]&lt;0</f>
        <v>1</v>
      </c>
      <c r="U212" s="11"/>
      <c r="V212" s="12"/>
    </row>
    <row r="213" spans="1:22" x14ac:dyDescent="0.2">
      <c r="A213" s="29">
        <v>212</v>
      </c>
      <c r="B213" s="13">
        <v>44693.486738387342</v>
      </c>
      <c r="C213" s="14" t="s">
        <v>29</v>
      </c>
      <c r="D213" s="15">
        <v>71335.864732837683</v>
      </c>
      <c r="E213" s="16">
        <v>12796.990068175337</v>
      </c>
      <c r="F213" s="17">
        <v>-360648.30640507385</v>
      </c>
      <c r="G213" s="25">
        <v>66962.713641439259</v>
      </c>
      <c r="H213" s="26">
        <v>11187</v>
      </c>
      <c r="I213" s="24">
        <v>-324977.11831615516</v>
      </c>
      <c r="J213">
        <f t="shared" si="6"/>
        <v>35974</v>
      </c>
      <c r="K213" s="18">
        <v>36750</v>
      </c>
      <c r="L213">
        <f t="shared" si="7"/>
        <v>776</v>
      </c>
      <c r="M213" s="19">
        <v>315</v>
      </c>
      <c r="N213" s="20" t="b">
        <v>1</v>
      </c>
      <c r="O213" s="21">
        <v>-78</v>
      </c>
      <c r="P213" s="26" t="b">
        <f>ABS(Table1[[#This Row],[Estimate error]])-Table1[[#This Row],[Standard Deviation]]&lt;0</f>
        <v>0</v>
      </c>
      <c r="U213" s="11"/>
      <c r="V213" s="12"/>
    </row>
    <row r="214" spans="1:22" x14ac:dyDescent="0.2">
      <c r="A214" s="29">
        <v>213</v>
      </c>
      <c r="B214" s="13">
        <v>44693.486738387342</v>
      </c>
      <c r="C214" s="14" t="s">
        <v>31</v>
      </c>
      <c r="D214" s="15">
        <v>71335.864732837683</v>
      </c>
      <c r="E214" s="16">
        <v>12796.990068175337</v>
      </c>
      <c r="F214" s="17">
        <v>-360648.30640507385</v>
      </c>
      <c r="G214" s="25">
        <v>74177.481073078248</v>
      </c>
      <c r="H214" s="26">
        <v>11187</v>
      </c>
      <c r="I214" s="24">
        <v>-356447.89152410487</v>
      </c>
      <c r="J214">
        <f t="shared" si="6"/>
        <v>5321</v>
      </c>
      <c r="K214" s="18">
        <v>5062</v>
      </c>
      <c r="L214">
        <f t="shared" si="7"/>
        <v>-259</v>
      </c>
      <c r="M214" s="19">
        <v>555</v>
      </c>
      <c r="N214" s="20" t="b">
        <v>1</v>
      </c>
      <c r="O214" s="21">
        <v>-65</v>
      </c>
      <c r="P214" s="26" t="b">
        <f>ABS(Table1[[#This Row],[Estimate error]])-Table1[[#This Row],[Standard Deviation]]&lt;0</f>
        <v>1</v>
      </c>
      <c r="U214" s="11"/>
      <c r="V214" s="12"/>
    </row>
    <row r="215" spans="1:22" x14ac:dyDescent="0.2">
      <c r="A215" s="29">
        <v>214</v>
      </c>
      <c r="B215" s="13">
        <v>44693.486738387342</v>
      </c>
      <c r="C215" s="14" t="s">
        <v>17</v>
      </c>
      <c r="D215" s="15">
        <v>71335.864732837683</v>
      </c>
      <c r="E215" s="16">
        <v>12796.990068175337</v>
      </c>
      <c r="F215" s="17">
        <v>-360648.30640507385</v>
      </c>
      <c r="G215" s="25">
        <v>32876.488350740532</v>
      </c>
      <c r="H215" s="26">
        <v>12372</v>
      </c>
      <c r="I215" s="24">
        <v>-351732.9374828916</v>
      </c>
      <c r="J215">
        <f t="shared" si="6"/>
        <v>39481</v>
      </c>
      <c r="K215" s="18">
        <v>51000</v>
      </c>
      <c r="L215">
        <f t="shared" si="7"/>
        <v>11519</v>
      </c>
      <c r="M215" s="19">
        <v>525</v>
      </c>
      <c r="N215" s="20" t="b">
        <v>1</v>
      </c>
      <c r="O215" s="21">
        <v>-84</v>
      </c>
      <c r="P215" s="26" t="b">
        <f>ABS(Table1[[#This Row],[Estimate error]])-Table1[[#This Row],[Standard Deviation]]&lt;0</f>
        <v>0</v>
      </c>
      <c r="U215" s="11"/>
      <c r="V215" s="12"/>
    </row>
    <row r="216" spans="1:22" x14ac:dyDescent="0.2">
      <c r="A216" s="29">
        <v>215</v>
      </c>
      <c r="B216" s="13">
        <v>44693.486738387342</v>
      </c>
      <c r="C216" s="14" t="s">
        <v>30</v>
      </c>
      <c r="D216" s="15">
        <v>71335.864732837683</v>
      </c>
      <c r="E216" s="16">
        <v>12796.990068175337</v>
      </c>
      <c r="F216" s="17">
        <v>-360648.30640507385</v>
      </c>
      <c r="G216" s="25">
        <v>69764.397321579861</v>
      </c>
      <c r="H216" s="26">
        <v>12050</v>
      </c>
      <c r="I216" s="24">
        <v>-335657.72548585641</v>
      </c>
      <c r="J216">
        <f t="shared" si="6"/>
        <v>25051</v>
      </c>
      <c r="K216" s="18">
        <v>25187</v>
      </c>
      <c r="L216">
        <f t="shared" si="7"/>
        <v>136</v>
      </c>
      <c r="M216" s="19">
        <v>675</v>
      </c>
      <c r="N216" s="20" t="b">
        <v>1</v>
      </c>
      <c r="O216" s="21">
        <v>-73</v>
      </c>
      <c r="P216" s="26" t="b">
        <f>ABS(Table1[[#This Row],[Estimate error]])-Table1[[#This Row],[Standard Deviation]]&lt;0</f>
        <v>1</v>
      </c>
      <c r="U216" s="11"/>
      <c r="V216" s="12"/>
    </row>
    <row r="217" spans="1:22" x14ac:dyDescent="0.2">
      <c r="A217" s="29">
        <v>216</v>
      </c>
      <c r="B217" s="13">
        <v>44693.486738387342</v>
      </c>
      <c r="C217" s="14" t="s">
        <v>28</v>
      </c>
      <c r="D217" s="15">
        <v>71335.864732837683</v>
      </c>
      <c r="E217" s="16">
        <v>12796.990068175337</v>
      </c>
      <c r="F217" s="17">
        <v>-360648.30640507385</v>
      </c>
      <c r="G217" s="25">
        <v>47511.84397421257</v>
      </c>
      <c r="H217" s="26">
        <v>12577</v>
      </c>
      <c r="I217" s="24">
        <v>-366209.6994908413</v>
      </c>
      <c r="J217">
        <f t="shared" si="6"/>
        <v>24466</v>
      </c>
      <c r="K217" s="18">
        <v>24437</v>
      </c>
      <c r="L217">
        <f t="shared" si="7"/>
        <v>-29</v>
      </c>
      <c r="M217" s="19">
        <v>705</v>
      </c>
      <c r="N217" s="20" t="b">
        <v>1</v>
      </c>
      <c r="O217" s="21">
        <v>-75</v>
      </c>
      <c r="P217" s="26" t="b">
        <f>ABS(Table1[[#This Row],[Estimate error]])-Table1[[#This Row],[Standard Deviation]]&lt;0</f>
        <v>1</v>
      </c>
      <c r="U217" s="11"/>
      <c r="V217" s="12"/>
    </row>
    <row r="218" spans="1:22" x14ac:dyDescent="0.2">
      <c r="A218" s="29">
        <v>217</v>
      </c>
      <c r="B218" s="13">
        <v>44693.486738387342</v>
      </c>
      <c r="C218" s="14" t="s">
        <v>29</v>
      </c>
      <c r="D218" s="15">
        <v>71335.864732837683</v>
      </c>
      <c r="E218" s="16">
        <v>12796.990068175337</v>
      </c>
      <c r="F218" s="17">
        <v>-360648.30640507385</v>
      </c>
      <c r="G218" s="25">
        <v>66962.713641439259</v>
      </c>
      <c r="H218" s="26">
        <v>11187</v>
      </c>
      <c r="I218" s="24">
        <v>-324977.11831615516</v>
      </c>
      <c r="J218">
        <f t="shared" si="6"/>
        <v>35974</v>
      </c>
      <c r="K218" s="18">
        <v>0</v>
      </c>
      <c r="L218">
        <f t="shared" si="7"/>
        <v>0</v>
      </c>
      <c r="M218" s="19">
        <v>0</v>
      </c>
      <c r="N218" s="20" t="b">
        <v>0</v>
      </c>
      <c r="O218" s="21">
        <v>-78</v>
      </c>
      <c r="P218" s="26" t="b">
        <f>ABS(Table1[[#This Row],[Estimate error]])-Table1[[#This Row],[Standard Deviation]]&lt;0</f>
        <v>0</v>
      </c>
      <c r="U218" s="11"/>
      <c r="V218" s="12"/>
    </row>
    <row r="219" spans="1:22" x14ac:dyDescent="0.2">
      <c r="A219" s="29">
        <v>218</v>
      </c>
      <c r="B219" s="13">
        <v>44693.486738387342</v>
      </c>
      <c r="C219" s="14" t="s">
        <v>31</v>
      </c>
      <c r="D219" s="15">
        <v>71335.864732837683</v>
      </c>
      <c r="E219" s="16">
        <v>12796.990068175337</v>
      </c>
      <c r="F219" s="17">
        <v>-360648.30640507385</v>
      </c>
      <c r="G219" s="25">
        <v>74177.481073078248</v>
      </c>
      <c r="H219" s="26">
        <v>11187</v>
      </c>
      <c r="I219" s="24">
        <v>-356447.89152410487</v>
      </c>
      <c r="J219">
        <f t="shared" si="6"/>
        <v>5321</v>
      </c>
      <c r="K219" s="18">
        <v>5687</v>
      </c>
      <c r="L219">
        <f t="shared" si="7"/>
        <v>366</v>
      </c>
      <c r="M219" s="19">
        <v>630</v>
      </c>
      <c r="N219" s="20" t="b">
        <v>1</v>
      </c>
      <c r="O219" s="21">
        <v>-65</v>
      </c>
      <c r="P219" s="26" t="b">
        <f>ABS(Table1[[#This Row],[Estimate error]])-Table1[[#This Row],[Standard Deviation]]&lt;0</f>
        <v>1</v>
      </c>
      <c r="U219" s="11"/>
      <c r="V219" s="12"/>
    </row>
    <row r="220" spans="1:22" x14ac:dyDescent="0.2">
      <c r="A220" s="29">
        <v>219</v>
      </c>
      <c r="B220" s="13">
        <v>44693.486738387342</v>
      </c>
      <c r="C220" s="14" t="s">
        <v>17</v>
      </c>
      <c r="D220" s="15">
        <v>71335.864732837683</v>
      </c>
      <c r="E220" s="16">
        <v>12796.990068175337</v>
      </c>
      <c r="F220" s="17">
        <v>-360648.30640507385</v>
      </c>
      <c r="G220" s="25">
        <v>32876.488350740532</v>
      </c>
      <c r="H220" s="26">
        <v>12372</v>
      </c>
      <c r="I220" s="24">
        <v>-351732.9374828916</v>
      </c>
      <c r="J220">
        <f t="shared" si="6"/>
        <v>39481</v>
      </c>
      <c r="K220" s="18">
        <v>51875</v>
      </c>
      <c r="L220">
        <f t="shared" si="7"/>
        <v>12394</v>
      </c>
      <c r="M220" s="19">
        <v>240</v>
      </c>
      <c r="N220" s="20" t="b">
        <v>1</v>
      </c>
      <c r="O220" s="21">
        <v>-84</v>
      </c>
      <c r="P220" s="26" t="b">
        <f>ABS(Table1[[#This Row],[Estimate error]])-Table1[[#This Row],[Standard Deviation]]&lt;0</f>
        <v>0</v>
      </c>
      <c r="U220" s="11"/>
      <c r="V220" s="12"/>
    </row>
    <row r="221" spans="1:22" x14ac:dyDescent="0.2">
      <c r="A221" s="29">
        <v>220</v>
      </c>
      <c r="B221" s="13">
        <v>44693.486738387342</v>
      </c>
      <c r="C221" s="14" t="s">
        <v>30</v>
      </c>
      <c r="D221" s="15">
        <v>71335.864732837683</v>
      </c>
      <c r="E221" s="16">
        <v>12796.990068175337</v>
      </c>
      <c r="F221" s="17">
        <v>-360648.30640507385</v>
      </c>
      <c r="G221" s="25">
        <v>69764.397321579861</v>
      </c>
      <c r="H221" s="26">
        <v>12050</v>
      </c>
      <c r="I221" s="24">
        <v>-335657.72548585641</v>
      </c>
      <c r="J221">
        <f t="shared" si="6"/>
        <v>25051</v>
      </c>
      <c r="K221" s="18">
        <v>25500</v>
      </c>
      <c r="L221">
        <f t="shared" si="7"/>
        <v>449</v>
      </c>
      <c r="M221" s="19">
        <v>555</v>
      </c>
      <c r="N221" s="20" t="b">
        <v>1</v>
      </c>
      <c r="O221" s="21">
        <v>-73</v>
      </c>
      <c r="P221" s="26" t="b">
        <f>ABS(Table1[[#This Row],[Estimate error]])-Table1[[#This Row],[Standard Deviation]]&lt;0</f>
        <v>1</v>
      </c>
      <c r="U221" s="11"/>
      <c r="V221" s="12"/>
    </row>
    <row r="222" spans="1:22" x14ac:dyDescent="0.2">
      <c r="A222" s="29">
        <v>221</v>
      </c>
      <c r="B222" s="13">
        <v>44693.486738387342</v>
      </c>
      <c r="C222" s="14" t="s">
        <v>28</v>
      </c>
      <c r="D222" s="15">
        <v>71335.864732837683</v>
      </c>
      <c r="E222" s="16">
        <v>12796.990068175337</v>
      </c>
      <c r="F222" s="17">
        <v>-360648.30640507385</v>
      </c>
      <c r="G222" s="25">
        <v>47511.84397421257</v>
      </c>
      <c r="H222" s="26">
        <v>12577</v>
      </c>
      <c r="I222" s="24">
        <v>-366209.6994908413</v>
      </c>
      <c r="J222">
        <f t="shared" si="6"/>
        <v>24466</v>
      </c>
      <c r="K222" s="18">
        <v>25187</v>
      </c>
      <c r="L222">
        <f t="shared" si="7"/>
        <v>721</v>
      </c>
      <c r="M222" s="19">
        <v>930</v>
      </c>
      <c r="N222" s="20" t="b">
        <v>1</v>
      </c>
      <c r="O222" s="21">
        <v>-75</v>
      </c>
      <c r="P222" s="26" t="b">
        <f>ABS(Table1[[#This Row],[Estimate error]])-Table1[[#This Row],[Standard Deviation]]&lt;0</f>
        <v>1</v>
      </c>
      <c r="U222" s="11"/>
      <c r="V222" s="12"/>
    </row>
    <row r="223" spans="1:22" x14ac:dyDescent="0.2">
      <c r="A223" s="29">
        <v>222</v>
      </c>
      <c r="B223" s="13">
        <v>44693.486738387342</v>
      </c>
      <c r="C223" s="14" t="s">
        <v>29</v>
      </c>
      <c r="D223" s="15">
        <v>71335.864732837683</v>
      </c>
      <c r="E223" s="16">
        <v>12796.990068175337</v>
      </c>
      <c r="F223" s="17">
        <v>-360648.30640507385</v>
      </c>
      <c r="G223" s="25">
        <v>66962.713641439259</v>
      </c>
      <c r="H223" s="26">
        <v>11187</v>
      </c>
      <c r="I223" s="24">
        <v>-324977.11831615516</v>
      </c>
      <c r="J223">
        <f t="shared" si="6"/>
        <v>35974</v>
      </c>
      <c r="K223" s="18">
        <v>36750</v>
      </c>
      <c r="L223">
        <f t="shared" si="7"/>
        <v>776</v>
      </c>
      <c r="M223" s="19">
        <v>795</v>
      </c>
      <c r="N223" s="20" t="b">
        <v>1</v>
      </c>
      <c r="O223" s="21">
        <v>-78</v>
      </c>
      <c r="P223" s="26" t="b">
        <f>ABS(Table1[[#This Row],[Estimate error]])-Table1[[#This Row],[Standard Deviation]]&lt;0</f>
        <v>1</v>
      </c>
      <c r="U223" s="11"/>
      <c r="V223" s="12"/>
    </row>
    <row r="224" spans="1:22" x14ac:dyDescent="0.2">
      <c r="A224" s="29">
        <v>223</v>
      </c>
      <c r="B224" s="13">
        <v>44693.486738387342</v>
      </c>
      <c r="C224" s="14" t="s">
        <v>31</v>
      </c>
      <c r="D224" s="15">
        <v>71335.864732837683</v>
      </c>
      <c r="E224" s="16">
        <v>12796.990068175337</v>
      </c>
      <c r="F224" s="17">
        <v>-360648.30640507385</v>
      </c>
      <c r="G224" s="25">
        <v>74177.481073078248</v>
      </c>
      <c r="H224" s="26">
        <v>11187</v>
      </c>
      <c r="I224" s="24">
        <v>-356447.89152410487</v>
      </c>
      <c r="J224">
        <f t="shared" si="6"/>
        <v>5321</v>
      </c>
      <c r="K224" s="18">
        <v>5250</v>
      </c>
      <c r="L224">
        <f t="shared" si="7"/>
        <v>-71</v>
      </c>
      <c r="M224" s="19">
        <v>645</v>
      </c>
      <c r="N224" s="20" t="b">
        <v>1</v>
      </c>
      <c r="O224" s="21">
        <v>-65</v>
      </c>
      <c r="P224" s="26" t="b">
        <f>ABS(Table1[[#This Row],[Estimate error]])-Table1[[#This Row],[Standard Deviation]]&lt;0</f>
        <v>1</v>
      </c>
      <c r="U224" s="11"/>
      <c r="V224" s="12"/>
    </row>
    <row r="225" spans="1:22" x14ac:dyDescent="0.2">
      <c r="A225" s="29">
        <v>224</v>
      </c>
      <c r="B225" s="13">
        <v>44693.486738387342</v>
      </c>
      <c r="C225" s="14" t="s">
        <v>17</v>
      </c>
      <c r="D225" s="15">
        <v>71335.864732837683</v>
      </c>
      <c r="E225" s="16">
        <v>12796.990068175337</v>
      </c>
      <c r="F225" s="17">
        <v>-360648.30640507385</v>
      </c>
      <c r="G225" s="25">
        <v>32876.488350740532</v>
      </c>
      <c r="H225" s="26">
        <v>12372</v>
      </c>
      <c r="I225" s="24">
        <v>-351732.9374828916</v>
      </c>
      <c r="J225">
        <f t="shared" si="6"/>
        <v>39481</v>
      </c>
      <c r="K225" s="18">
        <v>53250</v>
      </c>
      <c r="L225">
        <f t="shared" si="7"/>
        <v>13769</v>
      </c>
      <c r="M225" s="19">
        <v>1245</v>
      </c>
      <c r="N225" s="20" t="b">
        <v>1</v>
      </c>
      <c r="O225" s="21">
        <v>-84</v>
      </c>
      <c r="P225" s="26" t="b">
        <f>ABS(Table1[[#This Row],[Estimate error]])-Table1[[#This Row],[Standard Deviation]]&lt;0</f>
        <v>0</v>
      </c>
      <c r="U225" s="11"/>
      <c r="V225" s="12"/>
    </row>
    <row r="226" spans="1:22" x14ac:dyDescent="0.2">
      <c r="A226" s="29">
        <v>225</v>
      </c>
      <c r="B226" s="13">
        <v>44693.486738387342</v>
      </c>
      <c r="C226" s="14" t="s">
        <v>30</v>
      </c>
      <c r="D226" s="15">
        <v>71335.864732837683</v>
      </c>
      <c r="E226" s="16">
        <v>12796.990068175337</v>
      </c>
      <c r="F226" s="17">
        <v>-360648.30640507385</v>
      </c>
      <c r="G226" s="25">
        <v>69764.397321579861</v>
      </c>
      <c r="H226" s="26">
        <v>12050</v>
      </c>
      <c r="I226" s="24">
        <v>-335657.72548585641</v>
      </c>
      <c r="J226">
        <f t="shared" si="6"/>
        <v>25051</v>
      </c>
      <c r="K226" s="18">
        <v>25312</v>
      </c>
      <c r="L226">
        <f t="shared" si="7"/>
        <v>261</v>
      </c>
      <c r="M226" s="19">
        <v>705</v>
      </c>
      <c r="N226" s="20" t="b">
        <v>1</v>
      </c>
      <c r="O226" s="21">
        <v>-73</v>
      </c>
      <c r="P226" s="26" t="b">
        <f>ABS(Table1[[#This Row],[Estimate error]])-Table1[[#This Row],[Standard Deviation]]&lt;0</f>
        <v>1</v>
      </c>
      <c r="U226" s="11"/>
      <c r="V226" s="12"/>
    </row>
    <row r="227" spans="1:22" x14ac:dyDescent="0.2">
      <c r="A227" s="29">
        <v>226</v>
      </c>
      <c r="B227" s="13">
        <v>44693.486738387342</v>
      </c>
      <c r="C227" s="14" t="s">
        <v>28</v>
      </c>
      <c r="D227" s="15">
        <v>71335.864732837683</v>
      </c>
      <c r="E227" s="16">
        <v>12796.990068175337</v>
      </c>
      <c r="F227" s="17">
        <v>-360648.30640507385</v>
      </c>
      <c r="G227" s="25">
        <v>47511.84397421257</v>
      </c>
      <c r="H227" s="26">
        <v>12577</v>
      </c>
      <c r="I227" s="24">
        <v>-366209.6994908413</v>
      </c>
      <c r="J227">
        <f t="shared" si="6"/>
        <v>24466</v>
      </c>
      <c r="K227" s="18">
        <v>25750</v>
      </c>
      <c r="L227">
        <f t="shared" si="7"/>
        <v>1284</v>
      </c>
      <c r="M227" s="19">
        <v>720</v>
      </c>
      <c r="N227" s="20" t="b">
        <v>1</v>
      </c>
      <c r="O227" s="21">
        <v>-75</v>
      </c>
      <c r="P227" s="26" t="b">
        <f>ABS(Table1[[#This Row],[Estimate error]])-Table1[[#This Row],[Standard Deviation]]&lt;0</f>
        <v>0</v>
      </c>
      <c r="U227" s="11"/>
      <c r="V227" s="12"/>
    </row>
    <row r="228" spans="1:22" x14ac:dyDescent="0.2">
      <c r="A228" s="29">
        <v>227</v>
      </c>
      <c r="B228" s="13">
        <v>44693.486738387342</v>
      </c>
      <c r="C228" s="14" t="s">
        <v>29</v>
      </c>
      <c r="D228" s="15">
        <v>71335.864732837683</v>
      </c>
      <c r="E228" s="16">
        <v>12796.990068175337</v>
      </c>
      <c r="F228" s="17">
        <v>-360648.30640507385</v>
      </c>
      <c r="G228" s="25">
        <v>66962.713641439259</v>
      </c>
      <c r="H228" s="26">
        <v>11187</v>
      </c>
      <c r="I228" s="24">
        <v>-324977.11831615516</v>
      </c>
      <c r="J228">
        <f t="shared" si="6"/>
        <v>35974</v>
      </c>
      <c r="K228" s="18">
        <v>36437</v>
      </c>
      <c r="L228">
        <f t="shared" si="7"/>
        <v>463</v>
      </c>
      <c r="M228" s="19">
        <v>765</v>
      </c>
      <c r="N228" s="20" t="b">
        <v>1</v>
      </c>
      <c r="O228" s="21">
        <v>-78</v>
      </c>
      <c r="P228" s="26" t="b">
        <f>ABS(Table1[[#This Row],[Estimate error]])-Table1[[#This Row],[Standard Deviation]]&lt;0</f>
        <v>1</v>
      </c>
      <c r="U228" s="11"/>
      <c r="V228" s="12"/>
    </row>
    <row r="229" spans="1:22" x14ac:dyDescent="0.2">
      <c r="A229" s="29">
        <v>228</v>
      </c>
      <c r="B229" s="13">
        <v>44693.486738387342</v>
      </c>
      <c r="C229" s="14" t="s">
        <v>31</v>
      </c>
      <c r="D229" s="15">
        <v>71335.864732837683</v>
      </c>
      <c r="E229" s="16">
        <v>12796.990068175337</v>
      </c>
      <c r="F229" s="17">
        <v>-360648.30640507385</v>
      </c>
      <c r="G229" s="25">
        <v>74177.481073078248</v>
      </c>
      <c r="H229" s="26">
        <v>11187</v>
      </c>
      <c r="I229" s="24">
        <v>-356447.89152410487</v>
      </c>
      <c r="J229">
        <f t="shared" si="6"/>
        <v>5321</v>
      </c>
      <c r="K229" s="18">
        <v>5812</v>
      </c>
      <c r="L229">
        <f t="shared" si="7"/>
        <v>491</v>
      </c>
      <c r="M229" s="19">
        <v>585</v>
      </c>
      <c r="N229" s="20" t="b">
        <v>1</v>
      </c>
      <c r="O229" s="21">
        <v>-65</v>
      </c>
      <c r="P229" s="26" t="b">
        <f>ABS(Table1[[#This Row],[Estimate error]])-Table1[[#This Row],[Standard Deviation]]&lt;0</f>
        <v>1</v>
      </c>
      <c r="U229" s="11"/>
      <c r="V229" s="12"/>
    </row>
    <row r="230" spans="1:22" x14ac:dyDescent="0.2">
      <c r="A230" s="29">
        <v>229</v>
      </c>
      <c r="B230" s="13">
        <v>44693.486738387342</v>
      </c>
      <c r="C230" s="14" t="s">
        <v>17</v>
      </c>
      <c r="D230" s="15">
        <v>71335.864732837683</v>
      </c>
      <c r="E230" s="16">
        <v>12796.990068175337</v>
      </c>
      <c r="F230" s="17">
        <v>-360648.30640507385</v>
      </c>
      <c r="G230" s="25">
        <v>32876.488350740532</v>
      </c>
      <c r="H230" s="26">
        <v>12372</v>
      </c>
      <c r="I230" s="24">
        <v>-351732.9374828916</v>
      </c>
      <c r="J230">
        <f t="shared" si="6"/>
        <v>39481</v>
      </c>
      <c r="K230" s="18">
        <v>51437</v>
      </c>
      <c r="L230">
        <f t="shared" si="7"/>
        <v>11956</v>
      </c>
      <c r="M230" s="19">
        <v>690</v>
      </c>
      <c r="N230" s="20" t="b">
        <v>1</v>
      </c>
      <c r="O230" s="21">
        <v>-84</v>
      </c>
      <c r="P230" s="26" t="b">
        <f>ABS(Table1[[#This Row],[Estimate error]])-Table1[[#This Row],[Standard Deviation]]&lt;0</f>
        <v>0</v>
      </c>
      <c r="U230" s="11"/>
      <c r="V230" s="12"/>
    </row>
    <row r="231" spans="1:22" x14ac:dyDescent="0.2">
      <c r="A231" s="29">
        <v>230</v>
      </c>
      <c r="B231" s="13">
        <v>44693.486738387342</v>
      </c>
      <c r="C231" s="14" t="s">
        <v>30</v>
      </c>
      <c r="D231" s="15">
        <v>71335.864732837683</v>
      </c>
      <c r="E231" s="16">
        <v>12796.990068175337</v>
      </c>
      <c r="F231" s="17">
        <v>-360648.30640507385</v>
      </c>
      <c r="G231" s="25">
        <v>69764.397321579861</v>
      </c>
      <c r="H231" s="26">
        <v>12050</v>
      </c>
      <c r="I231" s="24">
        <v>-335657.72548585641</v>
      </c>
      <c r="J231">
        <f t="shared" si="6"/>
        <v>25051</v>
      </c>
      <c r="K231" s="18">
        <v>25500</v>
      </c>
      <c r="L231">
        <f t="shared" si="7"/>
        <v>449</v>
      </c>
      <c r="M231" s="19">
        <v>645</v>
      </c>
      <c r="N231" s="20" t="b">
        <v>1</v>
      </c>
      <c r="O231" s="21">
        <v>-73</v>
      </c>
      <c r="P231" s="26" t="b">
        <f>ABS(Table1[[#This Row],[Estimate error]])-Table1[[#This Row],[Standard Deviation]]&lt;0</f>
        <v>1</v>
      </c>
      <c r="U231" s="11"/>
      <c r="V231" s="12"/>
    </row>
    <row r="232" spans="1:22" x14ac:dyDescent="0.2">
      <c r="A232" s="29">
        <v>231</v>
      </c>
      <c r="B232" s="13">
        <v>44693.487285841045</v>
      </c>
      <c r="C232" s="14" t="s">
        <v>28</v>
      </c>
      <c r="D232" s="15">
        <v>64192.899995393636</v>
      </c>
      <c r="E232" s="16">
        <v>12640.660713567138</v>
      </c>
      <c r="F232" s="17">
        <v>-353514.88831870124</v>
      </c>
      <c r="G232" s="25">
        <v>47511.84397421257</v>
      </c>
      <c r="H232" s="26">
        <v>12577</v>
      </c>
      <c r="I232" s="24">
        <v>-366209.6994908413</v>
      </c>
      <c r="J232">
        <f t="shared" si="6"/>
        <v>20962</v>
      </c>
      <c r="K232" s="18">
        <v>21750</v>
      </c>
      <c r="L232">
        <f t="shared" si="7"/>
        <v>788</v>
      </c>
      <c r="M232" s="19">
        <v>705</v>
      </c>
      <c r="N232" s="20" t="b">
        <v>1</v>
      </c>
      <c r="O232" s="21">
        <v>-71</v>
      </c>
      <c r="P232" s="26" t="b">
        <f>ABS(Table1[[#This Row],[Estimate error]])-Table1[[#This Row],[Standard Deviation]]&lt;0</f>
        <v>0</v>
      </c>
      <c r="U232" s="11"/>
      <c r="V232" s="12"/>
    </row>
    <row r="233" spans="1:22" x14ac:dyDescent="0.2">
      <c r="A233" s="29">
        <v>232</v>
      </c>
      <c r="B233" s="13">
        <v>44693.487285841045</v>
      </c>
      <c r="C233" s="14" t="s">
        <v>29</v>
      </c>
      <c r="D233" s="15">
        <v>64192.899995393636</v>
      </c>
      <c r="E233" s="16">
        <v>12640.660713567138</v>
      </c>
      <c r="F233" s="17">
        <v>-353514.88831870124</v>
      </c>
      <c r="G233" s="25">
        <v>66962.713641439259</v>
      </c>
      <c r="H233" s="26">
        <v>11187</v>
      </c>
      <c r="I233" s="24">
        <v>-324977.11831615516</v>
      </c>
      <c r="J233">
        <f t="shared" si="6"/>
        <v>28709</v>
      </c>
      <c r="K233" s="18">
        <v>37625</v>
      </c>
      <c r="L233">
        <f t="shared" si="7"/>
        <v>8916</v>
      </c>
      <c r="M233" s="19">
        <v>0</v>
      </c>
      <c r="N233" s="20" t="b">
        <v>1</v>
      </c>
      <c r="O233" s="21">
        <v>-89</v>
      </c>
      <c r="P233" s="26" t="b">
        <f>ABS(Table1[[#This Row],[Estimate error]])-Table1[[#This Row],[Standard Deviation]]&lt;0</f>
        <v>0</v>
      </c>
      <c r="U233" s="11"/>
      <c r="V233" s="12"/>
    </row>
    <row r="234" spans="1:22" x14ac:dyDescent="0.2">
      <c r="A234" s="29">
        <v>233</v>
      </c>
      <c r="B234" s="13">
        <v>44693.487285841045</v>
      </c>
      <c r="C234" s="14" t="s">
        <v>31</v>
      </c>
      <c r="D234" s="15">
        <v>64192.899995393636</v>
      </c>
      <c r="E234" s="16">
        <v>12640.660713567138</v>
      </c>
      <c r="F234" s="17">
        <v>-353514.88831870124</v>
      </c>
      <c r="G234" s="25">
        <v>74177.481073078248</v>
      </c>
      <c r="H234" s="26">
        <v>11187</v>
      </c>
      <c r="I234" s="24">
        <v>-356447.89152410487</v>
      </c>
      <c r="J234">
        <f t="shared" si="6"/>
        <v>10507</v>
      </c>
      <c r="K234" s="18">
        <v>11500</v>
      </c>
      <c r="L234">
        <f t="shared" si="7"/>
        <v>993</v>
      </c>
      <c r="M234" s="19">
        <v>465</v>
      </c>
      <c r="N234" s="20" t="b">
        <v>1</v>
      </c>
      <c r="O234" s="21">
        <v>-55</v>
      </c>
      <c r="P234" s="26" t="b">
        <f>ABS(Table1[[#This Row],[Estimate error]])-Table1[[#This Row],[Standard Deviation]]&lt;0</f>
        <v>0</v>
      </c>
      <c r="U234" s="11"/>
      <c r="V234" s="12"/>
    </row>
    <row r="235" spans="1:22" x14ac:dyDescent="0.2">
      <c r="A235" s="29">
        <v>234</v>
      </c>
      <c r="B235" s="13">
        <v>44693.487285841045</v>
      </c>
      <c r="C235" s="14" t="s">
        <v>30</v>
      </c>
      <c r="D235" s="15">
        <v>64192.899995393636</v>
      </c>
      <c r="E235" s="16">
        <v>12640.660713567138</v>
      </c>
      <c r="F235" s="17">
        <v>-353514.88831870124</v>
      </c>
      <c r="G235" s="25">
        <v>69764.397321579861</v>
      </c>
      <c r="H235" s="26">
        <v>12050</v>
      </c>
      <c r="I235" s="24">
        <v>-335657.72548585641</v>
      </c>
      <c r="J235">
        <f t="shared" si="6"/>
        <v>18715</v>
      </c>
      <c r="K235" s="18">
        <v>25500</v>
      </c>
      <c r="L235">
        <f t="shared" si="7"/>
        <v>6785</v>
      </c>
      <c r="M235" s="19">
        <v>930</v>
      </c>
      <c r="N235" s="20" t="b">
        <v>1</v>
      </c>
      <c r="O235" s="21">
        <v>-78</v>
      </c>
      <c r="P235" s="26" t="b">
        <f>ABS(Table1[[#This Row],[Estimate error]])-Table1[[#This Row],[Standard Deviation]]&lt;0</f>
        <v>0</v>
      </c>
      <c r="U235" s="11"/>
      <c r="V235" s="12"/>
    </row>
    <row r="236" spans="1:22" x14ac:dyDescent="0.2">
      <c r="A236" s="29">
        <v>235</v>
      </c>
      <c r="B236" s="13">
        <v>44693.487285841045</v>
      </c>
      <c r="C236" s="14" t="s">
        <v>28</v>
      </c>
      <c r="D236" s="15">
        <v>64192.899995393636</v>
      </c>
      <c r="E236" s="16">
        <v>12640.660713567138</v>
      </c>
      <c r="F236" s="17">
        <v>-353514.88831870124</v>
      </c>
      <c r="G236" s="25">
        <v>47511.84397421257</v>
      </c>
      <c r="H236" s="26">
        <v>12577</v>
      </c>
      <c r="I236" s="24">
        <v>-366209.6994908413</v>
      </c>
      <c r="J236">
        <f t="shared" si="6"/>
        <v>20962</v>
      </c>
      <c r="K236" s="18">
        <v>22750</v>
      </c>
      <c r="L236">
        <f t="shared" si="7"/>
        <v>1788</v>
      </c>
      <c r="M236" s="19">
        <v>735</v>
      </c>
      <c r="N236" s="20" t="b">
        <v>1</v>
      </c>
      <c r="O236" s="21">
        <v>-71</v>
      </c>
      <c r="P236" s="26" t="b">
        <f>ABS(Table1[[#This Row],[Estimate error]])-Table1[[#This Row],[Standard Deviation]]&lt;0</f>
        <v>0</v>
      </c>
      <c r="U236" s="11"/>
      <c r="V236" s="12"/>
    </row>
    <row r="237" spans="1:22" x14ac:dyDescent="0.2">
      <c r="A237" s="29">
        <v>236</v>
      </c>
      <c r="B237" s="13">
        <v>44693.487285841045</v>
      </c>
      <c r="C237" s="14" t="s">
        <v>29</v>
      </c>
      <c r="D237" s="15">
        <v>64192.899995393636</v>
      </c>
      <c r="E237" s="16">
        <v>12640.660713567138</v>
      </c>
      <c r="F237" s="17">
        <v>-353514.88831870124</v>
      </c>
      <c r="G237" s="25">
        <v>66962.713641439259</v>
      </c>
      <c r="H237" s="26">
        <v>11187</v>
      </c>
      <c r="I237" s="24">
        <v>-324977.11831615516</v>
      </c>
      <c r="J237">
        <f t="shared" si="6"/>
        <v>28709</v>
      </c>
      <c r="K237" s="18">
        <v>0</v>
      </c>
      <c r="L237">
        <f t="shared" si="7"/>
        <v>0</v>
      </c>
      <c r="M237" s="19">
        <v>0</v>
      </c>
      <c r="N237" s="20" t="b">
        <v>0</v>
      </c>
      <c r="O237" s="21">
        <v>-89</v>
      </c>
      <c r="P237" s="26" t="b">
        <f>ABS(Table1[[#This Row],[Estimate error]])-Table1[[#This Row],[Standard Deviation]]&lt;0</f>
        <v>0</v>
      </c>
      <c r="U237" s="11"/>
      <c r="V237" s="12"/>
    </row>
    <row r="238" spans="1:22" x14ac:dyDescent="0.2">
      <c r="A238" s="29">
        <v>237</v>
      </c>
      <c r="B238" s="13">
        <v>44693.487285841045</v>
      </c>
      <c r="C238" s="14" t="s">
        <v>31</v>
      </c>
      <c r="D238" s="15">
        <v>64192.899995393636</v>
      </c>
      <c r="E238" s="16">
        <v>12640.660713567138</v>
      </c>
      <c r="F238" s="17">
        <v>-353514.88831870124</v>
      </c>
      <c r="G238" s="25">
        <v>74177.481073078248</v>
      </c>
      <c r="H238" s="26">
        <v>11187</v>
      </c>
      <c r="I238" s="24">
        <v>-356447.89152410487</v>
      </c>
      <c r="J238">
        <f t="shared" si="6"/>
        <v>10507</v>
      </c>
      <c r="K238" s="18">
        <v>11687</v>
      </c>
      <c r="L238">
        <f t="shared" si="7"/>
        <v>1180</v>
      </c>
      <c r="M238" s="19">
        <v>465</v>
      </c>
      <c r="N238" s="20" t="b">
        <v>1</v>
      </c>
      <c r="O238" s="21">
        <v>-55</v>
      </c>
      <c r="P238" s="26" t="b">
        <f>ABS(Table1[[#This Row],[Estimate error]])-Table1[[#This Row],[Standard Deviation]]&lt;0</f>
        <v>0</v>
      </c>
      <c r="U238" s="11"/>
      <c r="V238" s="12"/>
    </row>
    <row r="239" spans="1:22" x14ac:dyDescent="0.2">
      <c r="A239" s="29">
        <v>238</v>
      </c>
      <c r="B239" s="13">
        <v>44693.487285841045</v>
      </c>
      <c r="C239" s="14" t="s">
        <v>30</v>
      </c>
      <c r="D239" s="15">
        <v>64192.899995393636</v>
      </c>
      <c r="E239" s="16">
        <v>12640.660713567138</v>
      </c>
      <c r="F239" s="17">
        <v>-353514.88831870124</v>
      </c>
      <c r="G239" s="25">
        <v>69764.397321579861</v>
      </c>
      <c r="H239" s="26">
        <v>12050</v>
      </c>
      <c r="I239" s="24">
        <v>-335657.72548585641</v>
      </c>
      <c r="J239">
        <f t="shared" si="6"/>
        <v>18715</v>
      </c>
      <c r="K239" s="18">
        <v>24437</v>
      </c>
      <c r="L239">
        <f t="shared" si="7"/>
        <v>5722</v>
      </c>
      <c r="M239" s="19">
        <v>1185</v>
      </c>
      <c r="N239" s="20" t="b">
        <v>1</v>
      </c>
      <c r="O239" s="21">
        <v>-78</v>
      </c>
      <c r="P239" s="26" t="b">
        <f>ABS(Table1[[#This Row],[Estimate error]])-Table1[[#This Row],[Standard Deviation]]&lt;0</f>
        <v>0</v>
      </c>
      <c r="U239" s="11"/>
      <c r="V239" s="12"/>
    </row>
    <row r="240" spans="1:22" x14ac:dyDescent="0.2">
      <c r="A240" s="29">
        <v>239</v>
      </c>
      <c r="B240" s="13">
        <v>44693.487285841045</v>
      </c>
      <c r="C240" s="14" t="s">
        <v>28</v>
      </c>
      <c r="D240" s="15">
        <v>64192.899995393636</v>
      </c>
      <c r="E240" s="16">
        <v>12640.660713567138</v>
      </c>
      <c r="F240" s="17">
        <v>-353514.88831870124</v>
      </c>
      <c r="G240" s="25">
        <v>47511.84397421257</v>
      </c>
      <c r="H240" s="26">
        <v>12577</v>
      </c>
      <c r="I240" s="24">
        <v>-366209.6994908413</v>
      </c>
      <c r="J240">
        <f t="shared" si="6"/>
        <v>20962</v>
      </c>
      <c r="K240" s="18">
        <v>21750</v>
      </c>
      <c r="L240">
        <f t="shared" si="7"/>
        <v>788</v>
      </c>
      <c r="M240" s="19">
        <v>765</v>
      </c>
      <c r="N240" s="20" t="b">
        <v>1</v>
      </c>
      <c r="O240" s="21">
        <v>-71</v>
      </c>
      <c r="P240" s="26" t="b">
        <f>ABS(Table1[[#This Row],[Estimate error]])-Table1[[#This Row],[Standard Deviation]]&lt;0</f>
        <v>0</v>
      </c>
      <c r="U240" s="11"/>
      <c r="V240" s="12"/>
    </row>
    <row r="241" spans="1:22" x14ac:dyDescent="0.2">
      <c r="A241" s="29">
        <v>240</v>
      </c>
      <c r="B241" s="13">
        <v>44693.487285841045</v>
      </c>
      <c r="C241" s="14" t="s">
        <v>29</v>
      </c>
      <c r="D241" s="15">
        <v>64192.899995393636</v>
      </c>
      <c r="E241" s="16">
        <v>12640.660713567138</v>
      </c>
      <c r="F241" s="17">
        <v>-353514.88831870124</v>
      </c>
      <c r="G241" s="25">
        <v>66962.713641439259</v>
      </c>
      <c r="H241" s="26">
        <v>11187</v>
      </c>
      <c r="I241" s="24">
        <v>-324977.11831615516</v>
      </c>
      <c r="J241">
        <f t="shared" si="6"/>
        <v>28709</v>
      </c>
      <c r="K241" s="18">
        <v>36750</v>
      </c>
      <c r="L241">
        <f t="shared" si="7"/>
        <v>8041</v>
      </c>
      <c r="M241" s="19">
        <v>780</v>
      </c>
      <c r="N241" s="20" t="b">
        <v>1</v>
      </c>
      <c r="O241" s="21">
        <v>-89</v>
      </c>
      <c r="P241" s="26" t="b">
        <f>ABS(Table1[[#This Row],[Estimate error]])-Table1[[#This Row],[Standard Deviation]]&lt;0</f>
        <v>0</v>
      </c>
      <c r="U241" s="11"/>
      <c r="V241" s="12"/>
    </row>
    <row r="242" spans="1:22" x14ac:dyDescent="0.2">
      <c r="A242" s="29">
        <v>241</v>
      </c>
      <c r="B242" s="13">
        <v>44693.487285841045</v>
      </c>
      <c r="C242" s="14" t="s">
        <v>31</v>
      </c>
      <c r="D242" s="15">
        <v>64192.899995393636</v>
      </c>
      <c r="E242" s="16">
        <v>12640.660713567138</v>
      </c>
      <c r="F242" s="17">
        <v>-353514.88831870124</v>
      </c>
      <c r="G242" s="25">
        <v>74177.481073078248</v>
      </c>
      <c r="H242" s="26">
        <v>11187</v>
      </c>
      <c r="I242" s="24">
        <v>-356447.89152410487</v>
      </c>
      <c r="J242">
        <f t="shared" si="6"/>
        <v>10507</v>
      </c>
      <c r="K242" s="18">
        <v>12000</v>
      </c>
      <c r="L242">
        <f t="shared" si="7"/>
        <v>1493</v>
      </c>
      <c r="M242" s="19">
        <v>720</v>
      </c>
      <c r="N242" s="20" t="b">
        <v>1</v>
      </c>
      <c r="O242" s="21">
        <v>-55</v>
      </c>
      <c r="P242" s="26" t="b">
        <f>ABS(Table1[[#This Row],[Estimate error]])-Table1[[#This Row],[Standard Deviation]]&lt;0</f>
        <v>0</v>
      </c>
      <c r="U242" s="11"/>
      <c r="V242" s="12"/>
    </row>
    <row r="243" spans="1:22" x14ac:dyDescent="0.2">
      <c r="A243" s="29">
        <v>242</v>
      </c>
      <c r="B243" s="13">
        <v>44693.487285841045</v>
      </c>
      <c r="C243" s="14" t="s">
        <v>30</v>
      </c>
      <c r="D243" s="15">
        <v>64192.899995393636</v>
      </c>
      <c r="E243" s="16">
        <v>12640.660713567138</v>
      </c>
      <c r="F243" s="17">
        <v>-353514.88831870124</v>
      </c>
      <c r="G243" s="25">
        <v>69764.397321579861</v>
      </c>
      <c r="H243" s="26">
        <v>12050</v>
      </c>
      <c r="I243" s="24">
        <v>-335657.72548585641</v>
      </c>
      <c r="J243">
        <f t="shared" si="6"/>
        <v>18715</v>
      </c>
      <c r="K243" s="18">
        <v>26500</v>
      </c>
      <c r="L243">
        <f t="shared" si="7"/>
        <v>7785</v>
      </c>
      <c r="M243" s="19">
        <v>540</v>
      </c>
      <c r="N243" s="20" t="b">
        <v>1</v>
      </c>
      <c r="O243" s="21">
        <v>-78</v>
      </c>
      <c r="P243" s="26" t="b">
        <f>ABS(Table1[[#This Row],[Estimate error]])-Table1[[#This Row],[Standard Deviation]]&lt;0</f>
        <v>0</v>
      </c>
      <c r="U243" s="11"/>
      <c r="V243" s="12"/>
    </row>
    <row r="244" spans="1:22" x14ac:dyDescent="0.2">
      <c r="A244" s="29">
        <v>243</v>
      </c>
      <c r="B244" s="13">
        <v>44693.487285841045</v>
      </c>
      <c r="C244" s="14" t="s">
        <v>28</v>
      </c>
      <c r="D244" s="15">
        <v>64192.899995393636</v>
      </c>
      <c r="E244" s="16">
        <v>12640.660713567138</v>
      </c>
      <c r="F244" s="17">
        <v>-353514.88831870124</v>
      </c>
      <c r="G244" s="25">
        <v>47511.84397421257</v>
      </c>
      <c r="H244" s="26">
        <v>12577</v>
      </c>
      <c r="I244" s="24">
        <v>-366209.6994908413</v>
      </c>
      <c r="J244">
        <f t="shared" si="6"/>
        <v>20962</v>
      </c>
      <c r="K244" s="18">
        <v>21250</v>
      </c>
      <c r="L244">
        <f t="shared" si="7"/>
        <v>288</v>
      </c>
      <c r="M244" s="19">
        <v>720</v>
      </c>
      <c r="N244" s="20" t="b">
        <v>1</v>
      </c>
      <c r="O244" s="21">
        <v>-71</v>
      </c>
      <c r="P244" s="26" t="b">
        <f>ABS(Table1[[#This Row],[Estimate error]])-Table1[[#This Row],[Standard Deviation]]&lt;0</f>
        <v>1</v>
      </c>
      <c r="U244" s="11"/>
      <c r="V244" s="12"/>
    </row>
    <row r="245" spans="1:22" x14ac:dyDescent="0.2">
      <c r="A245" s="29">
        <v>244</v>
      </c>
      <c r="B245" s="13">
        <v>44693.487285841045</v>
      </c>
      <c r="C245" s="14" t="s">
        <v>29</v>
      </c>
      <c r="D245" s="15">
        <v>64192.899995393636</v>
      </c>
      <c r="E245" s="16">
        <v>12640.660713567138</v>
      </c>
      <c r="F245" s="17">
        <v>-353514.88831870124</v>
      </c>
      <c r="G245" s="25">
        <v>66962.713641439259</v>
      </c>
      <c r="H245" s="26">
        <v>11187</v>
      </c>
      <c r="I245" s="24">
        <v>-324977.11831615516</v>
      </c>
      <c r="J245">
        <f t="shared" si="6"/>
        <v>28709</v>
      </c>
      <c r="K245" s="18">
        <v>36000</v>
      </c>
      <c r="L245">
        <f t="shared" si="7"/>
        <v>7291</v>
      </c>
      <c r="M245" s="19">
        <v>0</v>
      </c>
      <c r="N245" s="20" t="b">
        <v>1</v>
      </c>
      <c r="O245" s="21">
        <v>-89</v>
      </c>
      <c r="P245" s="26" t="b">
        <f>ABS(Table1[[#This Row],[Estimate error]])-Table1[[#This Row],[Standard Deviation]]&lt;0</f>
        <v>0</v>
      </c>
      <c r="U245" s="11"/>
      <c r="V245" s="12"/>
    </row>
    <row r="246" spans="1:22" x14ac:dyDescent="0.2">
      <c r="A246" s="29">
        <v>245</v>
      </c>
      <c r="B246" s="13">
        <v>44693.487285841045</v>
      </c>
      <c r="C246" s="14" t="s">
        <v>31</v>
      </c>
      <c r="D246" s="15">
        <v>64192.899995393636</v>
      </c>
      <c r="E246" s="16">
        <v>12640.660713567138</v>
      </c>
      <c r="F246" s="17">
        <v>-353514.88831870124</v>
      </c>
      <c r="G246" s="25">
        <v>74177.481073078248</v>
      </c>
      <c r="H246" s="26">
        <v>11187</v>
      </c>
      <c r="I246" s="24">
        <v>-356447.89152410487</v>
      </c>
      <c r="J246">
        <f t="shared" si="6"/>
        <v>10507</v>
      </c>
      <c r="K246" s="18">
        <v>12125</v>
      </c>
      <c r="L246">
        <f t="shared" si="7"/>
        <v>1618</v>
      </c>
      <c r="M246" s="19">
        <v>465</v>
      </c>
      <c r="N246" s="20" t="b">
        <v>1</v>
      </c>
      <c r="O246" s="21">
        <v>-55</v>
      </c>
      <c r="P246" s="26" t="b">
        <f>ABS(Table1[[#This Row],[Estimate error]])-Table1[[#This Row],[Standard Deviation]]&lt;0</f>
        <v>0</v>
      </c>
      <c r="U246" s="11"/>
      <c r="V246" s="12"/>
    </row>
    <row r="247" spans="1:22" x14ac:dyDescent="0.2">
      <c r="A247" s="29">
        <v>246</v>
      </c>
      <c r="B247" s="13">
        <v>44693.487285841045</v>
      </c>
      <c r="C247" s="14" t="s">
        <v>30</v>
      </c>
      <c r="D247" s="15">
        <v>64192.899995393636</v>
      </c>
      <c r="E247" s="16">
        <v>12640.660713567138</v>
      </c>
      <c r="F247" s="17">
        <v>-353514.88831870124</v>
      </c>
      <c r="G247" s="25">
        <v>69764.397321579861</v>
      </c>
      <c r="H247" s="26">
        <v>12050</v>
      </c>
      <c r="I247" s="24">
        <v>-335657.72548585641</v>
      </c>
      <c r="J247">
        <f t="shared" si="6"/>
        <v>18715</v>
      </c>
      <c r="K247" s="18">
        <v>26500</v>
      </c>
      <c r="L247">
        <f t="shared" si="7"/>
        <v>7785</v>
      </c>
      <c r="M247" s="19">
        <v>855</v>
      </c>
      <c r="N247" s="20" t="b">
        <v>1</v>
      </c>
      <c r="O247" s="21">
        <v>-78</v>
      </c>
      <c r="P247" s="26" t="b">
        <f>ABS(Table1[[#This Row],[Estimate error]])-Table1[[#This Row],[Standard Deviation]]&lt;0</f>
        <v>0</v>
      </c>
      <c r="U247" s="11"/>
      <c r="V247" s="12"/>
    </row>
    <row r="248" spans="1:22" x14ac:dyDescent="0.2">
      <c r="A248" s="29">
        <v>247</v>
      </c>
      <c r="B248" s="13">
        <v>44693.487285841045</v>
      </c>
      <c r="C248" s="14" t="s">
        <v>28</v>
      </c>
      <c r="D248" s="15">
        <v>64192.899995393636</v>
      </c>
      <c r="E248" s="16">
        <v>12640.660713567138</v>
      </c>
      <c r="F248" s="17">
        <v>-353514.88831870124</v>
      </c>
      <c r="G248" s="25">
        <v>47511.84397421257</v>
      </c>
      <c r="H248" s="26">
        <v>12577</v>
      </c>
      <c r="I248" s="24">
        <v>-366209.6994908413</v>
      </c>
      <c r="J248">
        <f t="shared" si="6"/>
        <v>20962</v>
      </c>
      <c r="K248" s="18">
        <v>21437</v>
      </c>
      <c r="L248">
        <f t="shared" si="7"/>
        <v>475</v>
      </c>
      <c r="M248" s="19">
        <v>585</v>
      </c>
      <c r="N248" s="20" t="b">
        <v>1</v>
      </c>
      <c r="O248" s="21">
        <v>-71</v>
      </c>
      <c r="P248" s="26" t="b">
        <f>ABS(Table1[[#This Row],[Estimate error]])-Table1[[#This Row],[Standard Deviation]]&lt;0</f>
        <v>1</v>
      </c>
      <c r="U248" s="11"/>
      <c r="V248" s="12"/>
    </row>
    <row r="249" spans="1:22" x14ac:dyDescent="0.2">
      <c r="A249" s="29">
        <v>248</v>
      </c>
      <c r="B249" s="13">
        <v>44693.487285841045</v>
      </c>
      <c r="C249" s="14" t="s">
        <v>29</v>
      </c>
      <c r="D249" s="15">
        <v>64192.899995393636</v>
      </c>
      <c r="E249" s="16">
        <v>12640.660713567138</v>
      </c>
      <c r="F249" s="17">
        <v>-353514.88831870124</v>
      </c>
      <c r="G249" s="25">
        <v>66962.713641439259</v>
      </c>
      <c r="H249" s="26">
        <v>11187</v>
      </c>
      <c r="I249" s="24">
        <v>-324977.11831615516</v>
      </c>
      <c r="J249">
        <f t="shared" si="6"/>
        <v>28709</v>
      </c>
      <c r="K249" s="18">
        <v>0</v>
      </c>
      <c r="L249">
        <f t="shared" si="7"/>
        <v>0</v>
      </c>
      <c r="M249" s="19">
        <v>0</v>
      </c>
      <c r="N249" s="20" t="b">
        <v>0</v>
      </c>
      <c r="O249" s="21">
        <v>-89</v>
      </c>
      <c r="P249" s="26" t="b">
        <f>ABS(Table1[[#This Row],[Estimate error]])-Table1[[#This Row],[Standard Deviation]]&lt;0</f>
        <v>0</v>
      </c>
      <c r="U249" s="11"/>
      <c r="V249" s="12"/>
    </row>
    <row r="250" spans="1:22" x14ac:dyDescent="0.2">
      <c r="A250" s="29">
        <v>249</v>
      </c>
      <c r="B250" s="13">
        <v>44693.487285841045</v>
      </c>
      <c r="C250" s="14" t="s">
        <v>31</v>
      </c>
      <c r="D250" s="15">
        <v>64192.899995393636</v>
      </c>
      <c r="E250" s="16">
        <v>12640.660713567138</v>
      </c>
      <c r="F250" s="17">
        <v>-353514.88831870124</v>
      </c>
      <c r="G250" s="25">
        <v>74177.481073078248</v>
      </c>
      <c r="H250" s="26">
        <v>11187</v>
      </c>
      <c r="I250" s="24">
        <v>-356447.89152410487</v>
      </c>
      <c r="J250">
        <f t="shared" si="6"/>
        <v>10507</v>
      </c>
      <c r="K250" s="18">
        <v>11812</v>
      </c>
      <c r="L250">
        <f t="shared" si="7"/>
        <v>1305</v>
      </c>
      <c r="M250" s="19">
        <v>705</v>
      </c>
      <c r="N250" s="20" t="b">
        <v>1</v>
      </c>
      <c r="O250" s="21">
        <v>-55</v>
      </c>
      <c r="P250" s="26" t="b">
        <f>ABS(Table1[[#This Row],[Estimate error]])-Table1[[#This Row],[Standard Deviation]]&lt;0</f>
        <v>0</v>
      </c>
      <c r="U250" s="11"/>
      <c r="V250" s="12"/>
    </row>
    <row r="251" spans="1:22" x14ac:dyDescent="0.2">
      <c r="A251" s="29">
        <v>250</v>
      </c>
      <c r="B251" s="13">
        <v>44693.487285841045</v>
      </c>
      <c r="C251" s="14" t="s">
        <v>30</v>
      </c>
      <c r="D251" s="15">
        <v>64192.899995393636</v>
      </c>
      <c r="E251" s="16">
        <v>12640.660713567138</v>
      </c>
      <c r="F251" s="17">
        <v>-353514.88831870124</v>
      </c>
      <c r="G251" s="25">
        <v>69764.397321579861</v>
      </c>
      <c r="H251" s="26">
        <v>12050</v>
      </c>
      <c r="I251" s="24">
        <v>-335657.72548585641</v>
      </c>
      <c r="J251">
        <f t="shared" si="6"/>
        <v>18715</v>
      </c>
      <c r="K251" s="18">
        <v>25312</v>
      </c>
      <c r="L251">
        <f t="shared" si="7"/>
        <v>6597</v>
      </c>
      <c r="M251" s="19">
        <v>1245</v>
      </c>
      <c r="N251" s="20" t="b">
        <v>1</v>
      </c>
      <c r="O251" s="21">
        <v>-78</v>
      </c>
      <c r="P251" s="26" t="b">
        <f>ABS(Table1[[#This Row],[Estimate error]])-Table1[[#This Row],[Standard Deviation]]&lt;0</f>
        <v>0</v>
      </c>
      <c r="U251" s="11"/>
      <c r="V251" s="12"/>
    </row>
    <row r="252" spans="1:22" x14ac:dyDescent="0.2">
      <c r="A252" s="29">
        <v>251</v>
      </c>
      <c r="B252" s="13">
        <v>44693.487968171292</v>
      </c>
      <c r="C252" s="14" t="s">
        <v>28</v>
      </c>
      <c r="D252" s="15">
        <v>52812.070654465715</v>
      </c>
      <c r="E252" s="16">
        <v>12682.878997112639</v>
      </c>
      <c r="F252" s="17">
        <v>-371645.01595541264</v>
      </c>
      <c r="G252" s="25">
        <v>47511.84397421257</v>
      </c>
      <c r="H252" s="26">
        <v>12577</v>
      </c>
      <c r="I252" s="24">
        <v>-366209.6994908413</v>
      </c>
      <c r="J252">
        <f t="shared" si="6"/>
        <v>7593</v>
      </c>
      <c r="K252" s="18">
        <v>8250</v>
      </c>
      <c r="L252">
        <f t="shared" si="7"/>
        <v>657</v>
      </c>
      <c r="M252" s="19">
        <v>750</v>
      </c>
      <c r="N252" s="20" t="b">
        <v>1</v>
      </c>
      <c r="O252" s="21">
        <v>-72</v>
      </c>
      <c r="P252" s="26" t="b">
        <f>ABS(Table1[[#This Row],[Estimate error]])-Table1[[#This Row],[Standard Deviation]]&lt;0</f>
        <v>1</v>
      </c>
      <c r="U252" s="11"/>
      <c r="V252" s="12"/>
    </row>
    <row r="253" spans="1:22" x14ac:dyDescent="0.2">
      <c r="A253" s="29">
        <v>252</v>
      </c>
      <c r="B253" s="13">
        <v>44693.487968171292</v>
      </c>
      <c r="C253" s="14" t="s">
        <v>17</v>
      </c>
      <c r="D253" s="15">
        <v>52812.070654465715</v>
      </c>
      <c r="E253" s="16">
        <v>12682.878997112639</v>
      </c>
      <c r="F253" s="17">
        <v>-371645.01595541264</v>
      </c>
      <c r="G253" s="25">
        <v>32876.488350740532</v>
      </c>
      <c r="H253" s="26">
        <v>12372</v>
      </c>
      <c r="I253" s="24">
        <v>-351732.9374828916</v>
      </c>
      <c r="J253">
        <f t="shared" si="6"/>
        <v>28178</v>
      </c>
      <c r="K253" s="18">
        <v>28750</v>
      </c>
      <c r="L253">
        <f t="shared" si="7"/>
        <v>572</v>
      </c>
      <c r="M253" s="19">
        <v>720</v>
      </c>
      <c r="N253" s="20" t="b">
        <v>1</v>
      </c>
      <c r="O253" s="21">
        <v>-78</v>
      </c>
      <c r="P253" s="26" t="b">
        <f>ABS(Table1[[#This Row],[Estimate error]])-Table1[[#This Row],[Standard Deviation]]&lt;0</f>
        <v>1</v>
      </c>
      <c r="U253" s="11"/>
      <c r="V253" s="12"/>
    </row>
    <row r="254" spans="1:22" x14ac:dyDescent="0.2">
      <c r="A254" s="29">
        <v>253</v>
      </c>
      <c r="B254" s="13">
        <v>44693.487968171292</v>
      </c>
      <c r="C254" s="14" t="s">
        <v>31</v>
      </c>
      <c r="D254" s="15">
        <v>52812.070654465715</v>
      </c>
      <c r="E254" s="16">
        <v>12682.878997112639</v>
      </c>
      <c r="F254" s="17">
        <v>-371645.01595541264</v>
      </c>
      <c r="G254" s="25">
        <v>74177.481073078248</v>
      </c>
      <c r="H254" s="26">
        <v>11187</v>
      </c>
      <c r="I254" s="24">
        <v>-356447.89152410487</v>
      </c>
      <c r="J254">
        <f t="shared" si="6"/>
        <v>26262</v>
      </c>
      <c r="K254" s="18">
        <v>0</v>
      </c>
      <c r="L254">
        <f t="shared" si="7"/>
        <v>0</v>
      </c>
      <c r="M254" s="19">
        <v>0</v>
      </c>
      <c r="N254" s="20" t="b">
        <v>0</v>
      </c>
      <c r="O254" s="21">
        <v>-89</v>
      </c>
      <c r="P254" s="26" t="b">
        <f>ABS(Table1[[#This Row],[Estimate error]])-Table1[[#This Row],[Standard Deviation]]&lt;0</f>
        <v>0</v>
      </c>
      <c r="U254" s="11"/>
      <c r="V254" s="12"/>
    </row>
    <row r="255" spans="1:22" x14ac:dyDescent="0.2">
      <c r="A255" s="29">
        <v>254</v>
      </c>
      <c r="B255" s="13">
        <v>44693.487968171292</v>
      </c>
      <c r="C255" s="14" t="s">
        <v>28</v>
      </c>
      <c r="D255" s="15">
        <v>52812.070654465715</v>
      </c>
      <c r="E255" s="16">
        <v>12682.878997112639</v>
      </c>
      <c r="F255" s="17">
        <v>-371645.01595541264</v>
      </c>
      <c r="G255" s="25">
        <v>47511.84397421257</v>
      </c>
      <c r="H255" s="26">
        <v>12577</v>
      </c>
      <c r="I255" s="24">
        <v>-366209.6994908413</v>
      </c>
      <c r="J255">
        <f t="shared" si="6"/>
        <v>7593</v>
      </c>
      <c r="K255" s="18">
        <v>8250</v>
      </c>
      <c r="L255">
        <f t="shared" si="7"/>
        <v>657</v>
      </c>
      <c r="M255" s="19">
        <v>675</v>
      </c>
      <c r="N255" s="20" t="b">
        <v>1</v>
      </c>
      <c r="O255" s="21">
        <v>-72</v>
      </c>
      <c r="P255" s="26" t="b">
        <f>ABS(Table1[[#This Row],[Estimate error]])-Table1[[#This Row],[Standard Deviation]]&lt;0</f>
        <v>1</v>
      </c>
      <c r="U255" s="11"/>
      <c r="V255" s="12"/>
    </row>
    <row r="256" spans="1:22" x14ac:dyDescent="0.2">
      <c r="A256" s="29">
        <v>255</v>
      </c>
      <c r="B256" s="13">
        <v>44693.487968171292</v>
      </c>
      <c r="C256" s="14" t="s">
        <v>17</v>
      </c>
      <c r="D256" s="15">
        <v>52812.070654465715</v>
      </c>
      <c r="E256" s="16">
        <v>12682.878997112639</v>
      </c>
      <c r="F256" s="17">
        <v>-371645.01595541264</v>
      </c>
      <c r="G256" s="25">
        <v>32876.488350740532</v>
      </c>
      <c r="H256" s="26">
        <v>12372</v>
      </c>
      <c r="I256" s="24">
        <v>-351732.9374828916</v>
      </c>
      <c r="J256">
        <f t="shared" si="6"/>
        <v>28178</v>
      </c>
      <c r="K256" s="18">
        <v>28937</v>
      </c>
      <c r="L256">
        <f t="shared" si="7"/>
        <v>759</v>
      </c>
      <c r="M256" s="19">
        <v>645</v>
      </c>
      <c r="N256" s="20" t="b">
        <v>1</v>
      </c>
      <c r="O256" s="21">
        <v>-78</v>
      </c>
      <c r="P256" s="26" t="b">
        <f>ABS(Table1[[#This Row],[Estimate error]])-Table1[[#This Row],[Standard Deviation]]&lt;0</f>
        <v>0</v>
      </c>
      <c r="U256" s="11"/>
      <c r="V256" s="12"/>
    </row>
    <row r="257" spans="1:22" x14ac:dyDescent="0.2">
      <c r="A257" s="29">
        <v>256</v>
      </c>
      <c r="B257" s="13">
        <v>44693.487968171292</v>
      </c>
      <c r="C257" s="14" t="s">
        <v>31</v>
      </c>
      <c r="D257" s="15">
        <v>52812.070654465715</v>
      </c>
      <c r="E257" s="16">
        <v>12682.878997112639</v>
      </c>
      <c r="F257" s="17">
        <v>-371645.01595541264</v>
      </c>
      <c r="G257" s="25">
        <v>74177.481073078248</v>
      </c>
      <c r="H257" s="26">
        <v>11187</v>
      </c>
      <c r="I257" s="24">
        <v>-356447.89152410487</v>
      </c>
      <c r="J257">
        <f t="shared" si="6"/>
        <v>26262</v>
      </c>
      <c r="K257" s="18">
        <v>0</v>
      </c>
      <c r="L257">
        <f t="shared" si="7"/>
        <v>0</v>
      </c>
      <c r="M257" s="19">
        <v>0</v>
      </c>
      <c r="N257" s="20" t="b">
        <v>0</v>
      </c>
      <c r="O257" s="21">
        <v>-89</v>
      </c>
      <c r="P257" s="26" t="b">
        <f>ABS(Table1[[#This Row],[Estimate error]])-Table1[[#This Row],[Standard Deviation]]&lt;0</f>
        <v>0</v>
      </c>
      <c r="U257" s="11"/>
      <c r="V257" s="12"/>
    </row>
    <row r="258" spans="1:22" x14ac:dyDescent="0.2">
      <c r="A258" s="29">
        <v>257</v>
      </c>
      <c r="B258" s="13">
        <v>44693.487968171292</v>
      </c>
      <c r="C258" s="14" t="s">
        <v>28</v>
      </c>
      <c r="D258" s="15">
        <v>52812.070654465715</v>
      </c>
      <c r="E258" s="16">
        <v>12682.878997112639</v>
      </c>
      <c r="F258" s="17">
        <v>-371645.01595541264</v>
      </c>
      <c r="G258" s="25">
        <v>47511.84397421257</v>
      </c>
      <c r="H258" s="26">
        <v>12577</v>
      </c>
      <c r="I258" s="24">
        <v>-366209.6994908413</v>
      </c>
      <c r="J258">
        <f t="shared" ref="J258:J321" si="8">ROUND(SQRT((G258-D258)^2+(H258-E258)^2+(I258-F258)^2),0)</f>
        <v>7593</v>
      </c>
      <c r="K258" s="18">
        <v>9125</v>
      </c>
      <c r="L258">
        <f t="shared" ref="L258:L321" si="9">ROUND(IF(N258,K258-J258,0),1)</f>
        <v>1532</v>
      </c>
      <c r="M258" s="19">
        <v>630</v>
      </c>
      <c r="N258" s="20" t="b">
        <v>1</v>
      </c>
      <c r="O258" s="21">
        <v>-72</v>
      </c>
      <c r="P258" s="26" t="b">
        <f>ABS(Table1[[#This Row],[Estimate error]])-Table1[[#This Row],[Standard Deviation]]&lt;0</f>
        <v>0</v>
      </c>
      <c r="U258" s="11"/>
      <c r="V258" s="12"/>
    </row>
    <row r="259" spans="1:22" x14ac:dyDescent="0.2">
      <c r="A259" s="29">
        <v>258</v>
      </c>
      <c r="B259" s="13">
        <v>44693.487968171292</v>
      </c>
      <c r="C259" s="14" t="s">
        <v>17</v>
      </c>
      <c r="D259" s="15">
        <v>52812.070654465715</v>
      </c>
      <c r="E259" s="16">
        <v>12682.878997112639</v>
      </c>
      <c r="F259" s="17">
        <v>-371645.01595541264</v>
      </c>
      <c r="G259" s="25">
        <v>32876.488350740532</v>
      </c>
      <c r="H259" s="26">
        <v>12372</v>
      </c>
      <c r="I259" s="24">
        <v>-351732.9374828916</v>
      </c>
      <c r="J259">
        <f t="shared" si="8"/>
        <v>28178</v>
      </c>
      <c r="K259" s="18">
        <v>29250</v>
      </c>
      <c r="L259">
        <f t="shared" si="9"/>
        <v>1072</v>
      </c>
      <c r="M259" s="19">
        <v>780</v>
      </c>
      <c r="N259" s="20" t="b">
        <v>1</v>
      </c>
      <c r="O259" s="21">
        <v>-78</v>
      </c>
      <c r="P259" s="26" t="b">
        <f>ABS(Table1[[#This Row],[Estimate error]])-Table1[[#This Row],[Standard Deviation]]&lt;0</f>
        <v>0</v>
      </c>
      <c r="U259" s="11"/>
      <c r="V259" s="12"/>
    </row>
    <row r="260" spans="1:22" x14ac:dyDescent="0.2">
      <c r="A260" s="29">
        <v>259</v>
      </c>
      <c r="B260" s="13">
        <v>44693.487968171292</v>
      </c>
      <c r="C260" s="14" t="s">
        <v>31</v>
      </c>
      <c r="D260" s="15">
        <v>52812.070654465715</v>
      </c>
      <c r="E260" s="16">
        <v>12682.878997112639</v>
      </c>
      <c r="F260" s="17">
        <v>-371645.01595541264</v>
      </c>
      <c r="G260" s="25">
        <v>74177.481073078248</v>
      </c>
      <c r="H260" s="26">
        <v>11187</v>
      </c>
      <c r="I260" s="24">
        <v>-356447.89152410487</v>
      </c>
      <c r="J260">
        <f t="shared" si="8"/>
        <v>26262</v>
      </c>
      <c r="K260" s="18">
        <v>0</v>
      </c>
      <c r="L260">
        <f t="shared" si="9"/>
        <v>0</v>
      </c>
      <c r="M260" s="19">
        <v>0</v>
      </c>
      <c r="N260" s="20" t="b">
        <v>0</v>
      </c>
      <c r="O260" s="21">
        <v>-89</v>
      </c>
      <c r="P260" s="26" t="b">
        <f>ABS(Table1[[#This Row],[Estimate error]])-Table1[[#This Row],[Standard Deviation]]&lt;0</f>
        <v>0</v>
      </c>
      <c r="U260" s="11"/>
      <c r="V260" s="12"/>
    </row>
    <row r="261" spans="1:22" x14ac:dyDescent="0.2">
      <c r="A261" s="29">
        <v>260</v>
      </c>
      <c r="B261" s="13">
        <v>44693.487968171292</v>
      </c>
      <c r="C261" s="14" t="s">
        <v>28</v>
      </c>
      <c r="D261" s="15">
        <v>52812.070654465715</v>
      </c>
      <c r="E261" s="16">
        <v>12682.878997112639</v>
      </c>
      <c r="F261" s="17">
        <v>-371645.01595541264</v>
      </c>
      <c r="G261" s="25">
        <v>47511.84397421257</v>
      </c>
      <c r="H261" s="26">
        <v>12577</v>
      </c>
      <c r="I261" s="24">
        <v>-366209.6994908413</v>
      </c>
      <c r="J261">
        <f t="shared" si="8"/>
        <v>7593</v>
      </c>
      <c r="K261" s="18">
        <v>8687</v>
      </c>
      <c r="L261">
        <f t="shared" si="9"/>
        <v>1094</v>
      </c>
      <c r="M261" s="19">
        <v>750</v>
      </c>
      <c r="N261" s="20" t="b">
        <v>1</v>
      </c>
      <c r="O261" s="21">
        <v>-72</v>
      </c>
      <c r="P261" s="26" t="b">
        <f>ABS(Table1[[#This Row],[Estimate error]])-Table1[[#This Row],[Standard Deviation]]&lt;0</f>
        <v>0</v>
      </c>
      <c r="U261" s="11"/>
      <c r="V261" s="12"/>
    </row>
    <row r="262" spans="1:22" x14ac:dyDescent="0.2">
      <c r="A262" s="29">
        <v>261</v>
      </c>
      <c r="B262" s="13">
        <v>44693.487968171292</v>
      </c>
      <c r="C262" s="14" t="s">
        <v>17</v>
      </c>
      <c r="D262" s="15">
        <v>52812.070654465715</v>
      </c>
      <c r="E262" s="16">
        <v>12682.878997112639</v>
      </c>
      <c r="F262" s="17">
        <v>-371645.01595541264</v>
      </c>
      <c r="G262" s="25">
        <v>32876.488350740532</v>
      </c>
      <c r="H262" s="26">
        <v>12372</v>
      </c>
      <c r="I262" s="24">
        <v>-351732.9374828916</v>
      </c>
      <c r="J262">
        <f t="shared" si="8"/>
        <v>28178</v>
      </c>
      <c r="K262" s="18">
        <v>28937</v>
      </c>
      <c r="L262">
        <f t="shared" si="9"/>
        <v>759</v>
      </c>
      <c r="M262" s="19">
        <v>660</v>
      </c>
      <c r="N262" s="20" t="b">
        <v>1</v>
      </c>
      <c r="O262" s="21">
        <v>-78</v>
      </c>
      <c r="P262" s="26" t="b">
        <f>ABS(Table1[[#This Row],[Estimate error]])-Table1[[#This Row],[Standard Deviation]]&lt;0</f>
        <v>0</v>
      </c>
      <c r="U262" s="11"/>
      <c r="V262" s="12"/>
    </row>
    <row r="263" spans="1:22" x14ac:dyDescent="0.2">
      <c r="A263" s="29">
        <v>262</v>
      </c>
      <c r="B263" s="13">
        <v>44693.487968171292</v>
      </c>
      <c r="C263" s="14" t="s">
        <v>31</v>
      </c>
      <c r="D263" s="15">
        <v>52812.070654465715</v>
      </c>
      <c r="E263" s="16">
        <v>12682.878997112639</v>
      </c>
      <c r="F263" s="17">
        <v>-371645.01595541264</v>
      </c>
      <c r="G263" s="25">
        <v>74177.481073078248</v>
      </c>
      <c r="H263" s="26">
        <v>11187</v>
      </c>
      <c r="I263" s="24">
        <v>-356447.89152410487</v>
      </c>
      <c r="J263">
        <f t="shared" si="8"/>
        <v>26262</v>
      </c>
      <c r="K263" s="18">
        <v>0</v>
      </c>
      <c r="L263">
        <f t="shared" si="9"/>
        <v>0</v>
      </c>
      <c r="M263" s="19">
        <v>0</v>
      </c>
      <c r="N263" s="20" t="b">
        <v>0</v>
      </c>
      <c r="O263" s="21">
        <v>-89</v>
      </c>
      <c r="P263" s="26" t="b">
        <f>ABS(Table1[[#This Row],[Estimate error]])-Table1[[#This Row],[Standard Deviation]]&lt;0</f>
        <v>0</v>
      </c>
      <c r="U263" s="11"/>
      <c r="V263" s="12"/>
    </row>
    <row r="264" spans="1:22" x14ac:dyDescent="0.2">
      <c r="A264" s="29">
        <v>263</v>
      </c>
      <c r="B264" s="13">
        <v>44693.487968171292</v>
      </c>
      <c r="C264" s="14" t="s">
        <v>28</v>
      </c>
      <c r="D264" s="15">
        <v>52812.070654465715</v>
      </c>
      <c r="E264" s="16">
        <v>12682.878997112639</v>
      </c>
      <c r="F264" s="17">
        <v>-371645.01595541264</v>
      </c>
      <c r="G264" s="25">
        <v>47511.84397421257</v>
      </c>
      <c r="H264" s="26">
        <v>12577</v>
      </c>
      <c r="I264" s="24">
        <v>-366209.6994908413</v>
      </c>
      <c r="J264">
        <f t="shared" si="8"/>
        <v>7593</v>
      </c>
      <c r="K264" s="18">
        <v>9000</v>
      </c>
      <c r="L264">
        <f t="shared" si="9"/>
        <v>1407</v>
      </c>
      <c r="M264" s="19">
        <v>615</v>
      </c>
      <c r="N264" s="20" t="b">
        <v>1</v>
      </c>
      <c r="O264" s="21">
        <v>-72</v>
      </c>
      <c r="P264" s="26" t="b">
        <f>ABS(Table1[[#This Row],[Estimate error]])-Table1[[#This Row],[Standard Deviation]]&lt;0</f>
        <v>0</v>
      </c>
      <c r="U264" s="11"/>
      <c r="V264" s="12"/>
    </row>
    <row r="265" spans="1:22" x14ac:dyDescent="0.2">
      <c r="A265" s="29">
        <v>264</v>
      </c>
      <c r="B265" s="13">
        <v>44693.487968171292</v>
      </c>
      <c r="C265" s="14" t="s">
        <v>17</v>
      </c>
      <c r="D265" s="15">
        <v>52812.070654465715</v>
      </c>
      <c r="E265" s="16">
        <v>12682.878997112639</v>
      </c>
      <c r="F265" s="17">
        <v>-371645.01595541264</v>
      </c>
      <c r="G265" s="25">
        <v>32876.488350740532</v>
      </c>
      <c r="H265" s="26">
        <v>12372</v>
      </c>
      <c r="I265" s="24">
        <v>-351732.9374828916</v>
      </c>
      <c r="J265">
        <f t="shared" si="8"/>
        <v>28178</v>
      </c>
      <c r="K265" s="18">
        <v>28937</v>
      </c>
      <c r="L265">
        <f t="shared" si="9"/>
        <v>759</v>
      </c>
      <c r="M265" s="19">
        <v>615</v>
      </c>
      <c r="N265" s="20" t="b">
        <v>1</v>
      </c>
      <c r="O265" s="21">
        <v>-78</v>
      </c>
      <c r="P265" s="26" t="b">
        <f>ABS(Table1[[#This Row],[Estimate error]])-Table1[[#This Row],[Standard Deviation]]&lt;0</f>
        <v>0</v>
      </c>
      <c r="U265" s="11"/>
      <c r="V265" s="12"/>
    </row>
    <row r="266" spans="1:22" x14ac:dyDescent="0.2">
      <c r="A266" s="29">
        <v>265</v>
      </c>
      <c r="B266" s="13">
        <v>44693.487968171292</v>
      </c>
      <c r="C266" s="14" t="s">
        <v>31</v>
      </c>
      <c r="D266" s="15">
        <v>52812.070654465715</v>
      </c>
      <c r="E266" s="16">
        <v>12682.878997112639</v>
      </c>
      <c r="F266" s="17">
        <v>-371645.01595541264</v>
      </c>
      <c r="G266" s="25">
        <v>74177.481073078248</v>
      </c>
      <c r="H266" s="26">
        <v>11187</v>
      </c>
      <c r="I266" s="24">
        <v>-356447.89152410487</v>
      </c>
      <c r="J266">
        <f t="shared" si="8"/>
        <v>26262</v>
      </c>
      <c r="K266" s="18">
        <v>0</v>
      </c>
      <c r="L266">
        <f t="shared" si="9"/>
        <v>0</v>
      </c>
      <c r="M266" s="19">
        <v>0</v>
      </c>
      <c r="N266" s="20" t="b">
        <v>0</v>
      </c>
      <c r="O266" s="21">
        <v>-89</v>
      </c>
      <c r="P266" s="26" t="b">
        <f>ABS(Table1[[#This Row],[Estimate error]])-Table1[[#This Row],[Standard Deviation]]&lt;0</f>
        <v>0</v>
      </c>
      <c r="U266" s="11"/>
      <c r="V266" s="12"/>
    </row>
    <row r="267" spans="1:22" x14ac:dyDescent="0.2">
      <c r="A267" s="29">
        <v>266</v>
      </c>
      <c r="B267" s="13">
        <v>44693.488458873449</v>
      </c>
      <c r="C267" s="14" t="s">
        <v>16</v>
      </c>
      <c r="D267" s="15">
        <v>30068.09659359284</v>
      </c>
      <c r="E267" s="16">
        <v>12875.48340941344</v>
      </c>
      <c r="F267" s="17">
        <v>-368330.78014490806</v>
      </c>
      <c r="G267" s="25">
        <v>29805.999043266896</v>
      </c>
      <c r="H267" s="26">
        <v>11187</v>
      </c>
      <c r="I267" s="24">
        <v>-330864.9970057765</v>
      </c>
      <c r="J267">
        <f t="shared" si="8"/>
        <v>37505</v>
      </c>
      <c r="K267" s="18">
        <v>40750</v>
      </c>
      <c r="L267">
        <f t="shared" si="9"/>
        <v>3245</v>
      </c>
      <c r="M267" s="19">
        <v>825</v>
      </c>
      <c r="N267" s="20" t="b">
        <v>1</v>
      </c>
      <c r="O267" s="21">
        <v>-82</v>
      </c>
      <c r="P267" s="26" t="b">
        <f>ABS(Table1[[#This Row],[Estimate error]])-Table1[[#This Row],[Standard Deviation]]&lt;0</f>
        <v>0</v>
      </c>
      <c r="U267" s="11"/>
      <c r="V267" s="12"/>
    </row>
    <row r="268" spans="1:22" x14ac:dyDescent="0.2">
      <c r="A268" s="29">
        <v>267</v>
      </c>
      <c r="B268" s="13">
        <v>44693.488458873449</v>
      </c>
      <c r="C268" s="14" t="s">
        <v>28</v>
      </c>
      <c r="D268" s="15">
        <v>30068.09659359284</v>
      </c>
      <c r="E268" s="16">
        <v>12875.48340941344</v>
      </c>
      <c r="F268" s="17">
        <v>-368330.78014490806</v>
      </c>
      <c r="G268" s="25">
        <v>47511.84397421257</v>
      </c>
      <c r="H268" s="26">
        <v>12577</v>
      </c>
      <c r="I268" s="24">
        <v>-366209.6994908413</v>
      </c>
      <c r="J268">
        <f t="shared" si="8"/>
        <v>17575</v>
      </c>
      <c r="K268" s="18">
        <v>18000</v>
      </c>
      <c r="L268">
        <f t="shared" si="9"/>
        <v>425</v>
      </c>
      <c r="M268" s="19">
        <v>690</v>
      </c>
      <c r="N268" s="20" t="b">
        <v>1</v>
      </c>
      <c r="O268" s="21">
        <v>-64</v>
      </c>
      <c r="P268" s="26" t="b">
        <f>ABS(Table1[[#This Row],[Estimate error]])-Table1[[#This Row],[Standard Deviation]]&lt;0</f>
        <v>1</v>
      </c>
      <c r="U268" s="11"/>
      <c r="V268" s="12"/>
    </row>
    <row r="269" spans="1:22" x14ac:dyDescent="0.2">
      <c r="A269" s="29">
        <v>268</v>
      </c>
      <c r="B269" s="13">
        <v>44693.488458873449</v>
      </c>
      <c r="C269" s="14" t="s">
        <v>17</v>
      </c>
      <c r="D269" s="15">
        <v>30068.09659359284</v>
      </c>
      <c r="E269" s="16">
        <v>12875.48340941344</v>
      </c>
      <c r="F269" s="17">
        <v>-368330.78014490806</v>
      </c>
      <c r="G269" s="25">
        <v>32876.488350740532</v>
      </c>
      <c r="H269" s="26">
        <v>12372</v>
      </c>
      <c r="I269" s="24">
        <v>-351732.9374828916</v>
      </c>
      <c r="J269">
        <f t="shared" si="8"/>
        <v>16841</v>
      </c>
      <c r="K269" s="18">
        <v>17375</v>
      </c>
      <c r="L269">
        <f t="shared" si="9"/>
        <v>534</v>
      </c>
      <c r="M269" s="19">
        <v>630</v>
      </c>
      <c r="N269" s="20" t="b">
        <v>1</v>
      </c>
      <c r="O269" s="21">
        <v>-62</v>
      </c>
      <c r="P269" s="26" t="b">
        <f>ABS(Table1[[#This Row],[Estimate error]])-Table1[[#This Row],[Standard Deviation]]&lt;0</f>
        <v>1</v>
      </c>
      <c r="U269" s="11"/>
      <c r="V269" s="12"/>
    </row>
    <row r="270" spans="1:22" x14ac:dyDescent="0.2">
      <c r="A270" s="29">
        <v>269</v>
      </c>
      <c r="B270" s="13">
        <v>44693.488458873449</v>
      </c>
      <c r="C270" s="14" t="s">
        <v>31</v>
      </c>
      <c r="D270" s="15">
        <v>30068.09659359284</v>
      </c>
      <c r="E270" s="16">
        <v>12875.48340941344</v>
      </c>
      <c r="F270" s="17">
        <v>-368330.78014490806</v>
      </c>
      <c r="G270" s="25">
        <v>74177.481073078248</v>
      </c>
      <c r="H270" s="26">
        <v>11187</v>
      </c>
      <c r="I270" s="24">
        <v>-356447.89152410487</v>
      </c>
      <c r="J270">
        <f t="shared" si="8"/>
        <v>45713</v>
      </c>
      <c r="K270" s="18">
        <v>0</v>
      </c>
      <c r="L270">
        <f t="shared" si="9"/>
        <v>0</v>
      </c>
      <c r="M270" s="19">
        <v>0</v>
      </c>
      <c r="N270" s="20" t="b">
        <v>0</v>
      </c>
      <c r="O270" s="21">
        <v>-80</v>
      </c>
      <c r="P270" s="26" t="b">
        <f>ABS(Table1[[#This Row],[Estimate error]])-Table1[[#This Row],[Standard Deviation]]&lt;0</f>
        <v>0</v>
      </c>
      <c r="U270" s="11"/>
      <c r="V270" s="12"/>
    </row>
    <row r="271" spans="1:22" x14ac:dyDescent="0.2">
      <c r="A271" s="29">
        <v>270</v>
      </c>
      <c r="B271" s="13">
        <v>44693.488458873449</v>
      </c>
      <c r="C271" s="14" t="s">
        <v>16</v>
      </c>
      <c r="D271" s="15">
        <v>30068.09659359284</v>
      </c>
      <c r="E271" s="16">
        <v>12875.48340941344</v>
      </c>
      <c r="F271" s="17">
        <v>-368330.78014490806</v>
      </c>
      <c r="G271" s="25">
        <v>29805.999043266896</v>
      </c>
      <c r="H271" s="26">
        <v>11187</v>
      </c>
      <c r="I271" s="24">
        <v>-330864.9970057765</v>
      </c>
      <c r="J271">
        <f t="shared" si="8"/>
        <v>37505</v>
      </c>
      <c r="K271" s="18">
        <v>41687</v>
      </c>
      <c r="L271">
        <f t="shared" si="9"/>
        <v>4182</v>
      </c>
      <c r="M271" s="19">
        <v>750</v>
      </c>
      <c r="N271" s="20" t="b">
        <v>1</v>
      </c>
      <c r="O271" s="21">
        <v>-82</v>
      </c>
      <c r="P271" s="26" t="b">
        <f>ABS(Table1[[#This Row],[Estimate error]])-Table1[[#This Row],[Standard Deviation]]&lt;0</f>
        <v>0</v>
      </c>
      <c r="U271" s="11"/>
      <c r="V271" s="12"/>
    </row>
    <row r="272" spans="1:22" x14ac:dyDescent="0.2">
      <c r="A272" s="29">
        <v>271</v>
      </c>
      <c r="B272" s="13">
        <v>44693.488458873449</v>
      </c>
      <c r="C272" s="14" t="s">
        <v>28</v>
      </c>
      <c r="D272" s="15">
        <v>30068.09659359284</v>
      </c>
      <c r="E272" s="16">
        <v>12875.48340941344</v>
      </c>
      <c r="F272" s="17">
        <v>-368330.78014490806</v>
      </c>
      <c r="G272" s="25">
        <v>47511.84397421257</v>
      </c>
      <c r="H272" s="26">
        <v>12577</v>
      </c>
      <c r="I272" s="24">
        <v>-366209.6994908413</v>
      </c>
      <c r="J272">
        <f t="shared" si="8"/>
        <v>17575</v>
      </c>
      <c r="K272" s="18">
        <v>19750</v>
      </c>
      <c r="L272">
        <f t="shared" si="9"/>
        <v>2175</v>
      </c>
      <c r="M272" s="19">
        <v>600</v>
      </c>
      <c r="N272" s="20" t="b">
        <v>1</v>
      </c>
      <c r="O272" s="21">
        <v>-64</v>
      </c>
      <c r="P272" s="26" t="b">
        <f>ABS(Table1[[#This Row],[Estimate error]])-Table1[[#This Row],[Standard Deviation]]&lt;0</f>
        <v>0</v>
      </c>
      <c r="U272" s="11"/>
      <c r="V272" s="12"/>
    </row>
    <row r="273" spans="1:22" x14ac:dyDescent="0.2">
      <c r="A273" s="29">
        <v>272</v>
      </c>
      <c r="B273" s="13">
        <v>44693.488458873449</v>
      </c>
      <c r="C273" s="14" t="s">
        <v>17</v>
      </c>
      <c r="D273" s="15">
        <v>30068.09659359284</v>
      </c>
      <c r="E273" s="16">
        <v>12875.48340941344</v>
      </c>
      <c r="F273" s="17">
        <v>-368330.78014490806</v>
      </c>
      <c r="G273" s="25">
        <v>32876.488350740532</v>
      </c>
      <c r="H273" s="26">
        <v>12372</v>
      </c>
      <c r="I273" s="24">
        <v>-351732.9374828916</v>
      </c>
      <c r="J273">
        <f t="shared" si="8"/>
        <v>16841</v>
      </c>
      <c r="K273" s="18">
        <v>17375</v>
      </c>
      <c r="L273">
        <f t="shared" si="9"/>
        <v>534</v>
      </c>
      <c r="M273" s="19">
        <v>870</v>
      </c>
      <c r="N273" s="20" t="b">
        <v>1</v>
      </c>
      <c r="O273" s="21">
        <v>-62</v>
      </c>
      <c r="P273" s="26" t="b">
        <f>ABS(Table1[[#This Row],[Estimate error]])-Table1[[#This Row],[Standard Deviation]]&lt;0</f>
        <v>1</v>
      </c>
      <c r="U273" s="11"/>
      <c r="V273" s="12"/>
    </row>
    <row r="274" spans="1:22" x14ac:dyDescent="0.2">
      <c r="A274" s="29">
        <v>273</v>
      </c>
      <c r="B274" s="13">
        <v>44693.488458873449</v>
      </c>
      <c r="C274" s="14" t="s">
        <v>31</v>
      </c>
      <c r="D274" s="15">
        <v>30068.09659359284</v>
      </c>
      <c r="E274" s="16">
        <v>12875.48340941344</v>
      </c>
      <c r="F274" s="17">
        <v>-368330.78014490806</v>
      </c>
      <c r="G274" s="25">
        <v>74177.481073078248</v>
      </c>
      <c r="H274" s="26">
        <v>11187</v>
      </c>
      <c r="I274" s="24">
        <v>-356447.89152410487</v>
      </c>
      <c r="J274">
        <f t="shared" si="8"/>
        <v>45713</v>
      </c>
      <c r="K274" s="18">
        <v>0</v>
      </c>
      <c r="L274">
        <f t="shared" si="9"/>
        <v>0</v>
      </c>
      <c r="M274" s="19">
        <v>0</v>
      </c>
      <c r="N274" s="20" t="b">
        <v>0</v>
      </c>
      <c r="O274" s="21">
        <v>-80</v>
      </c>
      <c r="P274" s="26" t="b">
        <f>ABS(Table1[[#This Row],[Estimate error]])-Table1[[#This Row],[Standard Deviation]]&lt;0</f>
        <v>0</v>
      </c>
      <c r="U274" s="11"/>
      <c r="V274" s="12"/>
    </row>
    <row r="275" spans="1:22" x14ac:dyDescent="0.2">
      <c r="A275" s="29">
        <v>274</v>
      </c>
      <c r="B275" s="13">
        <v>44693.488458873449</v>
      </c>
      <c r="C275" s="14" t="s">
        <v>16</v>
      </c>
      <c r="D275" s="15">
        <v>30068.09659359284</v>
      </c>
      <c r="E275" s="16">
        <v>12875.48340941344</v>
      </c>
      <c r="F275" s="17">
        <v>-368330.78014490806</v>
      </c>
      <c r="G275" s="25">
        <v>29805.999043266896</v>
      </c>
      <c r="H275" s="26">
        <v>11187</v>
      </c>
      <c r="I275" s="24">
        <v>-330864.9970057765</v>
      </c>
      <c r="J275">
        <f t="shared" si="8"/>
        <v>37505</v>
      </c>
      <c r="K275" s="18">
        <v>40937</v>
      </c>
      <c r="L275">
        <f t="shared" si="9"/>
        <v>3432</v>
      </c>
      <c r="M275" s="19">
        <v>675</v>
      </c>
      <c r="N275" s="20" t="b">
        <v>1</v>
      </c>
      <c r="O275" s="21">
        <v>-82</v>
      </c>
      <c r="P275" s="26" t="b">
        <f>ABS(Table1[[#This Row],[Estimate error]])-Table1[[#This Row],[Standard Deviation]]&lt;0</f>
        <v>0</v>
      </c>
      <c r="U275" s="11"/>
      <c r="V275" s="12"/>
    </row>
    <row r="276" spans="1:22" x14ac:dyDescent="0.2">
      <c r="A276" s="29">
        <v>275</v>
      </c>
      <c r="B276" s="13">
        <v>44693.488458873449</v>
      </c>
      <c r="C276" s="14" t="s">
        <v>28</v>
      </c>
      <c r="D276" s="15">
        <v>30068.09659359284</v>
      </c>
      <c r="E276" s="16">
        <v>12875.48340941344</v>
      </c>
      <c r="F276" s="17">
        <v>-368330.78014490806</v>
      </c>
      <c r="G276" s="25">
        <v>47511.84397421257</v>
      </c>
      <c r="H276" s="26">
        <v>12577</v>
      </c>
      <c r="I276" s="24">
        <v>-366209.6994908413</v>
      </c>
      <c r="J276">
        <f t="shared" si="8"/>
        <v>17575</v>
      </c>
      <c r="K276" s="18">
        <v>19750</v>
      </c>
      <c r="L276">
        <f t="shared" si="9"/>
        <v>2175</v>
      </c>
      <c r="M276" s="19">
        <v>705</v>
      </c>
      <c r="N276" s="20" t="b">
        <v>1</v>
      </c>
      <c r="O276" s="21">
        <v>-64</v>
      </c>
      <c r="P276" s="26" t="b">
        <f>ABS(Table1[[#This Row],[Estimate error]])-Table1[[#This Row],[Standard Deviation]]&lt;0</f>
        <v>0</v>
      </c>
      <c r="U276" s="11"/>
      <c r="V276" s="12"/>
    </row>
    <row r="277" spans="1:22" x14ac:dyDescent="0.2">
      <c r="A277" s="29">
        <v>276</v>
      </c>
      <c r="B277" s="13">
        <v>44693.488458873449</v>
      </c>
      <c r="C277" s="14" t="s">
        <v>17</v>
      </c>
      <c r="D277" s="15">
        <v>30068.09659359284</v>
      </c>
      <c r="E277" s="16">
        <v>12875.48340941344</v>
      </c>
      <c r="F277" s="17">
        <v>-368330.78014490806</v>
      </c>
      <c r="G277" s="25">
        <v>32876.488350740532</v>
      </c>
      <c r="H277" s="26">
        <v>12372</v>
      </c>
      <c r="I277" s="24">
        <v>-351732.9374828916</v>
      </c>
      <c r="J277">
        <f t="shared" si="8"/>
        <v>16841</v>
      </c>
      <c r="K277" s="18">
        <v>17250</v>
      </c>
      <c r="L277">
        <f t="shared" si="9"/>
        <v>409</v>
      </c>
      <c r="M277" s="19">
        <v>720</v>
      </c>
      <c r="N277" s="20" t="b">
        <v>1</v>
      </c>
      <c r="O277" s="21">
        <v>-62</v>
      </c>
      <c r="P277" s="26" t="b">
        <f>ABS(Table1[[#This Row],[Estimate error]])-Table1[[#This Row],[Standard Deviation]]&lt;0</f>
        <v>1</v>
      </c>
      <c r="U277" s="11"/>
      <c r="V277" s="12"/>
    </row>
    <row r="278" spans="1:22" x14ac:dyDescent="0.2">
      <c r="A278" s="29">
        <v>277</v>
      </c>
      <c r="B278" s="13">
        <v>44693.488458873449</v>
      </c>
      <c r="C278" s="14" t="s">
        <v>31</v>
      </c>
      <c r="D278" s="15">
        <v>30068.09659359284</v>
      </c>
      <c r="E278" s="16">
        <v>12875.48340941344</v>
      </c>
      <c r="F278" s="17">
        <v>-368330.78014490806</v>
      </c>
      <c r="G278" s="25">
        <v>74177.481073078248</v>
      </c>
      <c r="H278" s="26">
        <v>11187</v>
      </c>
      <c r="I278" s="24">
        <v>-356447.89152410487</v>
      </c>
      <c r="J278">
        <f t="shared" si="8"/>
        <v>45713</v>
      </c>
      <c r="K278" s="18">
        <v>0</v>
      </c>
      <c r="L278">
        <f t="shared" si="9"/>
        <v>0</v>
      </c>
      <c r="M278" s="19">
        <v>0</v>
      </c>
      <c r="N278" s="20" t="b">
        <v>0</v>
      </c>
      <c r="O278" s="21">
        <v>-80</v>
      </c>
      <c r="P278" s="26" t="b">
        <f>ABS(Table1[[#This Row],[Estimate error]])-Table1[[#This Row],[Standard Deviation]]&lt;0</f>
        <v>0</v>
      </c>
      <c r="U278" s="11"/>
      <c r="V278" s="12"/>
    </row>
    <row r="279" spans="1:22" x14ac:dyDescent="0.2">
      <c r="A279" s="29">
        <v>278</v>
      </c>
      <c r="B279" s="13">
        <v>44693.488458873449</v>
      </c>
      <c r="C279" s="14" t="s">
        <v>16</v>
      </c>
      <c r="D279" s="15">
        <v>30068.09659359284</v>
      </c>
      <c r="E279" s="16">
        <v>12875.48340941344</v>
      </c>
      <c r="F279" s="17">
        <v>-368330.78014490806</v>
      </c>
      <c r="G279" s="25">
        <v>29805.999043266896</v>
      </c>
      <c r="H279" s="26">
        <v>11187</v>
      </c>
      <c r="I279" s="24">
        <v>-330864.9970057765</v>
      </c>
      <c r="J279">
        <f t="shared" si="8"/>
        <v>37505</v>
      </c>
      <c r="K279" s="18">
        <v>41062</v>
      </c>
      <c r="L279">
        <f t="shared" si="9"/>
        <v>3557</v>
      </c>
      <c r="M279" s="19">
        <v>795</v>
      </c>
      <c r="N279" s="20" t="b">
        <v>1</v>
      </c>
      <c r="O279" s="21">
        <v>-82</v>
      </c>
      <c r="P279" s="26" t="b">
        <f>ABS(Table1[[#This Row],[Estimate error]])-Table1[[#This Row],[Standard Deviation]]&lt;0</f>
        <v>0</v>
      </c>
      <c r="U279" s="11"/>
      <c r="V279" s="12"/>
    </row>
    <row r="280" spans="1:22" x14ac:dyDescent="0.2">
      <c r="A280" s="29">
        <v>279</v>
      </c>
      <c r="B280" s="13">
        <v>44693.488458873449</v>
      </c>
      <c r="C280" s="14" t="s">
        <v>28</v>
      </c>
      <c r="D280" s="15">
        <v>30068.09659359284</v>
      </c>
      <c r="E280" s="16">
        <v>12875.48340941344</v>
      </c>
      <c r="F280" s="17">
        <v>-368330.78014490806</v>
      </c>
      <c r="G280" s="25">
        <v>47511.84397421257</v>
      </c>
      <c r="H280" s="26">
        <v>12577</v>
      </c>
      <c r="I280" s="24">
        <v>-366209.6994908413</v>
      </c>
      <c r="J280">
        <f t="shared" si="8"/>
        <v>17575</v>
      </c>
      <c r="K280" s="18">
        <v>18562</v>
      </c>
      <c r="L280">
        <f t="shared" si="9"/>
        <v>987</v>
      </c>
      <c r="M280" s="19">
        <v>615</v>
      </c>
      <c r="N280" s="20" t="b">
        <v>1</v>
      </c>
      <c r="O280" s="21">
        <v>-64</v>
      </c>
      <c r="P280" s="26" t="b">
        <f>ABS(Table1[[#This Row],[Estimate error]])-Table1[[#This Row],[Standard Deviation]]&lt;0</f>
        <v>0</v>
      </c>
      <c r="U280" s="11"/>
      <c r="V280" s="12"/>
    </row>
    <row r="281" spans="1:22" x14ac:dyDescent="0.2">
      <c r="A281" s="29">
        <v>280</v>
      </c>
      <c r="B281" s="13">
        <v>44693.488458873449</v>
      </c>
      <c r="C281" s="14" t="s">
        <v>17</v>
      </c>
      <c r="D281" s="15">
        <v>30068.09659359284</v>
      </c>
      <c r="E281" s="16">
        <v>12875.48340941344</v>
      </c>
      <c r="F281" s="17">
        <v>-368330.78014490806</v>
      </c>
      <c r="G281" s="25">
        <v>32876.488350740532</v>
      </c>
      <c r="H281" s="26">
        <v>12372</v>
      </c>
      <c r="I281" s="24">
        <v>-351732.9374828916</v>
      </c>
      <c r="J281">
        <f t="shared" si="8"/>
        <v>16841</v>
      </c>
      <c r="K281" s="18">
        <v>18250</v>
      </c>
      <c r="L281">
        <f t="shared" si="9"/>
        <v>1409</v>
      </c>
      <c r="M281" s="19">
        <v>660</v>
      </c>
      <c r="N281" s="20" t="b">
        <v>1</v>
      </c>
      <c r="O281" s="21">
        <v>-62</v>
      </c>
      <c r="P281" s="26" t="b">
        <f>ABS(Table1[[#This Row],[Estimate error]])-Table1[[#This Row],[Standard Deviation]]&lt;0</f>
        <v>0</v>
      </c>
      <c r="U281" s="11"/>
      <c r="V281" s="12"/>
    </row>
    <row r="282" spans="1:22" x14ac:dyDescent="0.2">
      <c r="A282" s="29">
        <v>281</v>
      </c>
      <c r="B282" s="13">
        <v>44693.488458873449</v>
      </c>
      <c r="C282" s="14" t="s">
        <v>31</v>
      </c>
      <c r="D282" s="15">
        <v>30068.09659359284</v>
      </c>
      <c r="E282" s="16">
        <v>12875.48340941344</v>
      </c>
      <c r="F282" s="17">
        <v>-368330.78014490806</v>
      </c>
      <c r="G282" s="25">
        <v>74177.481073078248</v>
      </c>
      <c r="H282" s="26">
        <v>11187</v>
      </c>
      <c r="I282" s="24">
        <v>-356447.89152410487</v>
      </c>
      <c r="J282">
        <f t="shared" si="8"/>
        <v>45713</v>
      </c>
      <c r="K282" s="18">
        <v>0</v>
      </c>
      <c r="L282">
        <f t="shared" si="9"/>
        <v>0</v>
      </c>
      <c r="M282" s="19">
        <v>0</v>
      </c>
      <c r="N282" s="20" t="b">
        <v>0</v>
      </c>
      <c r="O282" s="21">
        <v>-80</v>
      </c>
      <c r="P282" s="26" t="b">
        <f>ABS(Table1[[#This Row],[Estimate error]])-Table1[[#This Row],[Standard Deviation]]&lt;0</f>
        <v>0</v>
      </c>
      <c r="U282" s="11"/>
      <c r="V282" s="12"/>
    </row>
    <row r="283" spans="1:22" x14ac:dyDescent="0.2">
      <c r="A283" s="29">
        <v>282</v>
      </c>
      <c r="B283" s="13">
        <v>44693.488458873449</v>
      </c>
      <c r="C283" s="14" t="s">
        <v>16</v>
      </c>
      <c r="D283" s="15">
        <v>30068.09659359284</v>
      </c>
      <c r="E283" s="16">
        <v>12875.48340941344</v>
      </c>
      <c r="F283" s="17">
        <v>-368330.78014490806</v>
      </c>
      <c r="G283" s="25">
        <v>29805.999043266896</v>
      </c>
      <c r="H283" s="26">
        <v>11187</v>
      </c>
      <c r="I283" s="24">
        <v>-330864.9970057765</v>
      </c>
      <c r="J283">
        <f t="shared" si="8"/>
        <v>37505</v>
      </c>
      <c r="K283" s="18">
        <v>0</v>
      </c>
      <c r="L283">
        <f t="shared" si="9"/>
        <v>0</v>
      </c>
      <c r="M283" s="19">
        <v>0</v>
      </c>
      <c r="N283" s="20" t="b">
        <v>0</v>
      </c>
      <c r="O283" s="21">
        <v>-82</v>
      </c>
      <c r="P283" s="26" t="b">
        <f>ABS(Table1[[#This Row],[Estimate error]])-Table1[[#This Row],[Standard Deviation]]&lt;0</f>
        <v>0</v>
      </c>
      <c r="U283" s="11"/>
      <c r="V283" s="12"/>
    </row>
    <row r="284" spans="1:22" x14ac:dyDescent="0.2">
      <c r="A284" s="29">
        <v>283</v>
      </c>
      <c r="B284" s="13">
        <v>44693.488458873449</v>
      </c>
      <c r="C284" s="14" t="s">
        <v>28</v>
      </c>
      <c r="D284" s="15">
        <v>30068.09659359284</v>
      </c>
      <c r="E284" s="16">
        <v>12875.48340941344</v>
      </c>
      <c r="F284" s="17">
        <v>-368330.78014490806</v>
      </c>
      <c r="G284" s="25">
        <v>47511.84397421257</v>
      </c>
      <c r="H284" s="26">
        <v>12577</v>
      </c>
      <c r="I284" s="24">
        <v>-366209.6994908413</v>
      </c>
      <c r="J284">
        <f t="shared" si="8"/>
        <v>17575</v>
      </c>
      <c r="K284" s="18">
        <v>19625</v>
      </c>
      <c r="L284">
        <f t="shared" si="9"/>
        <v>2050</v>
      </c>
      <c r="M284" s="19">
        <v>660</v>
      </c>
      <c r="N284" s="20" t="b">
        <v>1</v>
      </c>
      <c r="O284" s="21">
        <v>-64</v>
      </c>
      <c r="P284" s="26" t="b">
        <f>ABS(Table1[[#This Row],[Estimate error]])-Table1[[#This Row],[Standard Deviation]]&lt;0</f>
        <v>0</v>
      </c>
      <c r="U284" s="11"/>
      <c r="V284" s="12"/>
    </row>
    <row r="285" spans="1:22" x14ac:dyDescent="0.2">
      <c r="A285" s="29">
        <v>284</v>
      </c>
      <c r="B285" s="13">
        <v>44693.488458873449</v>
      </c>
      <c r="C285" s="14" t="s">
        <v>17</v>
      </c>
      <c r="D285" s="15">
        <v>30068.09659359284</v>
      </c>
      <c r="E285" s="16">
        <v>12875.48340941344</v>
      </c>
      <c r="F285" s="17">
        <v>-368330.78014490806</v>
      </c>
      <c r="G285" s="25">
        <v>32876.488350740532</v>
      </c>
      <c r="H285" s="26">
        <v>12372</v>
      </c>
      <c r="I285" s="24">
        <v>-351732.9374828916</v>
      </c>
      <c r="J285">
        <f t="shared" si="8"/>
        <v>16841</v>
      </c>
      <c r="K285" s="18">
        <v>17500</v>
      </c>
      <c r="L285">
        <f t="shared" si="9"/>
        <v>659</v>
      </c>
      <c r="M285" s="19">
        <v>600</v>
      </c>
      <c r="N285" s="20" t="b">
        <v>1</v>
      </c>
      <c r="O285" s="21">
        <v>-62</v>
      </c>
      <c r="P285" s="26" t="b">
        <f>ABS(Table1[[#This Row],[Estimate error]])-Table1[[#This Row],[Standard Deviation]]&lt;0</f>
        <v>0</v>
      </c>
      <c r="U285" s="11"/>
      <c r="V285" s="12"/>
    </row>
    <row r="286" spans="1:22" x14ac:dyDescent="0.2">
      <c r="A286" s="29">
        <v>285</v>
      </c>
      <c r="B286" s="13">
        <v>44693.488458873449</v>
      </c>
      <c r="C286" s="14" t="s">
        <v>31</v>
      </c>
      <c r="D286" s="15">
        <v>30068.09659359284</v>
      </c>
      <c r="E286" s="16">
        <v>12875.48340941344</v>
      </c>
      <c r="F286" s="17">
        <v>-368330.78014490806</v>
      </c>
      <c r="G286" s="25">
        <v>74177.481073078248</v>
      </c>
      <c r="H286" s="26">
        <v>11187</v>
      </c>
      <c r="I286" s="24">
        <v>-356447.89152410487</v>
      </c>
      <c r="J286">
        <f t="shared" si="8"/>
        <v>45713</v>
      </c>
      <c r="K286" s="18">
        <v>0</v>
      </c>
      <c r="L286">
        <f t="shared" si="9"/>
        <v>0</v>
      </c>
      <c r="M286" s="19">
        <v>0</v>
      </c>
      <c r="N286" s="20" t="b">
        <v>0</v>
      </c>
      <c r="O286" s="21">
        <v>-80</v>
      </c>
      <c r="P286" s="26" t="b">
        <f>ABS(Table1[[#This Row],[Estimate error]])-Table1[[#This Row],[Standard Deviation]]&lt;0</f>
        <v>0</v>
      </c>
      <c r="U286" s="11"/>
      <c r="V286" s="12"/>
    </row>
    <row r="287" spans="1:22" x14ac:dyDescent="0.2">
      <c r="A287" s="29">
        <v>286</v>
      </c>
      <c r="B287" s="13">
        <v>44693.488779012339</v>
      </c>
      <c r="C287" s="14" t="s">
        <v>16</v>
      </c>
      <c r="D287" s="15">
        <v>28318.45618374191</v>
      </c>
      <c r="E287" s="16">
        <v>13045.557080856828</v>
      </c>
      <c r="F287" s="17">
        <v>-362212.83031717472</v>
      </c>
      <c r="G287" s="25">
        <v>29805.999043266896</v>
      </c>
      <c r="H287" s="26">
        <v>11187</v>
      </c>
      <c r="I287" s="24">
        <v>-330864.9970057765</v>
      </c>
      <c r="J287">
        <f t="shared" si="8"/>
        <v>31438</v>
      </c>
      <c r="K287" s="18">
        <v>0</v>
      </c>
      <c r="L287">
        <f t="shared" si="9"/>
        <v>0</v>
      </c>
      <c r="M287" s="19">
        <v>0</v>
      </c>
      <c r="N287" s="20" t="b">
        <v>0</v>
      </c>
      <c r="O287" s="21">
        <v>-86</v>
      </c>
      <c r="P287" s="26" t="b">
        <f>ABS(Table1[[#This Row],[Estimate error]])-Table1[[#This Row],[Standard Deviation]]&lt;0</f>
        <v>0</v>
      </c>
      <c r="U287" s="11"/>
      <c r="V287" s="12"/>
    </row>
    <row r="288" spans="1:22" x14ac:dyDescent="0.2">
      <c r="A288" s="29">
        <v>287</v>
      </c>
      <c r="B288" s="13">
        <v>44693.488779012339</v>
      </c>
      <c r="C288" s="14" t="s">
        <v>28</v>
      </c>
      <c r="D288" s="15">
        <v>28318.45618374191</v>
      </c>
      <c r="E288" s="16">
        <v>13045.557080856828</v>
      </c>
      <c r="F288" s="17">
        <v>-362212.83031717472</v>
      </c>
      <c r="G288" s="25">
        <v>47511.84397421257</v>
      </c>
      <c r="H288" s="26">
        <v>12577</v>
      </c>
      <c r="I288" s="24">
        <v>-366209.6994908413</v>
      </c>
      <c r="J288">
        <f t="shared" si="8"/>
        <v>19611</v>
      </c>
      <c r="K288" s="18">
        <v>19937</v>
      </c>
      <c r="L288">
        <f t="shared" si="9"/>
        <v>326</v>
      </c>
      <c r="M288" s="19">
        <v>990</v>
      </c>
      <c r="N288" s="20" t="b">
        <v>1</v>
      </c>
      <c r="O288" s="21">
        <v>-73</v>
      </c>
      <c r="P288" s="26" t="b">
        <f>ABS(Table1[[#This Row],[Estimate error]])-Table1[[#This Row],[Standard Deviation]]&lt;0</f>
        <v>1</v>
      </c>
      <c r="U288" s="11"/>
      <c r="V288" s="12"/>
    </row>
    <row r="289" spans="1:22" x14ac:dyDescent="0.2">
      <c r="A289" s="29">
        <v>288</v>
      </c>
      <c r="B289" s="13">
        <v>44693.488779012339</v>
      </c>
      <c r="C289" s="14" t="s">
        <v>17</v>
      </c>
      <c r="D289" s="15">
        <v>28318.45618374191</v>
      </c>
      <c r="E289" s="16">
        <v>13045.557080856828</v>
      </c>
      <c r="F289" s="17">
        <v>-362212.83031717472</v>
      </c>
      <c r="G289" s="25">
        <v>32876.488350740532</v>
      </c>
      <c r="H289" s="26">
        <v>12372</v>
      </c>
      <c r="I289" s="24">
        <v>-351732.9374828916</v>
      </c>
      <c r="J289">
        <f t="shared" si="8"/>
        <v>11448</v>
      </c>
      <c r="K289" s="18">
        <v>10500</v>
      </c>
      <c r="L289">
        <f t="shared" si="9"/>
        <v>-948</v>
      </c>
      <c r="M289" s="19">
        <v>645</v>
      </c>
      <c r="N289" s="20" t="b">
        <v>1</v>
      </c>
      <c r="O289" s="21">
        <v>-63</v>
      </c>
      <c r="P289" s="26" t="b">
        <f>ABS(Table1[[#This Row],[Estimate error]])-Table1[[#This Row],[Standard Deviation]]&lt;0</f>
        <v>0</v>
      </c>
      <c r="U289" s="11"/>
      <c r="V289" s="12"/>
    </row>
    <row r="290" spans="1:22" x14ac:dyDescent="0.2">
      <c r="A290" s="29">
        <v>289</v>
      </c>
      <c r="B290" s="13">
        <v>44693.488779012339</v>
      </c>
      <c r="C290" s="14" t="s">
        <v>31</v>
      </c>
      <c r="D290" s="15">
        <v>28318.45618374191</v>
      </c>
      <c r="E290" s="16">
        <v>13045.557080856828</v>
      </c>
      <c r="F290" s="17">
        <v>-362212.83031717472</v>
      </c>
      <c r="G290" s="25">
        <v>74177.481073078248</v>
      </c>
      <c r="H290" s="26">
        <v>11187</v>
      </c>
      <c r="I290" s="24">
        <v>-356447.89152410487</v>
      </c>
      <c r="J290">
        <f t="shared" si="8"/>
        <v>46257</v>
      </c>
      <c r="K290" s="18">
        <v>0</v>
      </c>
      <c r="L290">
        <f t="shared" si="9"/>
        <v>0</v>
      </c>
      <c r="M290" s="19">
        <v>0</v>
      </c>
      <c r="N290" s="20" t="b">
        <v>0</v>
      </c>
      <c r="O290" s="21">
        <v>-91</v>
      </c>
      <c r="P290" s="26" t="b">
        <f>ABS(Table1[[#This Row],[Estimate error]])-Table1[[#This Row],[Standard Deviation]]&lt;0</f>
        <v>0</v>
      </c>
      <c r="U290" s="11"/>
      <c r="V290" s="12"/>
    </row>
    <row r="291" spans="1:22" x14ac:dyDescent="0.2">
      <c r="A291" s="29">
        <v>290</v>
      </c>
      <c r="B291" s="13">
        <v>44693.488779012339</v>
      </c>
      <c r="C291" s="14" t="s">
        <v>16</v>
      </c>
      <c r="D291" s="15">
        <v>28318.45618374191</v>
      </c>
      <c r="E291" s="16">
        <v>13045.557080856828</v>
      </c>
      <c r="F291" s="17">
        <v>-362212.83031717472</v>
      </c>
      <c r="G291" s="25">
        <v>29805.999043266896</v>
      </c>
      <c r="H291" s="26">
        <v>11187</v>
      </c>
      <c r="I291" s="24">
        <v>-330864.9970057765</v>
      </c>
      <c r="J291">
        <f t="shared" si="8"/>
        <v>31438</v>
      </c>
      <c r="K291" s="18">
        <v>0</v>
      </c>
      <c r="L291">
        <f t="shared" si="9"/>
        <v>0</v>
      </c>
      <c r="M291" s="19">
        <v>0</v>
      </c>
      <c r="N291" s="20" t="b">
        <v>0</v>
      </c>
      <c r="O291" s="21">
        <v>-86</v>
      </c>
      <c r="P291" s="26" t="b">
        <f>ABS(Table1[[#This Row],[Estimate error]])-Table1[[#This Row],[Standard Deviation]]&lt;0</f>
        <v>0</v>
      </c>
      <c r="U291" s="11"/>
      <c r="V291" s="12"/>
    </row>
    <row r="292" spans="1:22" x14ac:dyDescent="0.2">
      <c r="A292" s="29">
        <v>291</v>
      </c>
      <c r="B292" s="13">
        <v>44693.488779012339</v>
      </c>
      <c r="C292" s="14" t="s">
        <v>28</v>
      </c>
      <c r="D292" s="15">
        <v>28318.45618374191</v>
      </c>
      <c r="E292" s="16">
        <v>13045.557080856828</v>
      </c>
      <c r="F292" s="17">
        <v>-362212.83031717472</v>
      </c>
      <c r="G292" s="25">
        <v>47511.84397421257</v>
      </c>
      <c r="H292" s="26">
        <v>12577</v>
      </c>
      <c r="I292" s="24">
        <v>-366209.6994908413</v>
      </c>
      <c r="J292">
        <f t="shared" si="8"/>
        <v>19611</v>
      </c>
      <c r="K292" s="18">
        <v>20250</v>
      </c>
      <c r="L292">
        <f t="shared" si="9"/>
        <v>639</v>
      </c>
      <c r="M292" s="19">
        <v>825</v>
      </c>
      <c r="N292" s="20" t="b">
        <v>1</v>
      </c>
      <c r="O292" s="21">
        <v>-73</v>
      </c>
      <c r="P292" s="26" t="b">
        <f>ABS(Table1[[#This Row],[Estimate error]])-Table1[[#This Row],[Standard Deviation]]&lt;0</f>
        <v>1</v>
      </c>
      <c r="U292" s="11"/>
      <c r="V292" s="12"/>
    </row>
    <row r="293" spans="1:22" x14ac:dyDescent="0.2">
      <c r="A293" s="29">
        <v>292</v>
      </c>
      <c r="B293" s="13">
        <v>44693.488779012339</v>
      </c>
      <c r="C293" s="14" t="s">
        <v>17</v>
      </c>
      <c r="D293" s="15">
        <v>28318.45618374191</v>
      </c>
      <c r="E293" s="16">
        <v>13045.557080856828</v>
      </c>
      <c r="F293" s="17">
        <v>-362212.83031717472</v>
      </c>
      <c r="G293" s="25">
        <v>32876.488350740532</v>
      </c>
      <c r="H293" s="26">
        <v>12372</v>
      </c>
      <c r="I293" s="24">
        <v>-351732.9374828916</v>
      </c>
      <c r="J293">
        <f t="shared" si="8"/>
        <v>11448</v>
      </c>
      <c r="K293" s="18">
        <v>10937</v>
      </c>
      <c r="L293">
        <f t="shared" si="9"/>
        <v>-511</v>
      </c>
      <c r="M293" s="19">
        <v>630</v>
      </c>
      <c r="N293" s="20" t="b">
        <v>1</v>
      </c>
      <c r="O293" s="21">
        <v>-63</v>
      </c>
      <c r="P293" s="26" t="b">
        <f>ABS(Table1[[#This Row],[Estimate error]])-Table1[[#This Row],[Standard Deviation]]&lt;0</f>
        <v>1</v>
      </c>
      <c r="U293" s="11"/>
      <c r="V293" s="12"/>
    </row>
    <row r="294" spans="1:22" x14ac:dyDescent="0.2">
      <c r="A294" s="29">
        <v>293</v>
      </c>
      <c r="B294" s="13">
        <v>44693.488779012339</v>
      </c>
      <c r="C294" s="14" t="s">
        <v>31</v>
      </c>
      <c r="D294" s="15">
        <v>28318.45618374191</v>
      </c>
      <c r="E294" s="16">
        <v>13045.557080856828</v>
      </c>
      <c r="F294" s="17">
        <v>-362212.83031717472</v>
      </c>
      <c r="G294" s="25">
        <v>74177.481073078248</v>
      </c>
      <c r="H294" s="26">
        <v>11187</v>
      </c>
      <c r="I294" s="24">
        <v>-356447.89152410487</v>
      </c>
      <c r="J294">
        <f t="shared" si="8"/>
        <v>46257</v>
      </c>
      <c r="K294" s="18">
        <v>0</v>
      </c>
      <c r="L294">
        <f t="shared" si="9"/>
        <v>0</v>
      </c>
      <c r="M294" s="19">
        <v>0</v>
      </c>
      <c r="N294" s="20" t="b">
        <v>0</v>
      </c>
      <c r="O294" s="21">
        <v>-91</v>
      </c>
      <c r="P294" s="26" t="b">
        <f>ABS(Table1[[#This Row],[Estimate error]])-Table1[[#This Row],[Standard Deviation]]&lt;0</f>
        <v>0</v>
      </c>
      <c r="U294" s="11"/>
      <c r="V294" s="12"/>
    </row>
    <row r="295" spans="1:22" x14ac:dyDescent="0.2">
      <c r="A295" s="29">
        <v>294</v>
      </c>
      <c r="B295" s="13">
        <v>44693.488779012339</v>
      </c>
      <c r="C295" s="14" t="s">
        <v>16</v>
      </c>
      <c r="D295" s="15">
        <v>28318.45618374191</v>
      </c>
      <c r="E295" s="16">
        <v>13045.557080856828</v>
      </c>
      <c r="F295" s="17">
        <v>-362212.83031717472</v>
      </c>
      <c r="G295" s="25">
        <v>29805.999043266896</v>
      </c>
      <c r="H295" s="26">
        <v>11187</v>
      </c>
      <c r="I295" s="24">
        <v>-330864.9970057765</v>
      </c>
      <c r="J295">
        <f t="shared" si="8"/>
        <v>31438</v>
      </c>
      <c r="K295" s="18">
        <v>0</v>
      </c>
      <c r="L295">
        <f t="shared" si="9"/>
        <v>0</v>
      </c>
      <c r="M295" s="19">
        <v>0</v>
      </c>
      <c r="N295" s="20" t="b">
        <v>0</v>
      </c>
      <c r="O295" s="21">
        <v>-86</v>
      </c>
      <c r="P295" s="26" t="b">
        <f>ABS(Table1[[#This Row],[Estimate error]])-Table1[[#This Row],[Standard Deviation]]&lt;0</f>
        <v>0</v>
      </c>
      <c r="U295" s="11"/>
      <c r="V295" s="12"/>
    </row>
    <row r="296" spans="1:22" x14ac:dyDescent="0.2">
      <c r="A296" s="29">
        <v>295</v>
      </c>
      <c r="B296" s="13">
        <v>44693.488779012339</v>
      </c>
      <c r="C296" s="14" t="s">
        <v>28</v>
      </c>
      <c r="D296" s="15">
        <v>28318.45618374191</v>
      </c>
      <c r="E296" s="16">
        <v>13045.557080856828</v>
      </c>
      <c r="F296" s="17">
        <v>-362212.83031717472</v>
      </c>
      <c r="G296" s="25">
        <v>47511.84397421257</v>
      </c>
      <c r="H296" s="26">
        <v>12577</v>
      </c>
      <c r="I296" s="24">
        <v>-366209.6994908413</v>
      </c>
      <c r="J296">
        <f t="shared" si="8"/>
        <v>19611</v>
      </c>
      <c r="K296" s="18">
        <v>19625</v>
      </c>
      <c r="L296">
        <f t="shared" si="9"/>
        <v>14</v>
      </c>
      <c r="M296" s="19">
        <v>765</v>
      </c>
      <c r="N296" s="20" t="b">
        <v>1</v>
      </c>
      <c r="O296" s="21">
        <v>-73</v>
      </c>
      <c r="P296" s="26" t="b">
        <f>ABS(Table1[[#This Row],[Estimate error]])-Table1[[#This Row],[Standard Deviation]]&lt;0</f>
        <v>1</v>
      </c>
      <c r="U296" s="11"/>
      <c r="V296" s="12"/>
    </row>
    <row r="297" spans="1:22" x14ac:dyDescent="0.2">
      <c r="A297" s="29">
        <v>296</v>
      </c>
      <c r="B297" s="13">
        <v>44693.488779012339</v>
      </c>
      <c r="C297" s="14" t="s">
        <v>17</v>
      </c>
      <c r="D297" s="15">
        <v>28318.45618374191</v>
      </c>
      <c r="E297" s="16">
        <v>13045.557080856828</v>
      </c>
      <c r="F297" s="17">
        <v>-362212.83031717472</v>
      </c>
      <c r="G297" s="25">
        <v>32876.488350740532</v>
      </c>
      <c r="H297" s="26">
        <v>12372</v>
      </c>
      <c r="I297" s="24">
        <v>-351732.9374828916</v>
      </c>
      <c r="J297">
        <f t="shared" si="8"/>
        <v>11448</v>
      </c>
      <c r="K297" s="18">
        <v>10937</v>
      </c>
      <c r="L297">
        <f t="shared" si="9"/>
        <v>-511</v>
      </c>
      <c r="M297" s="19">
        <v>750</v>
      </c>
      <c r="N297" s="20" t="b">
        <v>1</v>
      </c>
      <c r="O297" s="21">
        <v>-63</v>
      </c>
      <c r="P297" s="26" t="b">
        <f>ABS(Table1[[#This Row],[Estimate error]])-Table1[[#This Row],[Standard Deviation]]&lt;0</f>
        <v>1</v>
      </c>
      <c r="U297" s="11"/>
      <c r="V297" s="12"/>
    </row>
    <row r="298" spans="1:22" x14ac:dyDescent="0.2">
      <c r="A298" s="29">
        <v>297</v>
      </c>
      <c r="B298" s="13">
        <v>44693.488779012339</v>
      </c>
      <c r="C298" s="14" t="s">
        <v>31</v>
      </c>
      <c r="D298" s="15">
        <v>28318.45618374191</v>
      </c>
      <c r="E298" s="16">
        <v>13045.557080856828</v>
      </c>
      <c r="F298" s="17">
        <v>-362212.83031717472</v>
      </c>
      <c r="G298" s="25">
        <v>74177.481073078248</v>
      </c>
      <c r="H298" s="26">
        <v>11187</v>
      </c>
      <c r="I298" s="24">
        <v>-356447.89152410487</v>
      </c>
      <c r="J298">
        <f t="shared" si="8"/>
        <v>46257</v>
      </c>
      <c r="K298" s="18">
        <v>0</v>
      </c>
      <c r="L298">
        <f t="shared" si="9"/>
        <v>0</v>
      </c>
      <c r="M298" s="19">
        <v>0</v>
      </c>
      <c r="N298" s="20" t="b">
        <v>0</v>
      </c>
      <c r="O298" s="21">
        <v>-91</v>
      </c>
      <c r="P298" s="26" t="b">
        <f>ABS(Table1[[#This Row],[Estimate error]])-Table1[[#This Row],[Standard Deviation]]&lt;0</f>
        <v>0</v>
      </c>
      <c r="U298" s="11"/>
      <c r="V298" s="12"/>
    </row>
    <row r="299" spans="1:22" x14ac:dyDescent="0.2">
      <c r="A299" s="29">
        <v>298</v>
      </c>
      <c r="B299" s="13">
        <v>44693.488779012339</v>
      </c>
      <c r="C299" s="14" t="s">
        <v>16</v>
      </c>
      <c r="D299" s="15">
        <v>28318.45618374191</v>
      </c>
      <c r="E299" s="16">
        <v>13045.557080856828</v>
      </c>
      <c r="F299" s="17">
        <v>-362212.83031717472</v>
      </c>
      <c r="G299" s="25">
        <v>29805.999043266896</v>
      </c>
      <c r="H299" s="26">
        <v>11187</v>
      </c>
      <c r="I299" s="24">
        <v>-330864.9970057765</v>
      </c>
      <c r="J299">
        <f t="shared" si="8"/>
        <v>31438</v>
      </c>
      <c r="K299" s="18">
        <v>0</v>
      </c>
      <c r="L299">
        <f t="shared" si="9"/>
        <v>0</v>
      </c>
      <c r="M299" s="19">
        <v>0</v>
      </c>
      <c r="N299" s="20" t="b">
        <v>0</v>
      </c>
      <c r="O299" s="21">
        <v>-86</v>
      </c>
      <c r="P299" s="26" t="b">
        <f>ABS(Table1[[#This Row],[Estimate error]])-Table1[[#This Row],[Standard Deviation]]&lt;0</f>
        <v>0</v>
      </c>
      <c r="U299" s="11"/>
      <c r="V299" s="12"/>
    </row>
    <row r="300" spans="1:22" x14ac:dyDescent="0.2">
      <c r="A300" s="29">
        <v>299</v>
      </c>
      <c r="B300" s="13">
        <v>44693.488779012339</v>
      </c>
      <c r="C300" s="14" t="s">
        <v>28</v>
      </c>
      <c r="D300" s="15">
        <v>28318.45618374191</v>
      </c>
      <c r="E300" s="16">
        <v>13045.557080856828</v>
      </c>
      <c r="F300" s="17">
        <v>-362212.83031717472</v>
      </c>
      <c r="G300" s="25">
        <v>47511.84397421257</v>
      </c>
      <c r="H300" s="26">
        <v>12577</v>
      </c>
      <c r="I300" s="24">
        <v>-366209.6994908413</v>
      </c>
      <c r="J300">
        <f t="shared" si="8"/>
        <v>19611</v>
      </c>
      <c r="K300" s="18">
        <v>20500</v>
      </c>
      <c r="L300">
        <f t="shared" si="9"/>
        <v>889</v>
      </c>
      <c r="M300" s="19">
        <v>840</v>
      </c>
      <c r="N300" s="20" t="b">
        <v>1</v>
      </c>
      <c r="O300" s="21">
        <v>-73</v>
      </c>
      <c r="P300" s="26" t="b">
        <f>ABS(Table1[[#This Row],[Estimate error]])-Table1[[#This Row],[Standard Deviation]]&lt;0</f>
        <v>0</v>
      </c>
      <c r="U300" s="11"/>
      <c r="V300" s="12"/>
    </row>
    <row r="301" spans="1:22" x14ac:dyDescent="0.2">
      <c r="A301" s="29">
        <v>300</v>
      </c>
      <c r="B301" s="13">
        <v>44693.488779012339</v>
      </c>
      <c r="C301" s="14" t="s">
        <v>17</v>
      </c>
      <c r="D301" s="15">
        <v>28318.45618374191</v>
      </c>
      <c r="E301" s="16">
        <v>13045.557080856828</v>
      </c>
      <c r="F301" s="17">
        <v>-362212.83031717472</v>
      </c>
      <c r="G301" s="25">
        <v>32876.488350740532</v>
      </c>
      <c r="H301" s="26">
        <v>12372</v>
      </c>
      <c r="I301" s="24">
        <v>-351732.9374828916</v>
      </c>
      <c r="J301">
        <f t="shared" si="8"/>
        <v>11448</v>
      </c>
      <c r="K301" s="18">
        <v>11250</v>
      </c>
      <c r="L301">
        <f t="shared" si="9"/>
        <v>-198</v>
      </c>
      <c r="M301" s="19">
        <v>870</v>
      </c>
      <c r="N301" s="20" t="b">
        <v>1</v>
      </c>
      <c r="O301" s="21">
        <v>-63</v>
      </c>
      <c r="P301" s="26" t="b">
        <f>ABS(Table1[[#This Row],[Estimate error]])-Table1[[#This Row],[Standard Deviation]]&lt;0</f>
        <v>1</v>
      </c>
      <c r="U301" s="11"/>
      <c r="V301" s="12"/>
    </row>
    <row r="302" spans="1:22" x14ac:dyDescent="0.2">
      <c r="A302" s="29">
        <v>301</v>
      </c>
      <c r="B302" s="13">
        <v>44693.488779012339</v>
      </c>
      <c r="C302" s="14" t="s">
        <v>31</v>
      </c>
      <c r="D302" s="15">
        <v>28318.45618374191</v>
      </c>
      <c r="E302" s="16">
        <v>13045.557080856828</v>
      </c>
      <c r="F302" s="17">
        <v>-362212.83031717472</v>
      </c>
      <c r="G302" s="25">
        <v>74177.481073078248</v>
      </c>
      <c r="H302" s="26">
        <v>11187</v>
      </c>
      <c r="I302" s="24">
        <v>-356447.89152410487</v>
      </c>
      <c r="J302">
        <f t="shared" si="8"/>
        <v>46257</v>
      </c>
      <c r="K302" s="18">
        <v>0</v>
      </c>
      <c r="L302">
        <f t="shared" si="9"/>
        <v>0</v>
      </c>
      <c r="M302" s="19">
        <v>0</v>
      </c>
      <c r="N302" s="20" t="b">
        <v>0</v>
      </c>
      <c r="O302" s="21">
        <v>-91</v>
      </c>
      <c r="P302" s="26" t="b">
        <f>ABS(Table1[[#This Row],[Estimate error]])-Table1[[#This Row],[Standard Deviation]]&lt;0</f>
        <v>0</v>
      </c>
      <c r="U302" s="11"/>
      <c r="V302" s="12"/>
    </row>
    <row r="303" spans="1:22" x14ac:dyDescent="0.2">
      <c r="A303" s="29">
        <v>302</v>
      </c>
      <c r="B303" s="13">
        <v>44693.488779012339</v>
      </c>
      <c r="C303" s="14" t="s">
        <v>16</v>
      </c>
      <c r="D303" s="15">
        <v>28318.45618374191</v>
      </c>
      <c r="E303" s="16">
        <v>13045.557080856828</v>
      </c>
      <c r="F303" s="17">
        <v>-362212.83031717472</v>
      </c>
      <c r="G303" s="25">
        <v>29805.999043266896</v>
      </c>
      <c r="H303" s="26">
        <v>11187</v>
      </c>
      <c r="I303" s="24">
        <v>-330864.9970057765</v>
      </c>
      <c r="J303">
        <f t="shared" si="8"/>
        <v>31438</v>
      </c>
      <c r="K303" s="18">
        <v>0</v>
      </c>
      <c r="L303">
        <f t="shared" si="9"/>
        <v>0</v>
      </c>
      <c r="M303" s="19">
        <v>0</v>
      </c>
      <c r="N303" s="20" t="b">
        <v>0</v>
      </c>
      <c r="O303" s="21">
        <v>-86</v>
      </c>
      <c r="P303" s="26" t="b">
        <f>ABS(Table1[[#This Row],[Estimate error]])-Table1[[#This Row],[Standard Deviation]]&lt;0</f>
        <v>0</v>
      </c>
      <c r="U303" s="11"/>
      <c r="V303" s="12"/>
    </row>
    <row r="304" spans="1:22" x14ac:dyDescent="0.2">
      <c r="A304" s="29">
        <v>303</v>
      </c>
      <c r="B304" s="13">
        <v>44693.488779012339</v>
      </c>
      <c r="C304" s="14" t="s">
        <v>28</v>
      </c>
      <c r="D304" s="15">
        <v>28318.45618374191</v>
      </c>
      <c r="E304" s="16">
        <v>13045.557080856828</v>
      </c>
      <c r="F304" s="17">
        <v>-362212.83031717472</v>
      </c>
      <c r="G304" s="25">
        <v>47511.84397421257</v>
      </c>
      <c r="H304" s="26">
        <v>12577</v>
      </c>
      <c r="I304" s="24">
        <v>-366209.6994908413</v>
      </c>
      <c r="J304">
        <f t="shared" si="8"/>
        <v>19611</v>
      </c>
      <c r="K304" s="18">
        <v>20812</v>
      </c>
      <c r="L304">
        <f t="shared" si="9"/>
        <v>1201</v>
      </c>
      <c r="M304" s="19">
        <v>1230</v>
      </c>
      <c r="N304" s="20" t="b">
        <v>1</v>
      </c>
      <c r="O304" s="21">
        <v>-73</v>
      </c>
      <c r="P304" s="26" t="b">
        <f>ABS(Table1[[#This Row],[Estimate error]])-Table1[[#This Row],[Standard Deviation]]&lt;0</f>
        <v>1</v>
      </c>
      <c r="U304" s="11"/>
      <c r="V304" s="12"/>
    </row>
    <row r="305" spans="1:22" x14ac:dyDescent="0.2">
      <c r="A305" s="29">
        <v>304</v>
      </c>
      <c r="B305" s="13">
        <v>44693.488779012339</v>
      </c>
      <c r="C305" s="14" t="s">
        <v>17</v>
      </c>
      <c r="D305" s="15">
        <v>28318.45618374191</v>
      </c>
      <c r="E305" s="16">
        <v>13045.557080856828</v>
      </c>
      <c r="F305" s="17">
        <v>-362212.83031717472</v>
      </c>
      <c r="G305" s="25">
        <v>32876.488350740532</v>
      </c>
      <c r="H305" s="26">
        <v>12372</v>
      </c>
      <c r="I305" s="24">
        <v>-351732.9374828916</v>
      </c>
      <c r="J305">
        <f t="shared" si="8"/>
        <v>11448</v>
      </c>
      <c r="K305" s="18">
        <v>10500</v>
      </c>
      <c r="L305">
        <f t="shared" si="9"/>
        <v>-948</v>
      </c>
      <c r="M305" s="19">
        <v>780</v>
      </c>
      <c r="N305" s="20" t="b">
        <v>1</v>
      </c>
      <c r="O305" s="21">
        <v>-63</v>
      </c>
      <c r="P305" s="26" t="b">
        <f>ABS(Table1[[#This Row],[Estimate error]])-Table1[[#This Row],[Standard Deviation]]&lt;0</f>
        <v>0</v>
      </c>
      <c r="U305" s="11"/>
      <c r="V305" s="12"/>
    </row>
    <row r="306" spans="1:22" x14ac:dyDescent="0.2">
      <c r="A306" s="29">
        <v>305</v>
      </c>
      <c r="B306" s="13">
        <v>44693.488779012339</v>
      </c>
      <c r="C306" s="14" t="s">
        <v>31</v>
      </c>
      <c r="D306" s="15">
        <v>28318.45618374191</v>
      </c>
      <c r="E306" s="16">
        <v>13045.557080856828</v>
      </c>
      <c r="F306" s="17">
        <v>-362212.83031717472</v>
      </c>
      <c r="G306" s="25">
        <v>74177.481073078248</v>
      </c>
      <c r="H306" s="26">
        <v>11187</v>
      </c>
      <c r="I306" s="24">
        <v>-356447.89152410487</v>
      </c>
      <c r="J306">
        <f t="shared" si="8"/>
        <v>46257</v>
      </c>
      <c r="K306" s="18">
        <v>0</v>
      </c>
      <c r="L306">
        <f t="shared" si="9"/>
        <v>0</v>
      </c>
      <c r="M306" s="19">
        <v>0</v>
      </c>
      <c r="N306" s="20" t="b">
        <v>0</v>
      </c>
      <c r="O306" s="21">
        <v>-91</v>
      </c>
      <c r="P306" s="26" t="b">
        <f>ABS(Table1[[#This Row],[Estimate error]])-Table1[[#This Row],[Standard Deviation]]&lt;0</f>
        <v>0</v>
      </c>
      <c r="U306" s="11"/>
      <c r="V306" s="12"/>
    </row>
    <row r="307" spans="1:22" x14ac:dyDescent="0.2">
      <c r="A307" s="29">
        <v>306</v>
      </c>
      <c r="B307" s="13">
        <v>44693.489074074074</v>
      </c>
      <c r="C307" s="14" t="s">
        <v>16</v>
      </c>
      <c r="D307" s="15">
        <v>26366.67695136309</v>
      </c>
      <c r="E307" s="16">
        <v>13006.631634961284</v>
      </c>
      <c r="F307" s="17">
        <v>-354652.12454722269</v>
      </c>
      <c r="G307" s="25">
        <v>29805.999043266896</v>
      </c>
      <c r="H307" s="26">
        <v>11187</v>
      </c>
      <c r="I307" s="24">
        <v>-330864.9970057765</v>
      </c>
      <c r="J307">
        <f t="shared" si="8"/>
        <v>24103</v>
      </c>
      <c r="K307" s="18">
        <v>0</v>
      </c>
      <c r="L307">
        <f t="shared" si="9"/>
        <v>0</v>
      </c>
      <c r="M307" s="19">
        <v>0</v>
      </c>
      <c r="N307" s="20" t="b">
        <v>0</v>
      </c>
      <c r="O307" s="21">
        <v>-87</v>
      </c>
      <c r="P307" s="26" t="b">
        <f>ABS(Table1[[#This Row],[Estimate error]])-Table1[[#This Row],[Standard Deviation]]&lt;0</f>
        <v>0</v>
      </c>
      <c r="U307" s="11"/>
      <c r="V307" s="12"/>
    </row>
    <row r="308" spans="1:22" x14ac:dyDescent="0.2">
      <c r="A308" s="29">
        <v>307</v>
      </c>
      <c r="B308" s="13">
        <v>44693.489074074074</v>
      </c>
      <c r="C308" s="14" t="s">
        <v>28</v>
      </c>
      <c r="D308" s="15">
        <v>26366.67695136309</v>
      </c>
      <c r="E308" s="16">
        <v>13006.631634961284</v>
      </c>
      <c r="F308" s="17">
        <v>-354652.12454722269</v>
      </c>
      <c r="G308" s="25">
        <v>47511.84397421257</v>
      </c>
      <c r="H308" s="26">
        <v>12577</v>
      </c>
      <c r="I308" s="24">
        <v>-366209.6994908413</v>
      </c>
      <c r="J308">
        <f t="shared" si="8"/>
        <v>24101</v>
      </c>
      <c r="K308" s="18">
        <v>25937</v>
      </c>
      <c r="L308">
        <f t="shared" si="9"/>
        <v>1836</v>
      </c>
      <c r="M308" s="19">
        <v>540</v>
      </c>
      <c r="N308" s="20" t="b">
        <v>1</v>
      </c>
      <c r="O308" s="21">
        <v>-75</v>
      </c>
      <c r="P308" s="26" t="b">
        <f>ABS(Table1[[#This Row],[Estimate error]])-Table1[[#This Row],[Standard Deviation]]&lt;0</f>
        <v>0</v>
      </c>
      <c r="U308" s="11"/>
      <c r="V308" s="12"/>
    </row>
    <row r="309" spans="1:22" x14ac:dyDescent="0.2">
      <c r="A309" s="29">
        <v>308</v>
      </c>
      <c r="B309" s="13">
        <v>44693.489074074074</v>
      </c>
      <c r="C309" s="14" t="s">
        <v>17</v>
      </c>
      <c r="D309" s="15">
        <v>26366.67695136309</v>
      </c>
      <c r="E309" s="16">
        <v>13006.631634961284</v>
      </c>
      <c r="F309" s="17">
        <v>-354652.12454722269</v>
      </c>
      <c r="G309" s="25">
        <v>32876.488350740532</v>
      </c>
      <c r="H309" s="26">
        <v>12372</v>
      </c>
      <c r="I309" s="24">
        <v>-351732.9374828916</v>
      </c>
      <c r="J309">
        <f t="shared" si="8"/>
        <v>7163</v>
      </c>
      <c r="K309" s="18">
        <v>8062</v>
      </c>
      <c r="L309">
        <f t="shared" si="9"/>
        <v>899</v>
      </c>
      <c r="M309" s="19">
        <v>645</v>
      </c>
      <c r="N309" s="20" t="b">
        <v>1</v>
      </c>
      <c r="O309" s="21">
        <v>-58</v>
      </c>
      <c r="P309" s="26" t="b">
        <f>ABS(Table1[[#This Row],[Estimate error]])-Table1[[#This Row],[Standard Deviation]]&lt;0</f>
        <v>0</v>
      </c>
      <c r="U309" s="11"/>
      <c r="V309" s="12"/>
    </row>
    <row r="310" spans="1:22" x14ac:dyDescent="0.2">
      <c r="A310" s="29">
        <v>309</v>
      </c>
      <c r="B310" s="13">
        <v>44693.489074074074</v>
      </c>
      <c r="C310" s="14" t="s">
        <v>16</v>
      </c>
      <c r="D310" s="15">
        <v>26366.67695136309</v>
      </c>
      <c r="E310" s="16">
        <v>13006.631634961284</v>
      </c>
      <c r="F310" s="17">
        <v>-354652.12454722269</v>
      </c>
      <c r="G310" s="25">
        <v>29805.999043266896</v>
      </c>
      <c r="H310" s="26">
        <v>11187</v>
      </c>
      <c r="I310" s="24">
        <v>-330864.9970057765</v>
      </c>
      <c r="J310">
        <f t="shared" si="8"/>
        <v>24103</v>
      </c>
      <c r="K310" s="18">
        <v>0</v>
      </c>
      <c r="L310">
        <f t="shared" si="9"/>
        <v>0</v>
      </c>
      <c r="M310" s="19">
        <v>0</v>
      </c>
      <c r="N310" s="20" t="b">
        <v>0</v>
      </c>
      <c r="O310" s="21">
        <v>-87</v>
      </c>
      <c r="P310" s="26" t="b">
        <f>ABS(Table1[[#This Row],[Estimate error]])-Table1[[#This Row],[Standard Deviation]]&lt;0</f>
        <v>0</v>
      </c>
      <c r="U310" s="11"/>
      <c r="V310" s="12"/>
    </row>
    <row r="311" spans="1:22" x14ac:dyDescent="0.2">
      <c r="A311" s="29">
        <v>310</v>
      </c>
      <c r="B311" s="13">
        <v>44693.489074074074</v>
      </c>
      <c r="C311" s="14" t="s">
        <v>28</v>
      </c>
      <c r="D311" s="15">
        <v>26366.67695136309</v>
      </c>
      <c r="E311" s="16">
        <v>13006.631634961284</v>
      </c>
      <c r="F311" s="17">
        <v>-354652.12454722269</v>
      </c>
      <c r="G311" s="25">
        <v>47511.84397421257</v>
      </c>
      <c r="H311" s="26">
        <v>12577</v>
      </c>
      <c r="I311" s="24">
        <v>-366209.6994908413</v>
      </c>
      <c r="J311">
        <f t="shared" si="8"/>
        <v>24101</v>
      </c>
      <c r="K311" s="18">
        <v>26375</v>
      </c>
      <c r="L311">
        <f t="shared" si="9"/>
        <v>2274</v>
      </c>
      <c r="M311" s="19">
        <v>945</v>
      </c>
      <c r="N311" s="20" t="b">
        <v>1</v>
      </c>
      <c r="O311" s="21">
        <v>-75</v>
      </c>
      <c r="P311" s="26" t="b">
        <f>ABS(Table1[[#This Row],[Estimate error]])-Table1[[#This Row],[Standard Deviation]]&lt;0</f>
        <v>0</v>
      </c>
      <c r="U311" s="11"/>
      <c r="V311" s="12"/>
    </row>
    <row r="312" spans="1:22" x14ac:dyDescent="0.2">
      <c r="A312" s="29">
        <v>311</v>
      </c>
      <c r="B312" s="13">
        <v>44693.489074074074</v>
      </c>
      <c r="C312" s="14" t="s">
        <v>17</v>
      </c>
      <c r="D312" s="15">
        <v>26366.67695136309</v>
      </c>
      <c r="E312" s="16">
        <v>13006.631634961284</v>
      </c>
      <c r="F312" s="17">
        <v>-354652.12454722269</v>
      </c>
      <c r="G312" s="25">
        <v>32876.488350740532</v>
      </c>
      <c r="H312" s="26">
        <v>12372</v>
      </c>
      <c r="I312" s="24">
        <v>-351732.9374828916</v>
      </c>
      <c r="J312">
        <f t="shared" si="8"/>
        <v>7163</v>
      </c>
      <c r="K312" s="18">
        <v>7500</v>
      </c>
      <c r="L312">
        <f t="shared" si="9"/>
        <v>337</v>
      </c>
      <c r="M312" s="19">
        <v>810</v>
      </c>
      <c r="N312" s="20" t="b">
        <v>1</v>
      </c>
      <c r="O312" s="21">
        <v>-58</v>
      </c>
      <c r="P312" s="26" t="b">
        <f>ABS(Table1[[#This Row],[Estimate error]])-Table1[[#This Row],[Standard Deviation]]&lt;0</f>
        <v>1</v>
      </c>
      <c r="U312" s="11"/>
      <c r="V312" s="12"/>
    </row>
    <row r="313" spans="1:22" x14ac:dyDescent="0.2">
      <c r="A313" s="29">
        <v>312</v>
      </c>
      <c r="B313" s="13">
        <v>44693.489074074074</v>
      </c>
      <c r="C313" s="14" t="s">
        <v>16</v>
      </c>
      <c r="D313" s="15">
        <v>26366.67695136309</v>
      </c>
      <c r="E313" s="16">
        <v>13006.631634961284</v>
      </c>
      <c r="F313" s="17">
        <v>-354652.12454722269</v>
      </c>
      <c r="G313" s="25">
        <v>29805.999043266896</v>
      </c>
      <c r="H313" s="26">
        <v>11187</v>
      </c>
      <c r="I313" s="24">
        <v>-330864.9970057765</v>
      </c>
      <c r="J313">
        <f t="shared" si="8"/>
        <v>24103</v>
      </c>
      <c r="K313" s="18">
        <v>0</v>
      </c>
      <c r="L313">
        <f t="shared" si="9"/>
        <v>0</v>
      </c>
      <c r="M313" s="19">
        <v>0</v>
      </c>
      <c r="N313" s="20" t="b">
        <v>0</v>
      </c>
      <c r="O313" s="21">
        <v>-87</v>
      </c>
      <c r="P313" s="26" t="b">
        <f>ABS(Table1[[#This Row],[Estimate error]])-Table1[[#This Row],[Standard Deviation]]&lt;0</f>
        <v>0</v>
      </c>
      <c r="U313" s="11"/>
      <c r="V313" s="12"/>
    </row>
    <row r="314" spans="1:22" x14ac:dyDescent="0.2">
      <c r="A314" s="29">
        <v>313</v>
      </c>
      <c r="B314" s="13">
        <v>44693.489074074074</v>
      </c>
      <c r="C314" s="14" t="s">
        <v>28</v>
      </c>
      <c r="D314" s="15">
        <v>26366.67695136309</v>
      </c>
      <c r="E314" s="16">
        <v>13006.631634961284</v>
      </c>
      <c r="F314" s="17">
        <v>-354652.12454722269</v>
      </c>
      <c r="G314" s="25">
        <v>47511.84397421257</v>
      </c>
      <c r="H314" s="26">
        <v>12577</v>
      </c>
      <c r="I314" s="24">
        <v>-366209.6994908413</v>
      </c>
      <c r="J314">
        <f t="shared" si="8"/>
        <v>24101</v>
      </c>
      <c r="K314" s="18">
        <v>25312</v>
      </c>
      <c r="L314">
        <f t="shared" si="9"/>
        <v>1211</v>
      </c>
      <c r="M314" s="19">
        <v>825</v>
      </c>
      <c r="N314" s="20" t="b">
        <v>1</v>
      </c>
      <c r="O314" s="21">
        <v>-75</v>
      </c>
      <c r="P314" s="26" t="b">
        <f>ABS(Table1[[#This Row],[Estimate error]])-Table1[[#This Row],[Standard Deviation]]&lt;0</f>
        <v>0</v>
      </c>
      <c r="U314" s="11"/>
      <c r="V314" s="12"/>
    </row>
    <row r="315" spans="1:22" x14ac:dyDescent="0.2">
      <c r="A315" s="29">
        <v>314</v>
      </c>
      <c r="B315" s="13">
        <v>44693.489074074074</v>
      </c>
      <c r="C315" s="14" t="s">
        <v>17</v>
      </c>
      <c r="D315" s="15">
        <v>26366.67695136309</v>
      </c>
      <c r="E315" s="16">
        <v>13006.631634961284</v>
      </c>
      <c r="F315" s="17">
        <v>-354652.12454722269</v>
      </c>
      <c r="G315" s="25">
        <v>32876.488350740532</v>
      </c>
      <c r="H315" s="26">
        <v>12372</v>
      </c>
      <c r="I315" s="24">
        <v>-351732.9374828916</v>
      </c>
      <c r="J315">
        <f t="shared" si="8"/>
        <v>7163</v>
      </c>
      <c r="K315" s="18">
        <v>7312</v>
      </c>
      <c r="L315">
        <f t="shared" si="9"/>
        <v>149</v>
      </c>
      <c r="M315" s="19">
        <v>690</v>
      </c>
      <c r="N315" s="20" t="b">
        <v>1</v>
      </c>
      <c r="O315" s="21">
        <v>-58</v>
      </c>
      <c r="P315" s="26" t="b">
        <f>ABS(Table1[[#This Row],[Estimate error]])-Table1[[#This Row],[Standard Deviation]]&lt;0</f>
        <v>1</v>
      </c>
      <c r="U315" s="11"/>
      <c r="V315" s="12"/>
    </row>
    <row r="316" spans="1:22" x14ac:dyDescent="0.2">
      <c r="A316" s="29">
        <v>315</v>
      </c>
      <c r="B316" s="13">
        <v>44693.489074074074</v>
      </c>
      <c r="C316" s="14" t="s">
        <v>16</v>
      </c>
      <c r="D316" s="15">
        <v>26366.67695136309</v>
      </c>
      <c r="E316" s="16">
        <v>13006.631634961284</v>
      </c>
      <c r="F316" s="17">
        <v>-354652.12454722269</v>
      </c>
      <c r="G316" s="25">
        <v>29805.999043266896</v>
      </c>
      <c r="H316" s="26">
        <v>11187</v>
      </c>
      <c r="I316" s="24">
        <v>-330864.9970057765</v>
      </c>
      <c r="J316">
        <f t="shared" si="8"/>
        <v>24103</v>
      </c>
      <c r="K316" s="18">
        <v>0</v>
      </c>
      <c r="L316">
        <f t="shared" si="9"/>
        <v>0</v>
      </c>
      <c r="M316" s="19">
        <v>0</v>
      </c>
      <c r="N316" s="20" t="b">
        <v>0</v>
      </c>
      <c r="O316" s="21">
        <v>-87</v>
      </c>
      <c r="P316" s="26" t="b">
        <f>ABS(Table1[[#This Row],[Estimate error]])-Table1[[#This Row],[Standard Deviation]]&lt;0</f>
        <v>0</v>
      </c>
      <c r="U316" s="11"/>
      <c r="V316" s="12"/>
    </row>
    <row r="317" spans="1:22" x14ac:dyDescent="0.2">
      <c r="A317" s="29">
        <v>316</v>
      </c>
      <c r="B317" s="13">
        <v>44693.489074074074</v>
      </c>
      <c r="C317" s="14" t="s">
        <v>28</v>
      </c>
      <c r="D317" s="15">
        <v>26366.67695136309</v>
      </c>
      <c r="E317" s="16">
        <v>13006.631634961284</v>
      </c>
      <c r="F317" s="17">
        <v>-354652.12454722269</v>
      </c>
      <c r="G317" s="25">
        <v>47511.84397421257</v>
      </c>
      <c r="H317" s="26">
        <v>12577</v>
      </c>
      <c r="I317" s="24">
        <v>-366209.6994908413</v>
      </c>
      <c r="J317">
        <f t="shared" si="8"/>
        <v>24101</v>
      </c>
      <c r="K317" s="18">
        <v>28500</v>
      </c>
      <c r="L317">
        <f t="shared" si="9"/>
        <v>4399</v>
      </c>
      <c r="M317" s="19">
        <v>885</v>
      </c>
      <c r="N317" s="20" t="b">
        <v>1</v>
      </c>
      <c r="O317" s="21">
        <v>-75</v>
      </c>
      <c r="P317" s="26" t="b">
        <f>ABS(Table1[[#This Row],[Estimate error]])-Table1[[#This Row],[Standard Deviation]]&lt;0</f>
        <v>0</v>
      </c>
      <c r="U317" s="11"/>
      <c r="V317" s="12"/>
    </row>
    <row r="318" spans="1:22" x14ac:dyDescent="0.2">
      <c r="A318" s="29">
        <v>317</v>
      </c>
      <c r="B318" s="13">
        <v>44693.489074074074</v>
      </c>
      <c r="C318" s="14" t="s">
        <v>17</v>
      </c>
      <c r="D318" s="15">
        <v>26366.67695136309</v>
      </c>
      <c r="E318" s="16">
        <v>13006.631634961284</v>
      </c>
      <c r="F318" s="17">
        <v>-354652.12454722269</v>
      </c>
      <c r="G318" s="25">
        <v>32876.488350740532</v>
      </c>
      <c r="H318" s="26">
        <v>12372</v>
      </c>
      <c r="I318" s="24">
        <v>-351732.9374828916</v>
      </c>
      <c r="J318">
        <f t="shared" si="8"/>
        <v>7163</v>
      </c>
      <c r="K318" s="18">
        <v>7500</v>
      </c>
      <c r="L318">
        <f t="shared" si="9"/>
        <v>337</v>
      </c>
      <c r="M318" s="19">
        <v>600</v>
      </c>
      <c r="N318" s="20" t="b">
        <v>1</v>
      </c>
      <c r="O318" s="21">
        <v>-58</v>
      </c>
      <c r="P318" s="26" t="b">
        <f>ABS(Table1[[#This Row],[Estimate error]])-Table1[[#This Row],[Standard Deviation]]&lt;0</f>
        <v>1</v>
      </c>
      <c r="U318" s="11"/>
      <c r="V318" s="12"/>
    </row>
    <row r="319" spans="1:22" x14ac:dyDescent="0.2">
      <c r="A319" s="29">
        <v>318</v>
      </c>
      <c r="B319" s="13">
        <v>44693.489074074074</v>
      </c>
      <c r="C319" s="14" t="s">
        <v>16</v>
      </c>
      <c r="D319" s="15">
        <v>26366.67695136309</v>
      </c>
      <c r="E319" s="16">
        <v>13006.631634961284</v>
      </c>
      <c r="F319" s="17">
        <v>-354652.12454722269</v>
      </c>
      <c r="G319" s="25">
        <v>29805.999043266896</v>
      </c>
      <c r="H319" s="26">
        <v>11187</v>
      </c>
      <c r="I319" s="24">
        <v>-330864.9970057765</v>
      </c>
      <c r="J319">
        <f t="shared" si="8"/>
        <v>24103</v>
      </c>
      <c r="K319" s="18">
        <v>0</v>
      </c>
      <c r="L319">
        <f t="shared" si="9"/>
        <v>0</v>
      </c>
      <c r="M319" s="19">
        <v>0</v>
      </c>
      <c r="N319" s="20" t="b">
        <v>0</v>
      </c>
      <c r="O319" s="21">
        <v>-87</v>
      </c>
      <c r="P319" s="26" t="b">
        <f>ABS(Table1[[#This Row],[Estimate error]])-Table1[[#This Row],[Standard Deviation]]&lt;0</f>
        <v>0</v>
      </c>
      <c r="U319" s="11"/>
      <c r="V319" s="12"/>
    </row>
    <row r="320" spans="1:22" x14ac:dyDescent="0.2">
      <c r="A320" s="29">
        <v>319</v>
      </c>
      <c r="B320" s="13">
        <v>44693.489074074074</v>
      </c>
      <c r="C320" s="14" t="s">
        <v>28</v>
      </c>
      <c r="D320" s="15">
        <v>26366.67695136309</v>
      </c>
      <c r="E320" s="16">
        <v>13006.631634961284</v>
      </c>
      <c r="F320" s="17">
        <v>-354652.12454722269</v>
      </c>
      <c r="G320" s="25">
        <v>47511.84397421257</v>
      </c>
      <c r="H320" s="26">
        <v>12577</v>
      </c>
      <c r="I320" s="24">
        <v>-366209.6994908413</v>
      </c>
      <c r="J320">
        <f t="shared" si="8"/>
        <v>24101</v>
      </c>
      <c r="K320" s="18">
        <v>28625</v>
      </c>
      <c r="L320">
        <f t="shared" si="9"/>
        <v>4524</v>
      </c>
      <c r="M320" s="19">
        <v>870</v>
      </c>
      <c r="N320" s="20" t="b">
        <v>1</v>
      </c>
      <c r="O320" s="21">
        <v>-75</v>
      </c>
      <c r="P320" s="26" t="b">
        <f>ABS(Table1[[#This Row],[Estimate error]])-Table1[[#This Row],[Standard Deviation]]&lt;0</f>
        <v>0</v>
      </c>
      <c r="U320" s="11"/>
      <c r="V320" s="12"/>
    </row>
    <row r="321" spans="1:22" x14ac:dyDescent="0.2">
      <c r="A321" s="29">
        <v>320</v>
      </c>
      <c r="B321" s="13">
        <v>44693.489074074074</v>
      </c>
      <c r="C321" s="14" t="s">
        <v>17</v>
      </c>
      <c r="D321" s="15">
        <v>26366.67695136309</v>
      </c>
      <c r="E321" s="16">
        <v>13006.631634961284</v>
      </c>
      <c r="F321" s="17">
        <v>-354652.12454722269</v>
      </c>
      <c r="G321" s="25">
        <v>32876.488350740532</v>
      </c>
      <c r="H321" s="26">
        <v>12372</v>
      </c>
      <c r="I321" s="24">
        <v>-351732.9374828916</v>
      </c>
      <c r="J321">
        <f t="shared" si="8"/>
        <v>7163</v>
      </c>
      <c r="K321" s="18">
        <v>7312</v>
      </c>
      <c r="L321">
        <f t="shared" si="9"/>
        <v>149</v>
      </c>
      <c r="M321" s="19">
        <v>615</v>
      </c>
      <c r="N321" s="20" t="b">
        <v>1</v>
      </c>
      <c r="O321" s="21">
        <v>-58</v>
      </c>
      <c r="P321" s="26" t="b">
        <f>ABS(Table1[[#This Row],[Estimate error]])-Table1[[#This Row],[Standard Deviation]]&lt;0</f>
        <v>1</v>
      </c>
      <c r="U321" s="11"/>
      <c r="V321" s="12"/>
    </row>
    <row r="322" spans="1:22" x14ac:dyDescent="0.2">
      <c r="A322" s="29">
        <v>321</v>
      </c>
      <c r="B322" s="13">
        <v>44693.489602854934</v>
      </c>
      <c r="C322" s="14" t="s">
        <v>16</v>
      </c>
      <c r="D322" s="15">
        <v>35242.859103527102</v>
      </c>
      <c r="E322" s="16">
        <v>12805.806483407685</v>
      </c>
      <c r="F322" s="17">
        <v>-353411.67700704676</v>
      </c>
      <c r="G322" s="25">
        <v>29805.999043266896</v>
      </c>
      <c r="H322" s="26">
        <v>11187</v>
      </c>
      <c r="I322" s="24">
        <v>-330864.9970057765</v>
      </c>
      <c r="J322">
        <f t="shared" ref="J322:J356" si="10">ROUND(SQRT((G322-D322)^2+(H322-E322)^2+(I322-F322)^2),0)</f>
        <v>23249</v>
      </c>
      <c r="K322" s="18">
        <v>23062</v>
      </c>
      <c r="L322">
        <f t="shared" ref="L322:L356" si="11">ROUND(IF(N322,K322-J322,0),1)</f>
        <v>-187</v>
      </c>
      <c r="M322" s="19">
        <v>825</v>
      </c>
      <c r="N322" s="20" t="b">
        <v>1</v>
      </c>
      <c r="O322" s="21">
        <v>-64</v>
      </c>
      <c r="P322" s="26" t="b">
        <f>ABS(Table1[[#This Row],[Estimate error]])-Table1[[#This Row],[Standard Deviation]]&lt;0</f>
        <v>1</v>
      </c>
      <c r="U322" s="11"/>
      <c r="V322" s="12"/>
    </row>
    <row r="323" spans="1:22" x14ac:dyDescent="0.2">
      <c r="A323" s="29">
        <v>322</v>
      </c>
      <c r="B323" s="13">
        <v>44693.489602854934</v>
      </c>
      <c r="C323" s="14" t="s">
        <v>28</v>
      </c>
      <c r="D323" s="15">
        <v>35242.859103527102</v>
      </c>
      <c r="E323" s="16">
        <v>12805.806483407685</v>
      </c>
      <c r="F323" s="17">
        <v>-353411.67700704676</v>
      </c>
      <c r="G323" s="25">
        <v>47511.84397421257</v>
      </c>
      <c r="H323" s="26">
        <v>12577</v>
      </c>
      <c r="I323" s="24">
        <v>-366209.6994908413</v>
      </c>
      <c r="J323">
        <f t="shared" si="10"/>
        <v>17730</v>
      </c>
      <c r="K323" s="18">
        <v>21250</v>
      </c>
      <c r="L323">
        <f t="shared" si="11"/>
        <v>3520</v>
      </c>
      <c r="M323" s="19">
        <v>2250</v>
      </c>
      <c r="N323" s="20" t="b">
        <v>1</v>
      </c>
      <c r="O323" s="21">
        <v>-64</v>
      </c>
      <c r="P323" s="26" t="b">
        <f>ABS(Table1[[#This Row],[Estimate error]])-Table1[[#This Row],[Standard Deviation]]&lt;0</f>
        <v>0</v>
      </c>
      <c r="U323" s="11"/>
      <c r="V323" s="12"/>
    </row>
    <row r="324" spans="1:22" x14ac:dyDescent="0.2">
      <c r="A324" s="29">
        <v>323</v>
      </c>
      <c r="B324" s="13">
        <v>44693.489602854934</v>
      </c>
      <c r="C324" s="14" t="s">
        <v>17</v>
      </c>
      <c r="D324" s="15">
        <v>35242.859103527102</v>
      </c>
      <c r="E324" s="16">
        <v>12805.806483407685</v>
      </c>
      <c r="F324" s="17">
        <v>-353411.67700704676</v>
      </c>
      <c r="G324" s="25">
        <v>32876.488350740532</v>
      </c>
      <c r="H324" s="26">
        <v>12372</v>
      </c>
      <c r="I324" s="24">
        <v>-351732.9374828916</v>
      </c>
      <c r="J324">
        <f t="shared" si="10"/>
        <v>2934</v>
      </c>
      <c r="K324" s="18">
        <v>3000</v>
      </c>
      <c r="L324">
        <f t="shared" si="11"/>
        <v>66</v>
      </c>
      <c r="M324" s="19">
        <v>555</v>
      </c>
      <c r="N324" s="20" t="b">
        <v>1</v>
      </c>
      <c r="O324" s="21">
        <v>-50</v>
      </c>
      <c r="P324" s="26" t="b">
        <f>ABS(Table1[[#This Row],[Estimate error]])-Table1[[#This Row],[Standard Deviation]]&lt;0</f>
        <v>1</v>
      </c>
      <c r="U324" s="11"/>
      <c r="V324" s="12"/>
    </row>
    <row r="325" spans="1:22" x14ac:dyDescent="0.2">
      <c r="A325" s="29">
        <v>324</v>
      </c>
      <c r="B325" s="13">
        <v>44693.489602854934</v>
      </c>
      <c r="C325" s="14" t="s">
        <v>31</v>
      </c>
      <c r="D325" s="15">
        <v>35242.859103527102</v>
      </c>
      <c r="E325" s="16">
        <v>12805.806483407685</v>
      </c>
      <c r="F325" s="17">
        <v>-353411.67700704676</v>
      </c>
      <c r="G325" s="25">
        <v>74177.481073078248</v>
      </c>
      <c r="H325" s="26">
        <v>11187</v>
      </c>
      <c r="I325" s="24">
        <v>-356447.89152410487</v>
      </c>
      <c r="J325">
        <f t="shared" si="10"/>
        <v>39086</v>
      </c>
      <c r="K325" s="18">
        <v>0</v>
      </c>
      <c r="L325">
        <f t="shared" si="11"/>
        <v>0</v>
      </c>
      <c r="M325" s="19">
        <v>0</v>
      </c>
      <c r="N325" s="20" t="b">
        <v>0</v>
      </c>
      <c r="O325" s="21">
        <v>-89</v>
      </c>
      <c r="P325" s="26" t="b">
        <f>ABS(Table1[[#This Row],[Estimate error]])-Table1[[#This Row],[Standard Deviation]]&lt;0</f>
        <v>0</v>
      </c>
      <c r="U325" s="11"/>
      <c r="V325" s="12"/>
    </row>
    <row r="326" spans="1:22" x14ac:dyDescent="0.2">
      <c r="A326" s="29">
        <v>325</v>
      </c>
      <c r="B326" s="13">
        <v>44693.489602854934</v>
      </c>
      <c r="C326" s="14" t="s">
        <v>16</v>
      </c>
      <c r="D326" s="15">
        <v>35242.859103527102</v>
      </c>
      <c r="E326" s="16">
        <v>12805.806483407685</v>
      </c>
      <c r="F326" s="17">
        <v>-353411.67700704676</v>
      </c>
      <c r="G326" s="25">
        <v>29805.999043266896</v>
      </c>
      <c r="H326" s="26">
        <v>11187</v>
      </c>
      <c r="I326" s="24">
        <v>-330864.9970057765</v>
      </c>
      <c r="J326">
        <f t="shared" si="10"/>
        <v>23249</v>
      </c>
      <c r="K326" s="18">
        <v>24250</v>
      </c>
      <c r="L326">
        <f t="shared" si="11"/>
        <v>1001</v>
      </c>
      <c r="M326" s="19">
        <v>690</v>
      </c>
      <c r="N326" s="20" t="b">
        <v>1</v>
      </c>
      <c r="O326" s="21">
        <v>-64</v>
      </c>
      <c r="P326" s="26" t="b">
        <f>ABS(Table1[[#This Row],[Estimate error]])-Table1[[#This Row],[Standard Deviation]]&lt;0</f>
        <v>0</v>
      </c>
      <c r="U326" s="11"/>
      <c r="V326" s="12"/>
    </row>
    <row r="327" spans="1:22" x14ac:dyDescent="0.2">
      <c r="A327" s="29">
        <v>326</v>
      </c>
      <c r="B327" s="13">
        <v>44693.489602854934</v>
      </c>
      <c r="C327" s="14" t="s">
        <v>28</v>
      </c>
      <c r="D327" s="15">
        <v>35242.859103527102</v>
      </c>
      <c r="E327" s="16">
        <v>12805.806483407685</v>
      </c>
      <c r="F327" s="17">
        <v>-353411.67700704676</v>
      </c>
      <c r="G327" s="25">
        <v>47511.84397421257</v>
      </c>
      <c r="H327" s="26">
        <v>12577</v>
      </c>
      <c r="I327" s="24">
        <v>-366209.6994908413</v>
      </c>
      <c r="J327">
        <f t="shared" si="10"/>
        <v>17730</v>
      </c>
      <c r="K327" s="18">
        <v>19187</v>
      </c>
      <c r="L327">
        <f t="shared" si="11"/>
        <v>1457</v>
      </c>
      <c r="M327" s="19">
        <v>570</v>
      </c>
      <c r="N327" s="20" t="b">
        <v>1</v>
      </c>
      <c r="O327" s="21">
        <v>-64</v>
      </c>
      <c r="P327" s="26" t="b">
        <f>ABS(Table1[[#This Row],[Estimate error]])-Table1[[#This Row],[Standard Deviation]]&lt;0</f>
        <v>0</v>
      </c>
      <c r="U327" s="11"/>
      <c r="V327" s="12"/>
    </row>
    <row r="328" spans="1:22" x14ac:dyDescent="0.2">
      <c r="A328" s="29">
        <v>327</v>
      </c>
      <c r="B328" s="13">
        <v>44693.489602854934</v>
      </c>
      <c r="C328" s="14" t="s">
        <v>17</v>
      </c>
      <c r="D328" s="15">
        <v>35242.859103527102</v>
      </c>
      <c r="E328" s="16">
        <v>12805.806483407685</v>
      </c>
      <c r="F328" s="17">
        <v>-353411.67700704676</v>
      </c>
      <c r="G328" s="25">
        <v>32876.488350740532</v>
      </c>
      <c r="H328" s="26">
        <v>12372</v>
      </c>
      <c r="I328" s="24">
        <v>-351732.9374828916</v>
      </c>
      <c r="J328">
        <f t="shared" si="10"/>
        <v>2934</v>
      </c>
      <c r="K328" s="18">
        <v>2062</v>
      </c>
      <c r="L328">
        <f t="shared" si="11"/>
        <v>-872</v>
      </c>
      <c r="M328" s="19">
        <v>600</v>
      </c>
      <c r="N328" s="20" t="b">
        <v>1</v>
      </c>
      <c r="O328" s="21">
        <v>-50</v>
      </c>
      <c r="P328" s="26" t="b">
        <f>ABS(Table1[[#This Row],[Estimate error]])-Table1[[#This Row],[Standard Deviation]]&lt;0</f>
        <v>0</v>
      </c>
      <c r="U328" s="11"/>
      <c r="V328" s="12"/>
    </row>
    <row r="329" spans="1:22" x14ac:dyDescent="0.2">
      <c r="A329" s="29">
        <v>328</v>
      </c>
      <c r="B329" s="13">
        <v>44693.489602854934</v>
      </c>
      <c r="C329" s="14" t="s">
        <v>31</v>
      </c>
      <c r="D329" s="15">
        <v>35242.859103527102</v>
      </c>
      <c r="E329" s="16">
        <v>12805.806483407685</v>
      </c>
      <c r="F329" s="17">
        <v>-353411.67700704676</v>
      </c>
      <c r="G329" s="25">
        <v>74177.481073078248</v>
      </c>
      <c r="H329" s="26">
        <v>11187</v>
      </c>
      <c r="I329" s="24">
        <v>-356447.89152410487</v>
      </c>
      <c r="J329">
        <f t="shared" si="10"/>
        <v>39086</v>
      </c>
      <c r="K329" s="18">
        <v>0</v>
      </c>
      <c r="L329">
        <f t="shared" si="11"/>
        <v>0</v>
      </c>
      <c r="M329" s="19">
        <v>0</v>
      </c>
      <c r="N329" s="20" t="b">
        <v>0</v>
      </c>
      <c r="O329" s="21">
        <v>-89</v>
      </c>
      <c r="P329" s="26" t="b">
        <f>ABS(Table1[[#This Row],[Estimate error]])-Table1[[#This Row],[Standard Deviation]]&lt;0</f>
        <v>0</v>
      </c>
      <c r="U329" s="11"/>
      <c r="V329" s="12"/>
    </row>
    <row r="330" spans="1:22" x14ac:dyDescent="0.2">
      <c r="A330" s="29">
        <v>329</v>
      </c>
      <c r="B330" s="13">
        <v>44693.489602854934</v>
      </c>
      <c r="C330" s="14" t="s">
        <v>16</v>
      </c>
      <c r="D330" s="15">
        <v>35242.859103527102</v>
      </c>
      <c r="E330" s="16">
        <v>12805.806483407685</v>
      </c>
      <c r="F330" s="17">
        <v>-353411.67700704676</v>
      </c>
      <c r="G330" s="25">
        <v>29805.999043266896</v>
      </c>
      <c r="H330" s="26">
        <v>11187</v>
      </c>
      <c r="I330" s="24">
        <v>-330864.9970057765</v>
      </c>
      <c r="J330">
        <f t="shared" si="10"/>
        <v>23249</v>
      </c>
      <c r="K330" s="18">
        <v>24000</v>
      </c>
      <c r="L330">
        <f t="shared" si="11"/>
        <v>751</v>
      </c>
      <c r="M330" s="19">
        <v>600</v>
      </c>
      <c r="N330" s="20" t="b">
        <v>1</v>
      </c>
      <c r="O330" s="21">
        <v>-64</v>
      </c>
      <c r="P330" s="26" t="b">
        <f>ABS(Table1[[#This Row],[Estimate error]])-Table1[[#This Row],[Standard Deviation]]&lt;0</f>
        <v>0</v>
      </c>
      <c r="U330" s="11"/>
      <c r="V330" s="12"/>
    </row>
    <row r="331" spans="1:22" x14ac:dyDescent="0.2">
      <c r="A331" s="29">
        <v>330</v>
      </c>
      <c r="B331" s="13">
        <v>44693.489602854934</v>
      </c>
      <c r="C331" s="14" t="s">
        <v>28</v>
      </c>
      <c r="D331" s="15">
        <v>35242.859103527102</v>
      </c>
      <c r="E331" s="16">
        <v>12805.806483407685</v>
      </c>
      <c r="F331" s="17">
        <v>-353411.67700704676</v>
      </c>
      <c r="G331" s="25">
        <v>47511.84397421257</v>
      </c>
      <c r="H331" s="26">
        <v>12577</v>
      </c>
      <c r="I331" s="24">
        <v>-366209.6994908413</v>
      </c>
      <c r="J331">
        <f t="shared" si="10"/>
        <v>17730</v>
      </c>
      <c r="K331" s="18">
        <v>18875</v>
      </c>
      <c r="L331">
        <f t="shared" si="11"/>
        <v>1145</v>
      </c>
      <c r="M331" s="19">
        <v>720</v>
      </c>
      <c r="N331" s="20" t="b">
        <v>1</v>
      </c>
      <c r="O331" s="21">
        <v>-64</v>
      </c>
      <c r="P331" s="26" t="b">
        <f>ABS(Table1[[#This Row],[Estimate error]])-Table1[[#This Row],[Standard Deviation]]&lt;0</f>
        <v>0</v>
      </c>
      <c r="U331" s="11"/>
      <c r="V331" s="12"/>
    </row>
    <row r="332" spans="1:22" x14ac:dyDescent="0.2">
      <c r="A332" s="29">
        <v>331</v>
      </c>
      <c r="B332" s="13">
        <v>44693.489602854934</v>
      </c>
      <c r="C332" s="14" t="s">
        <v>17</v>
      </c>
      <c r="D332" s="15">
        <v>35242.859103527102</v>
      </c>
      <c r="E332" s="16">
        <v>12805.806483407685</v>
      </c>
      <c r="F332" s="17">
        <v>-353411.67700704676</v>
      </c>
      <c r="G332" s="25">
        <v>32876.488350740532</v>
      </c>
      <c r="H332" s="26">
        <v>12372</v>
      </c>
      <c r="I332" s="24">
        <v>-351732.9374828916</v>
      </c>
      <c r="J332">
        <f t="shared" si="10"/>
        <v>2934</v>
      </c>
      <c r="K332" s="18">
        <v>2812</v>
      </c>
      <c r="L332">
        <f t="shared" si="11"/>
        <v>-122</v>
      </c>
      <c r="M332" s="19">
        <v>615</v>
      </c>
      <c r="N332" s="20" t="b">
        <v>1</v>
      </c>
      <c r="O332" s="21">
        <v>-50</v>
      </c>
      <c r="P332" s="26" t="b">
        <f>ABS(Table1[[#This Row],[Estimate error]])-Table1[[#This Row],[Standard Deviation]]&lt;0</f>
        <v>1</v>
      </c>
      <c r="U332" s="11"/>
      <c r="V332" s="12"/>
    </row>
    <row r="333" spans="1:22" x14ac:dyDescent="0.2">
      <c r="A333" s="29">
        <v>332</v>
      </c>
      <c r="B333" s="13">
        <v>44693.489602854934</v>
      </c>
      <c r="C333" s="14" t="s">
        <v>31</v>
      </c>
      <c r="D333" s="15">
        <v>35242.859103527102</v>
      </c>
      <c r="E333" s="16">
        <v>12805.806483407685</v>
      </c>
      <c r="F333" s="17">
        <v>-353411.67700704676</v>
      </c>
      <c r="G333" s="25">
        <v>74177.481073078248</v>
      </c>
      <c r="H333" s="26">
        <v>11187</v>
      </c>
      <c r="I333" s="24">
        <v>-356447.89152410487</v>
      </c>
      <c r="J333">
        <f t="shared" si="10"/>
        <v>39086</v>
      </c>
      <c r="K333" s="18">
        <v>0</v>
      </c>
      <c r="L333">
        <f t="shared" si="11"/>
        <v>0</v>
      </c>
      <c r="M333" s="19">
        <v>0</v>
      </c>
      <c r="N333" s="20" t="b">
        <v>0</v>
      </c>
      <c r="O333" s="21">
        <v>-89</v>
      </c>
      <c r="P333" s="26" t="b">
        <f>ABS(Table1[[#This Row],[Estimate error]])-Table1[[#This Row],[Standard Deviation]]&lt;0</f>
        <v>0</v>
      </c>
      <c r="U333" s="11"/>
      <c r="V333" s="12"/>
    </row>
    <row r="334" spans="1:22" x14ac:dyDescent="0.2">
      <c r="A334" s="29">
        <v>333</v>
      </c>
      <c r="B334" s="13">
        <v>44693.489602854934</v>
      </c>
      <c r="C334" s="14" t="s">
        <v>16</v>
      </c>
      <c r="D334" s="15">
        <v>35242.859103527102</v>
      </c>
      <c r="E334" s="16">
        <v>12805.806483407685</v>
      </c>
      <c r="F334" s="17">
        <v>-353411.67700704676</v>
      </c>
      <c r="G334" s="25">
        <v>29805.999043266896</v>
      </c>
      <c r="H334" s="26">
        <v>11187</v>
      </c>
      <c r="I334" s="24">
        <v>-330864.9970057765</v>
      </c>
      <c r="J334">
        <f t="shared" si="10"/>
        <v>23249</v>
      </c>
      <c r="K334" s="18">
        <v>23062</v>
      </c>
      <c r="L334">
        <f t="shared" si="11"/>
        <v>-187</v>
      </c>
      <c r="M334" s="19">
        <v>450</v>
      </c>
      <c r="N334" s="20" t="b">
        <v>1</v>
      </c>
      <c r="O334" s="21">
        <v>-64</v>
      </c>
      <c r="P334" s="26" t="b">
        <f>ABS(Table1[[#This Row],[Estimate error]])-Table1[[#This Row],[Standard Deviation]]&lt;0</f>
        <v>1</v>
      </c>
      <c r="U334" s="11"/>
      <c r="V334" s="12"/>
    </row>
    <row r="335" spans="1:22" x14ac:dyDescent="0.2">
      <c r="A335" s="29">
        <v>334</v>
      </c>
      <c r="B335" s="13">
        <v>44693.489602854934</v>
      </c>
      <c r="C335" s="14" t="s">
        <v>28</v>
      </c>
      <c r="D335" s="15">
        <v>35242.859103527102</v>
      </c>
      <c r="E335" s="16">
        <v>12805.806483407685</v>
      </c>
      <c r="F335" s="17">
        <v>-353411.67700704676</v>
      </c>
      <c r="G335" s="25">
        <v>47511.84397421257</v>
      </c>
      <c r="H335" s="26">
        <v>12577</v>
      </c>
      <c r="I335" s="24">
        <v>-366209.6994908413</v>
      </c>
      <c r="J335">
        <f t="shared" si="10"/>
        <v>17730</v>
      </c>
      <c r="K335" s="18">
        <v>18750</v>
      </c>
      <c r="L335">
        <f t="shared" si="11"/>
        <v>1020</v>
      </c>
      <c r="M335" s="19">
        <v>540</v>
      </c>
      <c r="N335" s="20" t="b">
        <v>1</v>
      </c>
      <c r="O335" s="21">
        <v>-64</v>
      </c>
      <c r="P335" s="26" t="b">
        <f>ABS(Table1[[#This Row],[Estimate error]])-Table1[[#This Row],[Standard Deviation]]&lt;0</f>
        <v>0</v>
      </c>
      <c r="U335" s="11"/>
      <c r="V335" s="12"/>
    </row>
    <row r="336" spans="1:22" x14ac:dyDescent="0.2">
      <c r="A336" s="29">
        <v>335</v>
      </c>
      <c r="B336" s="13">
        <v>44693.489602854934</v>
      </c>
      <c r="C336" s="14" t="s">
        <v>17</v>
      </c>
      <c r="D336" s="15">
        <v>35242.859103527102</v>
      </c>
      <c r="E336" s="16">
        <v>12805.806483407685</v>
      </c>
      <c r="F336" s="17">
        <v>-353411.67700704676</v>
      </c>
      <c r="G336" s="25">
        <v>32876.488350740532</v>
      </c>
      <c r="H336" s="26">
        <v>12372</v>
      </c>
      <c r="I336" s="24">
        <v>-351732.9374828916</v>
      </c>
      <c r="J336">
        <f t="shared" si="10"/>
        <v>2934</v>
      </c>
      <c r="K336" s="18">
        <v>3125</v>
      </c>
      <c r="L336">
        <f t="shared" si="11"/>
        <v>191</v>
      </c>
      <c r="M336" s="19">
        <v>660</v>
      </c>
      <c r="N336" s="20" t="b">
        <v>1</v>
      </c>
      <c r="O336" s="21">
        <v>-50</v>
      </c>
      <c r="P336" s="26" t="b">
        <f>ABS(Table1[[#This Row],[Estimate error]])-Table1[[#This Row],[Standard Deviation]]&lt;0</f>
        <v>1</v>
      </c>
      <c r="U336" s="11"/>
      <c r="V336" s="12"/>
    </row>
    <row r="337" spans="1:22" x14ac:dyDescent="0.2">
      <c r="A337" s="29">
        <v>336</v>
      </c>
      <c r="B337" s="13">
        <v>44693.489602854934</v>
      </c>
      <c r="C337" s="14" t="s">
        <v>31</v>
      </c>
      <c r="D337" s="15">
        <v>35242.859103527102</v>
      </c>
      <c r="E337" s="16">
        <v>12805.806483407685</v>
      </c>
      <c r="F337" s="17">
        <v>-353411.67700704676</v>
      </c>
      <c r="G337" s="25">
        <v>74177.481073078248</v>
      </c>
      <c r="H337" s="26">
        <v>11187</v>
      </c>
      <c r="I337" s="24">
        <v>-356447.89152410487</v>
      </c>
      <c r="J337">
        <f t="shared" si="10"/>
        <v>39086</v>
      </c>
      <c r="K337" s="18">
        <v>0</v>
      </c>
      <c r="L337">
        <f t="shared" si="11"/>
        <v>0</v>
      </c>
      <c r="M337" s="19">
        <v>0</v>
      </c>
      <c r="N337" s="20" t="b">
        <v>0</v>
      </c>
      <c r="O337" s="21">
        <v>-89</v>
      </c>
      <c r="P337" s="26" t="b">
        <f>ABS(Table1[[#This Row],[Estimate error]])-Table1[[#This Row],[Standard Deviation]]&lt;0</f>
        <v>0</v>
      </c>
      <c r="U337" s="11"/>
      <c r="V337" s="12"/>
    </row>
    <row r="338" spans="1:22" x14ac:dyDescent="0.2">
      <c r="A338" s="29">
        <v>337</v>
      </c>
      <c r="B338" s="13">
        <v>44693.489602854934</v>
      </c>
      <c r="C338" s="14" t="s">
        <v>16</v>
      </c>
      <c r="D338" s="15">
        <v>35242.859103527102</v>
      </c>
      <c r="E338" s="16">
        <v>12805.806483407685</v>
      </c>
      <c r="F338" s="17">
        <v>-353411.67700704676</v>
      </c>
      <c r="G338" s="25">
        <v>29805.999043266896</v>
      </c>
      <c r="H338" s="26">
        <v>11187</v>
      </c>
      <c r="I338" s="24">
        <v>-330864.9970057765</v>
      </c>
      <c r="J338">
        <f t="shared" si="10"/>
        <v>23249</v>
      </c>
      <c r="K338" s="18">
        <v>22937</v>
      </c>
      <c r="L338">
        <f t="shared" si="11"/>
        <v>-312</v>
      </c>
      <c r="M338" s="19">
        <v>480</v>
      </c>
      <c r="N338" s="20" t="b">
        <v>1</v>
      </c>
      <c r="O338" s="21">
        <v>-64</v>
      </c>
      <c r="P338" s="26" t="b">
        <f>ABS(Table1[[#This Row],[Estimate error]])-Table1[[#This Row],[Standard Deviation]]&lt;0</f>
        <v>1</v>
      </c>
      <c r="U338" s="11"/>
      <c r="V338" s="12"/>
    </row>
    <row r="339" spans="1:22" x14ac:dyDescent="0.2">
      <c r="A339" s="29">
        <v>338</v>
      </c>
      <c r="B339" s="13">
        <v>44693.489602854934</v>
      </c>
      <c r="C339" s="14" t="s">
        <v>28</v>
      </c>
      <c r="D339" s="15">
        <v>35242.859103527102</v>
      </c>
      <c r="E339" s="16">
        <v>12805.806483407685</v>
      </c>
      <c r="F339" s="17">
        <v>-353411.67700704676</v>
      </c>
      <c r="G339" s="25">
        <v>47511.84397421257</v>
      </c>
      <c r="H339" s="26">
        <v>12577</v>
      </c>
      <c r="I339" s="24">
        <v>-366209.6994908413</v>
      </c>
      <c r="J339">
        <f t="shared" si="10"/>
        <v>17730</v>
      </c>
      <c r="K339" s="18">
        <v>18000</v>
      </c>
      <c r="L339">
        <f t="shared" si="11"/>
        <v>270</v>
      </c>
      <c r="M339" s="19">
        <v>585</v>
      </c>
      <c r="N339" s="20" t="b">
        <v>1</v>
      </c>
      <c r="O339" s="21">
        <v>-64</v>
      </c>
      <c r="P339" s="26" t="b">
        <f>ABS(Table1[[#This Row],[Estimate error]])-Table1[[#This Row],[Standard Deviation]]&lt;0</f>
        <v>1</v>
      </c>
      <c r="U339" s="11"/>
      <c r="V339" s="12"/>
    </row>
    <row r="340" spans="1:22" x14ac:dyDescent="0.2">
      <c r="A340" s="29">
        <v>339</v>
      </c>
      <c r="B340" s="13">
        <v>44693.489602854934</v>
      </c>
      <c r="C340" s="14" t="s">
        <v>17</v>
      </c>
      <c r="D340" s="15">
        <v>35242.859103527102</v>
      </c>
      <c r="E340" s="16">
        <v>12805.806483407685</v>
      </c>
      <c r="F340" s="17">
        <v>-353411.67700704676</v>
      </c>
      <c r="G340" s="25">
        <v>32876.488350740532</v>
      </c>
      <c r="H340" s="26">
        <v>12372</v>
      </c>
      <c r="I340" s="24">
        <v>-351732.9374828916</v>
      </c>
      <c r="J340">
        <f t="shared" si="10"/>
        <v>2934</v>
      </c>
      <c r="K340" s="18">
        <v>3250</v>
      </c>
      <c r="L340">
        <f t="shared" si="11"/>
        <v>316</v>
      </c>
      <c r="M340" s="19">
        <v>690</v>
      </c>
      <c r="N340" s="20" t="b">
        <v>1</v>
      </c>
      <c r="O340" s="21">
        <v>-50</v>
      </c>
      <c r="P340" s="26" t="b">
        <f>ABS(Table1[[#This Row],[Estimate error]])-Table1[[#This Row],[Standard Deviation]]&lt;0</f>
        <v>1</v>
      </c>
      <c r="U340" s="11"/>
      <c r="V340" s="12"/>
    </row>
    <row r="341" spans="1:22" x14ac:dyDescent="0.2">
      <c r="A341" s="29">
        <v>340</v>
      </c>
      <c r="B341" s="13">
        <v>44693.489602854934</v>
      </c>
      <c r="C341" s="14" t="s">
        <v>31</v>
      </c>
      <c r="D341" s="15">
        <v>35242.859103527102</v>
      </c>
      <c r="E341" s="16">
        <v>12805.806483407685</v>
      </c>
      <c r="F341" s="17">
        <v>-353411.67700704676</v>
      </c>
      <c r="G341" s="25">
        <v>74177.481073078248</v>
      </c>
      <c r="H341" s="26">
        <v>11187</v>
      </c>
      <c r="I341" s="24">
        <v>-356447.89152410487</v>
      </c>
      <c r="J341">
        <f t="shared" si="10"/>
        <v>39086</v>
      </c>
      <c r="K341" s="18">
        <v>0</v>
      </c>
      <c r="L341">
        <f t="shared" si="11"/>
        <v>0</v>
      </c>
      <c r="M341" s="19">
        <v>0</v>
      </c>
      <c r="N341" s="20" t="b">
        <v>0</v>
      </c>
      <c r="O341" s="21">
        <v>-89</v>
      </c>
      <c r="P341" s="26" t="b">
        <f>ABS(Table1[[#This Row],[Estimate error]])-Table1[[#This Row],[Standard Deviation]]&lt;0</f>
        <v>0</v>
      </c>
      <c r="U341" s="11"/>
      <c r="V341" s="12"/>
    </row>
    <row r="342" spans="1:22" x14ac:dyDescent="0.2">
      <c r="A342" s="29">
        <v>341</v>
      </c>
      <c r="B342" s="13">
        <v>44693.490122569441</v>
      </c>
      <c r="C342" s="14" t="s">
        <v>16</v>
      </c>
      <c r="D342" s="15">
        <v>24490.267493922634</v>
      </c>
      <c r="E342" s="16">
        <v>12870.626982002344</v>
      </c>
      <c r="F342" s="17">
        <v>-344229.40555634256</v>
      </c>
      <c r="G342" s="25">
        <v>29805.999043266896</v>
      </c>
      <c r="H342" s="26">
        <v>11187</v>
      </c>
      <c r="I342" s="24">
        <v>-330864.9970057765</v>
      </c>
      <c r="J342">
        <f t="shared" si="10"/>
        <v>14481</v>
      </c>
      <c r="K342" s="18">
        <v>27437</v>
      </c>
      <c r="L342">
        <f t="shared" si="11"/>
        <v>12956</v>
      </c>
      <c r="M342" s="19">
        <v>630</v>
      </c>
      <c r="N342" s="20" t="b">
        <v>1</v>
      </c>
      <c r="O342" s="21">
        <v>-72</v>
      </c>
      <c r="P342" s="26" t="b">
        <f>ABS(Table1[[#This Row],[Estimate error]])-Table1[[#This Row],[Standard Deviation]]&lt;0</f>
        <v>0</v>
      </c>
      <c r="U342" s="11"/>
      <c r="V342" s="12"/>
    </row>
    <row r="343" spans="1:22" x14ac:dyDescent="0.2">
      <c r="A343" s="29">
        <v>342</v>
      </c>
      <c r="B343" s="13">
        <v>44693.490122569441</v>
      </c>
      <c r="C343" s="14" t="s">
        <v>28</v>
      </c>
      <c r="D343" s="15">
        <v>24490.267493922634</v>
      </c>
      <c r="E343" s="16">
        <v>12870.626982002344</v>
      </c>
      <c r="F343" s="17">
        <v>-344229.40555634256</v>
      </c>
      <c r="G343" s="25">
        <v>47511.84397421257</v>
      </c>
      <c r="H343" s="26">
        <v>12577</v>
      </c>
      <c r="I343" s="24">
        <v>-366209.6994908413</v>
      </c>
      <c r="J343">
        <f t="shared" si="10"/>
        <v>31831</v>
      </c>
      <c r="K343" s="18">
        <v>37937</v>
      </c>
      <c r="L343">
        <f t="shared" si="11"/>
        <v>6106</v>
      </c>
      <c r="M343" s="19">
        <v>1005</v>
      </c>
      <c r="N343" s="20" t="b">
        <v>1</v>
      </c>
      <c r="O343" s="21">
        <v>-83</v>
      </c>
      <c r="P343" s="26" t="b">
        <f>ABS(Table1[[#This Row],[Estimate error]])-Table1[[#This Row],[Standard Deviation]]&lt;0</f>
        <v>0</v>
      </c>
      <c r="U343" s="11"/>
      <c r="V343" s="12"/>
    </row>
    <row r="344" spans="1:22" x14ac:dyDescent="0.2">
      <c r="A344" s="29">
        <v>343</v>
      </c>
      <c r="B344" s="13">
        <v>44693.490122569441</v>
      </c>
      <c r="C344" s="14" t="s">
        <v>17</v>
      </c>
      <c r="D344" s="15">
        <v>24490.267493922634</v>
      </c>
      <c r="E344" s="16">
        <v>12870.626982002344</v>
      </c>
      <c r="F344" s="17">
        <v>-344229.40555634256</v>
      </c>
      <c r="G344" s="25">
        <v>32876.488350740532</v>
      </c>
      <c r="H344" s="26">
        <v>12372</v>
      </c>
      <c r="I344" s="24">
        <v>-351732.9374828916</v>
      </c>
      <c r="J344">
        <f t="shared" si="10"/>
        <v>11264</v>
      </c>
      <c r="K344" s="18">
        <v>18750</v>
      </c>
      <c r="L344">
        <f t="shared" si="11"/>
        <v>7486</v>
      </c>
      <c r="M344" s="19">
        <v>600</v>
      </c>
      <c r="N344" s="20" t="b">
        <v>1</v>
      </c>
      <c r="O344" s="21">
        <v>-66</v>
      </c>
      <c r="P344" s="26" t="b">
        <f>ABS(Table1[[#This Row],[Estimate error]])-Table1[[#This Row],[Standard Deviation]]&lt;0</f>
        <v>0</v>
      </c>
      <c r="U344" s="11"/>
      <c r="V344" s="12"/>
    </row>
    <row r="345" spans="1:22" x14ac:dyDescent="0.2">
      <c r="A345" s="29">
        <v>344</v>
      </c>
      <c r="B345" s="13">
        <v>44693.490122569441</v>
      </c>
      <c r="C345" s="14" t="s">
        <v>16</v>
      </c>
      <c r="D345" s="15">
        <v>24490.267493922634</v>
      </c>
      <c r="E345" s="16">
        <v>12870.626982002344</v>
      </c>
      <c r="F345" s="17">
        <v>-344229.40555634256</v>
      </c>
      <c r="G345" s="25">
        <v>29805.999043266896</v>
      </c>
      <c r="H345" s="26">
        <v>11187</v>
      </c>
      <c r="I345" s="24">
        <v>-330864.9970057765</v>
      </c>
      <c r="J345">
        <f t="shared" si="10"/>
        <v>14481</v>
      </c>
      <c r="K345" s="18">
        <v>26687</v>
      </c>
      <c r="L345">
        <f t="shared" si="11"/>
        <v>12206</v>
      </c>
      <c r="M345" s="19">
        <v>525</v>
      </c>
      <c r="N345" s="20" t="b">
        <v>1</v>
      </c>
      <c r="O345" s="21">
        <v>-72</v>
      </c>
      <c r="P345" s="26" t="b">
        <f>ABS(Table1[[#This Row],[Estimate error]])-Table1[[#This Row],[Standard Deviation]]&lt;0</f>
        <v>0</v>
      </c>
      <c r="U345" s="11"/>
      <c r="V345" s="12"/>
    </row>
    <row r="346" spans="1:22" x14ac:dyDescent="0.2">
      <c r="A346" s="29">
        <v>345</v>
      </c>
      <c r="B346" s="13">
        <v>44693.490122569441</v>
      </c>
      <c r="C346" s="14" t="s">
        <v>28</v>
      </c>
      <c r="D346" s="15">
        <v>24490.267493922634</v>
      </c>
      <c r="E346" s="16">
        <v>12870.626982002344</v>
      </c>
      <c r="F346" s="17">
        <v>-344229.40555634256</v>
      </c>
      <c r="G346" s="25">
        <v>47511.84397421257</v>
      </c>
      <c r="H346" s="26">
        <v>12577</v>
      </c>
      <c r="I346" s="24">
        <v>-366209.6994908413</v>
      </c>
      <c r="J346">
        <f t="shared" si="10"/>
        <v>31831</v>
      </c>
      <c r="K346" s="18">
        <v>37625</v>
      </c>
      <c r="L346">
        <f t="shared" si="11"/>
        <v>5794</v>
      </c>
      <c r="M346" s="19">
        <v>225</v>
      </c>
      <c r="N346" s="20" t="b">
        <v>1</v>
      </c>
      <c r="O346" s="21">
        <v>-83</v>
      </c>
      <c r="P346" s="26" t="b">
        <f>ABS(Table1[[#This Row],[Estimate error]])-Table1[[#This Row],[Standard Deviation]]&lt;0</f>
        <v>0</v>
      </c>
      <c r="U346" s="11"/>
      <c r="V346" s="12"/>
    </row>
    <row r="347" spans="1:22" x14ac:dyDescent="0.2">
      <c r="A347" s="29">
        <v>346</v>
      </c>
      <c r="B347" s="13">
        <v>44693.490122569441</v>
      </c>
      <c r="C347" s="14" t="s">
        <v>17</v>
      </c>
      <c r="D347" s="15">
        <v>24490.267493922634</v>
      </c>
      <c r="E347" s="16">
        <v>12870.626982002344</v>
      </c>
      <c r="F347" s="17">
        <v>-344229.40555634256</v>
      </c>
      <c r="G347" s="25">
        <v>32876.488350740532</v>
      </c>
      <c r="H347" s="26">
        <v>12372</v>
      </c>
      <c r="I347" s="24">
        <v>-351732.9374828916</v>
      </c>
      <c r="J347">
        <f t="shared" si="10"/>
        <v>11264</v>
      </c>
      <c r="K347" s="18">
        <v>18875</v>
      </c>
      <c r="L347">
        <f t="shared" si="11"/>
        <v>7611</v>
      </c>
      <c r="M347" s="19">
        <v>540</v>
      </c>
      <c r="N347" s="20" t="b">
        <v>1</v>
      </c>
      <c r="O347" s="21">
        <v>-66</v>
      </c>
      <c r="P347" s="26" t="b">
        <f>ABS(Table1[[#This Row],[Estimate error]])-Table1[[#This Row],[Standard Deviation]]&lt;0</f>
        <v>0</v>
      </c>
      <c r="U347" s="11"/>
      <c r="V347" s="12"/>
    </row>
    <row r="348" spans="1:22" x14ac:dyDescent="0.2">
      <c r="A348" s="29">
        <v>347</v>
      </c>
      <c r="B348" s="13">
        <v>44693.490122569441</v>
      </c>
      <c r="C348" s="14" t="s">
        <v>16</v>
      </c>
      <c r="D348" s="15">
        <v>24490.267493922634</v>
      </c>
      <c r="E348" s="16">
        <v>12870.626982002344</v>
      </c>
      <c r="F348" s="17">
        <v>-344229.40555634256</v>
      </c>
      <c r="G348" s="25">
        <v>29805.999043266896</v>
      </c>
      <c r="H348" s="26">
        <v>11187</v>
      </c>
      <c r="I348" s="24">
        <v>-330864.9970057765</v>
      </c>
      <c r="J348">
        <f t="shared" si="10"/>
        <v>14481</v>
      </c>
      <c r="K348" s="18">
        <v>25500</v>
      </c>
      <c r="L348">
        <f t="shared" si="11"/>
        <v>11019</v>
      </c>
      <c r="M348" s="19">
        <v>600</v>
      </c>
      <c r="N348" s="20" t="b">
        <v>1</v>
      </c>
      <c r="O348" s="21">
        <v>-72</v>
      </c>
      <c r="P348" s="26" t="b">
        <f>ABS(Table1[[#This Row],[Estimate error]])-Table1[[#This Row],[Standard Deviation]]&lt;0</f>
        <v>0</v>
      </c>
      <c r="U348" s="11"/>
      <c r="V348" s="12"/>
    </row>
    <row r="349" spans="1:22" x14ac:dyDescent="0.2">
      <c r="A349" s="29">
        <v>348</v>
      </c>
      <c r="B349" s="13">
        <v>44693.490122569441</v>
      </c>
      <c r="C349" s="14" t="s">
        <v>28</v>
      </c>
      <c r="D349" s="15">
        <v>24490.267493922634</v>
      </c>
      <c r="E349" s="16">
        <v>12870.626982002344</v>
      </c>
      <c r="F349" s="17">
        <v>-344229.40555634256</v>
      </c>
      <c r="G349" s="25">
        <v>47511.84397421257</v>
      </c>
      <c r="H349" s="26">
        <v>12577</v>
      </c>
      <c r="I349" s="24">
        <v>-366209.6994908413</v>
      </c>
      <c r="J349">
        <f t="shared" si="10"/>
        <v>31831</v>
      </c>
      <c r="K349" s="18">
        <v>40312</v>
      </c>
      <c r="L349">
        <f t="shared" si="11"/>
        <v>8481</v>
      </c>
      <c r="M349" s="19">
        <v>2145</v>
      </c>
      <c r="N349" s="20" t="b">
        <v>1</v>
      </c>
      <c r="O349" s="21">
        <v>-83</v>
      </c>
      <c r="P349" s="26" t="b">
        <f>ABS(Table1[[#This Row],[Estimate error]])-Table1[[#This Row],[Standard Deviation]]&lt;0</f>
        <v>0</v>
      </c>
      <c r="U349" s="11"/>
      <c r="V349" s="12"/>
    </row>
    <row r="350" spans="1:22" x14ac:dyDescent="0.2">
      <c r="A350" s="29">
        <v>349</v>
      </c>
      <c r="B350" s="13">
        <v>44693.490122569441</v>
      </c>
      <c r="C350" s="14" t="s">
        <v>17</v>
      </c>
      <c r="D350" s="15">
        <v>24490.267493922634</v>
      </c>
      <c r="E350" s="16">
        <v>12870.626982002344</v>
      </c>
      <c r="F350" s="17">
        <v>-344229.40555634256</v>
      </c>
      <c r="G350" s="25">
        <v>32876.488350740532</v>
      </c>
      <c r="H350" s="26">
        <v>12372</v>
      </c>
      <c r="I350" s="24">
        <v>-351732.9374828916</v>
      </c>
      <c r="J350">
        <f t="shared" si="10"/>
        <v>11264</v>
      </c>
      <c r="K350" s="18">
        <v>18750</v>
      </c>
      <c r="L350">
        <f t="shared" si="11"/>
        <v>7486</v>
      </c>
      <c r="M350" s="19">
        <v>615</v>
      </c>
      <c r="N350" s="20" t="b">
        <v>1</v>
      </c>
      <c r="O350" s="21">
        <v>-66</v>
      </c>
      <c r="P350" s="26" t="b">
        <f>ABS(Table1[[#This Row],[Estimate error]])-Table1[[#This Row],[Standard Deviation]]&lt;0</f>
        <v>0</v>
      </c>
      <c r="U350" s="11"/>
      <c r="V350" s="12"/>
    </row>
    <row r="351" spans="1:22" x14ac:dyDescent="0.2">
      <c r="A351" s="29">
        <v>350</v>
      </c>
      <c r="B351" s="13">
        <v>44693.490122569441</v>
      </c>
      <c r="C351" s="14" t="s">
        <v>16</v>
      </c>
      <c r="D351" s="15">
        <v>24490.267493922634</v>
      </c>
      <c r="E351" s="16">
        <v>12870.626982002344</v>
      </c>
      <c r="F351" s="17">
        <v>-344229.40555634256</v>
      </c>
      <c r="G351" s="25">
        <v>29805.999043266896</v>
      </c>
      <c r="H351" s="26">
        <v>11187</v>
      </c>
      <c r="I351" s="24">
        <v>-330864.9970057765</v>
      </c>
      <c r="J351">
        <f t="shared" si="10"/>
        <v>14481</v>
      </c>
      <c r="K351" s="18">
        <v>26062</v>
      </c>
      <c r="L351">
        <f t="shared" si="11"/>
        <v>11581</v>
      </c>
      <c r="M351" s="19">
        <v>615</v>
      </c>
      <c r="N351" s="20" t="b">
        <v>1</v>
      </c>
      <c r="O351" s="21">
        <v>-72</v>
      </c>
      <c r="P351" s="26" t="b">
        <f>ABS(Table1[[#This Row],[Estimate error]])-Table1[[#This Row],[Standard Deviation]]&lt;0</f>
        <v>0</v>
      </c>
      <c r="U351" s="11"/>
      <c r="V351" s="12"/>
    </row>
    <row r="352" spans="1:22" x14ac:dyDescent="0.2">
      <c r="A352" s="29">
        <v>351</v>
      </c>
      <c r="B352" s="13">
        <v>44693.490122569441</v>
      </c>
      <c r="C352" s="14" t="s">
        <v>28</v>
      </c>
      <c r="D352" s="15">
        <v>24490.267493922634</v>
      </c>
      <c r="E352" s="16">
        <v>12870.626982002344</v>
      </c>
      <c r="F352" s="17">
        <v>-344229.40555634256</v>
      </c>
      <c r="G352" s="25">
        <v>47511.84397421257</v>
      </c>
      <c r="H352" s="26">
        <v>12577</v>
      </c>
      <c r="I352" s="24">
        <v>-366209.6994908413</v>
      </c>
      <c r="J352">
        <f t="shared" si="10"/>
        <v>31831</v>
      </c>
      <c r="K352" s="18">
        <v>43187</v>
      </c>
      <c r="L352">
        <f t="shared" si="11"/>
        <v>11356</v>
      </c>
      <c r="M352" s="19">
        <v>270</v>
      </c>
      <c r="N352" s="20" t="b">
        <v>1</v>
      </c>
      <c r="O352" s="21">
        <v>-83</v>
      </c>
      <c r="P352" s="26" t="b">
        <f>ABS(Table1[[#This Row],[Estimate error]])-Table1[[#This Row],[Standard Deviation]]&lt;0</f>
        <v>0</v>
      </c>
      <c r="U352" s="11"/>
      <c r="V352" s="12"/>
    </row>
    <row r="353" spans="1:22" x14ac:dyDescent="0.2">
      <c r="A353" s="29">
        <v>352</v>
      </c>
      <c r="B353" s="13">
        <v>44693.490122569441</v>
      </c>
      <c r="C353" s="14" t="s">
        <v>17</v>
      </c>
      <c r="D353" s="15">
        <v>24490.267493922634</v>
      </c>
      <c r="E353" s="16">
        <v>12870.626982002344</v>
      </c>
      <c r="F353" s="17">
        <v>-344229.40555634256</v>
      </c>
      <c r="G353" s="25">
        <v>32876.488350740532</v>
      </c>
      <c r="H353" s="26">
        <v>12372</v>
      </c>
      <c r="I353" s="24">
        <v>-351732.9374828916</v>
      </c>
      <c r="J353">
        <f t="shared" si="10"/>
        <v>11264</v>
      </c>
      <c r="K353" s="18">
        <v>19312</v>
      </c>
      <c r="L353">
        <f t="shared" si="11"/>
        <v>8048</v>
      </c>
      <c r="M353" s="19">
        <v>645</v>
      </c>
      <c r="N353" s="20" t="b">
        <v>1</v>
      </c>
      <c r="O353" s="21">
        <v>-66</v>
      </c>
      <c r="P353" s="26" t="b">
        <f>ABS(Table1[[#This Row],[Estimate error]])-Table1[[#This Row],[Standard Deviation]]&lt;0</f>
        <v>0</v>
      </c>
      <c r="U353" s="11"/>
      <c r="V353" s="12"/>
    </row>
    <row r="354" spans="1:22" x14ac:dyDescent="0.2">
      <c r="A354" s="29">
        <v>353</v>
      </c>
      <c r="B354" s="13">
        <v>44693.490122569441</v>
      </c>
      <c r="C354" s="14" t="s">
        <v>16</v>
      </c>
      <c r="D354" s="15">
        <v>24490.267493922634</v>
      </c>
      <c r="E354" s="16">
        <v>12870.626982002344</v>
      </c>
      <c r="F354" s="17">
        <v>-344229.40555634256</v>
      </c>
      <c r="G354" s="25">
        <v>29805.999043266896</v>
      </c>
      <c r="H354" s="26">
        <v>11187</v>
      </c>
      <c r="I354" s="24">
        <v>-330864.9970057765</v>
      </c>
      <c r="J354">
        <f t="shared" si="10"/>
        <v>14481</v>
      </c>
      <c r="K354" s="18">
        <v>26375</v>
      </c>
      <c r="L354">
        <f t="shared" si="11"/>
        <v>11894</v>
      </c>
      <c r="M354" s="19">
        <v>810</v>
      </c>
      <c r="N354" s="20" t="b">
        <v>1</v>
      </c>
      <c r="O354" s="21">
        <v>-72</v>
      </c>
      <c r="P354" s="26" t="b">
        <f>ABS(Table1[[#This Row],[Estimate error]])-Table1[[#This Row],[Standard Deviation]]&lt;0</f>
        <v>0</v>
      </c>
      <c r="U354" s="11"/>
      <c r="V354" s="12"/>
    </row>
    <row r="355" spans="1:22" x14ac:dyDescent="0.2">
      <c r="A355" s="29">
        <v>354</v>
      </c>
      <c r="B355" s="13">
        <v>44693.490122569441</v>
      </c>
      <c r="C355" s="14" t="s">
        <v>28</v>
      </c>
      <c r="D355" s="15">
        <v>24490.267493922634</v>
      </c>
      <c r="E355" s="16">
        <v>12870.626982002344</v>
      </c>
      <c r="F355" s="17">
        <v>-344229.40555634256</v>
      </c>
      <c r="G355" s="25">
        <v>47511.84397421257</v>
      </c>
      <c r="H355" s="26">
        <v>12577</v>
      </c>
      <c r="I355" s="24">
        <v>-366209.6994908413</v>
      </c>
      <c r="J355">
        <f t="shared" si="10"/>
        <v>31831</v>
      </c>
      <c r="K355" s="18">
        <v>41812</v>
      </c>
      <c r="L355">
        <f t="shared" si="11"/>
        <v>9981</v>
      </c>
      <c r="M355" s="19">
        <v>1590</v>
      </c>
      <c r="N355" s="20" t="b">
        <v>1</v>
      </c>
      <c r="O355" s="21">
        <v>-83</v>
      </c>
      <c r="P355" s="26" t="b">
        <f>ABS(Table1[[#This Row],[Estimate error]])-Table1[[#This Row],[Standard Deviation]]&lt;0</f>
        <v>0</v>
      </c>
      <c r="U355" s="11"/>
      <c r="V355" s="12"/>
    </row>
    <row r="356" spans="1:22" x14ac:dyDescent="0.2">
      <c r="A356" s="29">
        <v>355</v>
      </c>
      <c r="B356" s="13">
        <v>44693.490122569441</v>
      </c>
      <c r="C356" s="14" t="s">
        <v>17</v>
      </c>
      <c r="D356" s="15">
        <v>24490.267493922634</v>
      </c>
      <c r="E356" s="16">
        <v>12870.626982002344</v>
      </c>
      <c r="F356" s="17">
        <v>-344229.40555634256</v>
      </c>
      <c r="G356" s="25">
        <v>32876.488350740532</v>
      </c>
      <c r="H356" s="26">
        <v>12372</v>
      </c>
      <c r="I356" s="24">
        <v>-351732.9374828916</v>
      </c>
      <c r="J356">
        <f t="shared" si="10"/>
        <v>11264</v>
      </c>
      <c r="K356" s="18">
        <v>19312</v>
      </c>
      <c r="L356">
        <f t="shared" si="11"/>
        <v>8048</v>
      </c>
      <c r="M356" s="19">
        <v>540</v>
      </c>
      <c r="N356" s="20" t="b">
        <v>1</v>
      </c>
      <c r="O356" s="21">
        <v>-66</v>
      </c>
      <c r="P356" s="26" t="b">
        <f>ABS(Table1[[#This Row],[Estimate error]])-Table1[[#This Row],[Standard Deviation]]&lt;0</f>
        <v>0</v>
      </c>
      <c r="U356" s="11"/>
      <c r="V356" s="12"/>
    </row>
    <row r="358" spans="1:22" x14ac:dyDescent="0.2">
      <c r="M358" s="28"/>
    </row>
    <row r="360" spans="1:22" x14ac:dyDescent="0.2">
      <c r="K360" t="s">
        <v>32</v>
      </c>
      <c r="L360" s="7">
        <f>AVERAGEIF(L2:L356,"&gt;0")</f>
        <v>3363.5367965367964</v>
      </c>
    </row>
    <row r="373" spans="15:15" x14ac:dyDescent="0.2">
      <c r="O373" s="21"/>
    </row>
    <row r="374" spans="15:15" x14ac:dyDescent="0.2">
      <c r="O374" s="21"/>
    </row>
    <row r="375" spans="15:15" x14ac:dyDescent="0.2">
      <c r="O375" s="21"/>
    </row>
    <row r="376" spans="15:15" x14ac:dyDescent="0.2">
      <c r="O376" s="21"/>
    </row>
    <row r="377" spans="15:15" x14ac:dyDescent="0.2">
      <c r="O377" s="21"/>
    </row>
    <row r="378" spans="15:15" x14ac:dyDescent="0.2">
      <c r="O378" s="21"/>
    </row>
    <row r="379" spans="15:15" x14ac:dyDescent="0.2">
      <c r="O379" s="21"/>
    </row>
    <row r="380" spans="15:15" x14ac:dyDescent="0.2">
      <c r="O380" s="21"/>
    </row>
    <row r="381" spans="15:15" x14ac:dyDescent="0.2">
      <c r="O381" s="21"/>
    </row>
    <row r="382" spans="15:15" x14ac:dyDescent="0.2">
      <c r="O382" s="21"/>
    </row>
    <row r="383" spans="15:15" x14ac:dyDescent="0.2">
      <c r="O383" s="21"/>
    </row>
    <row r="384" spans="15:15" x14ac:dyDescent="0.2">
      <c r="O384" s="21"/>
    </row>
    <row r="385" spans="15:15" x14ac:dyDescent="0.2">
      <c r="O385" s="21"/>
    </row>
    <row r="386" spans="15:15" x14ac:dyDescent="0.2">
      <c r="O386" s="21"/>
    </row>
    <row r="387" spans="15:15" x14ac:dyDescent="0.2">
      <c r="O387" s="21"/>
    </row>
    <row r="388" spans="15:15" x14ac:dyDescent="0.2">
      <c r="O388" s="21"/>
    </row>
    <row r="389" spans="15:15" x14ac:dyDescent="0.2">
      <c r="O389" s="21"/>
    </row>
    <row r="390" spans="15:15" x14ac:dyDescent="0.2">
      <c r="O390" s="21"/>
    </row>
    <row r="391" spans="15:15" x14ac:dyDescent="0.2">
      <c r="O391" s="21"/>
    </row>
    <row r="392" spans="15:15" x14ac:dyDescent="0.2">
      <c r="O392" s="21"/>
    </row>
    <row r="393" spans="15:15" x14ac:dyDescent="0.2">
      <c r="O393" s="21"/>
    </row>
    <row r="394" spans="15:15" x14ac:dyDescent="0.2">
      <c r="O394" s="21"/>
    </row>
    <row r="395" spans="15:15" x14ac:dyDescent="0.2">
      <c r="O395" s="21"/>
    </row>
    <row r="396" spans="15:15" x14ac:dyDescent="0.2">
      <c r="O396" s="21"/>
    </row>
    <row r="397" spans="15:15" x14ac:dyDescent="0.2">
      <c r="O397" s="21"/>
    </row>
    <row r="398" spans="15:15" x14ac:dyDescent="0.2">
      <c r="O398" s="21"/>
    </row>
    <row r="399" spans="15:15" x14ac:dyDescent="0.2">
      <c r="O399" s="21"/>
    </row>
    <row r="400" spans="15:15" x14ac:dyDescent="0.2">
      <c r="O400" s="21"/>
    </row>
    <row r="401" spans="15:15" x14ac:dyDescent="0.2">
      <c r="O401" s="21"/>
    </row>
    <row r="402" spans="15:15" x14ac:dyDescent="0.2">
      <c r="O402" s="21"/>
    </row>
    <row r="403" spans="15:15" x14ac:dyDescent="0.2">
      <c r="O403" s="21"/>
    </row>
    <row r="404" spans="15:15" x14ac:dyDescent="0.2">
      <c r="O404" s="21"/>
    </row>
    <row r="405" spans="15:15" x14ac:dyDescent="0.2">
      <c r="O405" s="21"/>
    </row>
    <row r="406" spans="15:15" x14ac:dyDescent="0.2">
      <c r="O406" s="21"/>
    </row>
    <row r="407" spans="15:15" x14ac:dyDescent="0.2">
      <c r="O407" s="21"/>
    </row>
    <row r="408" spans="15:15" x14ac:dyDescent="0.2">
      <c r="O408" s="21"/>
    </row>
    <row r="409" spans="15:15" x14ac:dyDescent="0.2">
      <c r="O409" s="21"/>
    </row>
    <row r="410" spans="15:15" x14ac:dyDescent="0.2">
      <c r="O410" s="21"/>
    </row>
    <row r="411" spans="15:15" x14ac:dyDescent="0.2">
      <c r="O411" s="21"/>
    </row>
    <row r="412" spans="15:15" x14ac:dyDescent="0.2">
      <c r="O412" s="21"/>
    </row>
    <row r="413" spans="15:15" x14ac:dyDescent="0.2">
      <c r="O413" s="21"/>
    </row>
    <row r="414" spans="15:15" x14ac:dyDescent="0.2">
      <c r="O414" s="21"/>
    </row>
    <row r="415" spans="15:15" x14ac:dyDescent="0.2">
      <c r="O415" s="21"/>
    </row>
    <row r="416" spans="15:15" x14ac:dyDescent="0.2">
      <c r="O416" s="21"/>
    </row>
    <row r="417" spans="15:15" x14ac:dyDescent="0.2">
      <c r="O417" s="21"/>
    </row>
    <row r="418" spans="15:15" x14ac:dyDescent="0.2">
      <c r="O418" s="21"/>
    </row>
    <row r="419" spans="15:15" x14ac:dyDescent="0.2">
      <c r="O419" s="21"/>
    </row>
    <row r="420" spans="15:15" x14ac:dyDescent="0.2">
      <c r="O420" s="21"/>
    </row>
    <row r="421" spans="15:15" x14ac:dyDescent="0.2">
      <c r="O421" s="21"/>
    </row>
    <row r="422" spans="15:15" x14ac:dyDescent="0.2">
      <c r="O422" s="21"/>
    </row>
    <row r="423" spans="15:15" x14ac:dyDescent="0.2">
      <c r="O423" s="21"/>
    </row>
    <row r="424" spans="15:15" x14ac:dyDescent="0.2">
      <c r="O424" s="21"/>
    </row>
    <row r="425" spans="15:15" x14ac:dyDescent="0.2">
      <c r="O425" s="21"/>
    </row>
    <row r="426" spans="15:15" x14ac:dyDescent="0.2">
      <c r="O426" s="21"/>
    </row>
    <row r="427" spans="15:15" x14ac:dyDescent="0.2">
      <c r="O427" s="21"/>
    </row>
    <row r="428" spans="15:15" x14ac:dyDescent="0.2">
      <c r="O428" s="21"/>
    </row>
    <row r="429" spans="15:15" x14ac:dyDescent="0.2">
      <c r="O429" s="21"/>
    </row>
    <row r="430" spans="15:15" x14ac:dyDescent="0.2">
      <c r="O430" s="21"/>
    </row>
    <row r="431" spans="15:15" x14ac:dyDescent="0.2">
      <c r="O431" s="21"/>
    </row>
    <row r="432" spans="15:15" x14ac:dyDescent="0.2">
      <c r="O432" s="21"/>
    </row>
    <row r="433" spans="15:15" x14ac:dyDescent="0.2">
      <c r="O433" s="21"/>
    </row>
    <row r="434" spans="15:15" x14ac:dyDescent="0.2">
      <c r="O434" s="21"/>
    </row>
    <row r="435" spans="15:15" x14ac:dyDescent="0.2">
      <c r="O435" s="21"/>
    </row>
    <row r="436" spans="15:15" x14ac:dyDescent="0.2">
      <c r="O436" s="21"/>
    </row>
    <row r="437" spans="15:15" x14ac:dyDescent="0.2">
      <c r="O437" s="21"/>
    </row>
    <row r="438" spans="15:15" x14ac:dyDescent="0.2">
      <c r="O438" s="21"/>
    </row>
    <row r="439" spans="15:15" x14ac:dyDescent="0.2">
      <c r="O439" s="21"/>
    </row>
    <row r="440" spans="15:15" x14ac:dyDescent="0.2">
      <c r="O440" s="21"/>
    </row>
    <row r="441" spans="15:15" x14ac:dyDescent="0.2">
      <c r="O441" s="21"/>
    </row>
    <row r="442" spans="15:15" x14ac:dyDescent="0.2">
      <c r="O442" s="21"/>
    </row>
    <row r="443" spans="15:15" x14ac:dyDescent="0.2">
      <c r="O443" s="21"/>
    </row>
    <row r="444" spans="15:15" x14ac:dyDescent="0.2">
      <c r="O444" s="21"/>
    </row>
    <row r="445" spans="15:15" x14ac:dyDescent="0.2">
      <c r="O445" s="21"/>
    </row>
    <row r="446" spans="15:15" x14ac:dyDescent="0.2">
      <c r="O446" s="21"/>
    </row>
    <row r="447" spans="15:15" x14ac:dyDescent="0.2">
      <c r="O447" s="21"/>
    </row>
    <row r="448" spans="15:15" x14ac:dyDescent="0.2">
      <c r="O448" s="21"/>
    </row>
    <row r="449" spans="15:15" x14ac:dyDescent="0.2">
      <c r="O449" s="21"/>
    </row>
    <row r="450" spans="15:15" x14ac:dyDescent="0.2">
      <c r="O450" s="21"/>
    </row>
    <row r="451" spans="15:15" x14ac:dyDescent="0.2">
      <c r="O451" s="21"/>
    </row>
    <row r="452" spans="15:15" x14ac:dyDescent="0.2">
      <c r="O452" s="21"/>
    </row>
    <row r="453" spans="15:15" x14ac:dyDescent="0.2">
      <c r="O453" s="21"/>
    </row>
    <row r="454" spans="15:15" x14ac:dyDescent="0.2">
      <c r="O454" s="21"/>
    </row>
    <row r="455" spans="15:15" x14ac:dyDescent="0.2">
      <c r="O455" s="21"/>
    </row>
    <row r="456" spans="15:15" x14ac:dyDescent="0.2">
      <c r="O456" s="21"/>
    </row>
    <row r="457" spans="15:15" x14ac:dyDescent="0.2">
      <c r="O457" s="21"/>
    </row>
    <row r="458" spans="15:15" x14ac:dyDescent="0.2">
      <c r="O458" s="21"/>
    </row>
    <row r="459" spans="15:15" x14ac:dyDescent="0.2">
      <c r="O459" s="21"/>
    </row>
    <row r="460" spans="15:15" x14ac:dyDescent="0.2">
      <c r="O460" s="21"/>
    </row>
    <row r="461" spans="15:15" x14ac:dyDescent="0.2">
      <c r="O461" s="21"/>
    </row>
    <row r="462" spans="15:15" x14ac:dyDescent="0.2">
      <c r="O462" s="21"/>
    </row>
    <row r="463" spans="15:15" x14ac:dyDescent="0.2">
      <c r="O463" s="21"/>
    </row>
    <row r="464" spans="15:15" x14ac:dyDescent="0.2">
      <c r="O464" s="21"/>
    </row>
    <row r="465" spans="15:15" x14ac:dyDescent="0.2">
      <c r="O465" s="21"/>
    </row>
    <row r="466" spans="15:15" x14ac:dyDescent="0.2">
      <c r="O466" s="21"/>
    </row>
    <row r="467" spans="15:15" x14ac:dyDescent="0.2">
      <c r="O467" s="21"/>
    </row>
    <row r="468" spans="15:15" x14ac:dyDescent="0.2">
      <c r="O468" s="21"/>
    </row>
    <row r="469" spans="15:15" x14ac:dyDescent="0.2">
      <c r="O469" s="21"/>
    </row>
    <row r="470" spans="15:15" x14ac:dyDescent="0.2">
      <c r="O470" s="21"/>
    </row>
  </sheetData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66B8-F815-4295-BBE5-0EA6BE48E1E3}">
  <dimension ref="A1:AH86"/>
  <sheetViews>
    <sheetView tabSelected="1" topLeftCell="V1" workbookViewId="0">
      <selection activeCell="AE10" sqref="AE10"/>
    </sheetView>
  </sheetViews>
  <sheetFormatPr defaultColWidth="9.140625" defaultRowHeight="12.75" x14ac:dyDescent="0.2"/>
  <cols>
    <col min="2" max="2" width="22.42578125" customWidth="1"/>
    <col min="3" max="3" width="18.42578125" customWidth="1"/>
    <col min="4" max="4" width="18.7109375" customWidth="1"/>
    <col min="5" max="5" width="16.85546875" customWidth="1"/>
    <col min="6" max="6" width="14.85546875" customWidth="1"/>
    <col min="10" max="10" width="17.140625" customWidth="1"/>
    <col min="11" max="11" width="20" customWidth="1"/>
    <col min="12" max="12" width="12.85546875" customWidth="1"/>
    <col min="13" max="13" width="16.7109375" customWidth="1"/>
    <col min="14" max="14" width="19.140625" customWidth="1"/>
    <col min="15" max="15" width="15.85546875" customWidth="1"/>
    <col min="16" max="16" width="20.5703125" customWidth="1"/>
    <col min="17" max="17" width="10.42578125" customWidth="1"/>
    <col min="19" max="19" width="12.28515625" customWidth="1"/>
    <col min="20" max="20" width="17.5703125" customWidth="1"/>
    <col min="22" max="22" width="14" customWidth="1"/>
    <col min="23" max="23" width="16" customWidth="1"/>
    <col min="24" max="24" width="14" customWidth="1"/>
    <col min="25" max="25" width="12.85546875" customWidth="1"/>
    <col min="26" max="26" width="24" customWidth="1"/>
    <col min="30" max="30" width="11.85546875" customWidth="1"/>
    <col min="31" max="31" width="13" customWidth="1"/>
    <col min="32" max="32" width="12.7109375" customWidth="1"/>
    <col min="33" max="33" width="13.140625" customWidth="1"/>
    <col min="34" max="34" width="15.140625" customWidth="1"/>
  </cols>
  <sheetData>
    <row r="1" spans="1:34" x14ac:dyDescent="0.2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46</v>
      </c>
      <c r="L1" s="32" t="s">
        <v>34</v>
      </c>
      <c r="M1" s="32" t="s">
        <v>36</v>
      </c>
      <c r="N1" s="32" t="s">
        <v>10</v>
      </c>
      <c r="O1" s="32" t="s">
        <v>11</v>
      </c>
      <c r="P1" s="32" t="s">
        <v>12</v>
      </c>
      <c r="Q1" s="32" t="s">
        <v>13</v>
      </c>
      <c r="R1" s="32" t="s">
        <v>14</v>
      </c>
      <c r="S1" s="32" t="s">
        <v>15</v>
      </c>
      <c r="T1" s="32" t="s">
        <v>33</v>
      </c>
      <c r="U1" s="32" t="s">
        <v>40</v>
      </c>
      <c r="V1" s="32" t="s">
        <v>35</v>
      </c>
      <c r="W1" s="32" t="s">
        <v>37</v>
      </c>
      <c r="X1" s="32" t="s">
        <v>38</v>
      </c>
      <c r="Y1" s="32" t="s">
        <v>48</v>
      </c>
      <c r="Z1" s="32" t="s">
        <v>47</v>
      </c>
    </row>
    <row r="2" spans="1:34" x14ac:dyDescent="0.2">
      <c r="A2">
        <v>2</v>
      </c>
      <c r="B2">
        <v>44693.476894097199</v>
      </c>
      <c r="C2" t="s">
        <v>17</v>
      </c>
      <c r="D2">
        <v>36940.122303513097</v>
      </c>
      <c r="E2">
        <v>12826.8335320471</v>
      </c>
      <c r="F2">
        <v>-323357.61218350899</v>
      </c>
      <c r="G2">
        <v>32876.488350740503</v>
      </c>
      <c r="H2">
        <v>12372</v>
      </c>
      <c r="I2">
        <v>-351732.93748289201</v>
      </c>
      <c r="J2">
        <f t="shared" ref="J2:J11" si="0">ROUND(SQRT((G2-D2)^2+(H2-E2)^2+(I2-F2)^2),0)</f>
        <v>28668</v>
      </c>
      <c r="K2" s="34">
        <f t="shared" ref="K2:K11" si="1">1000*10^((T2-R2)/(10*E$81))</f>
        <v>2801832.9985237671</v>
      </c>
      <c r="L2">
        <f>-(R2-T2)/(10*LOG10(J2/1000))</f>
        <v>2.9504649949281654</v>
      </c>
      <c r="M2">
        <f>1000*10^((T2-R2)/(10*D$81))</f>
        <v>76151.819141215106</v>
      </c>
      <c r="N2">
        <v>0</v>
      </c>
      <c r="O2">
        <f t="shared" ref="O2:O11" si="2">ROUND(IF(Q2,N2-J2,0),1)</f>
        <v>0</v>
      </c>
      <c r="P2">
        <v>0</v>
      </c>
      <c r="Q2" t="b">
        <v>0</v>
      </c>
      <c r="R2">
        <v>-85</v>
      </c>
      <c r="S2" t="b">
        <f>ABS('n estimate'!$O3)-'n estimate'!$P3&lt;0</f>
        <v>0</v>
      </c>
      <c r="T2">
        <v>-42</v>
      </c>
      <c r="U2" s="33">
        <v>1.2473015335197626</v>
      </c>
      <c r="V2">
        <f t="shared" ref="V2:V11" si="3">AVERAGE($L$2:$L$11)</f>
        <v>2.2851916131973722</v>
      </c>
      <c r="W2">
        <f t="shared" ref="W2:W11" si="4">ABS(J2-M2)</f>
        <v>47483.819141215106</v>
      </c>
      <c r="X2">
        <f t="shared" ref="X2:X11" si="5">10^((T2-R2)/(10*1.6))</f>
        <v>486.96752516586361</v>
      </c>
      <c r="Y2">
        <f>ABS(J2-X2)</f>
        <v>28181.032474834137</v>
      </c>
      <c r="Z2">
        <f t="shared" ref="Z2:Z11" si="6">ABS(J2-K2)</f>
        <v>2773164.9985237671</v>
      </c>
      <c r="AD2" t="s">
        <v>49</v>
      </c>
      <c r="AE2" s="34" t="s">
        <v>50</v>
      </c>
      <c r="AF2" s="34" t="s">
        <v>51</v>
      </c>
      <c r="AG2" s="34" t="s">
        <v>52</v>
      </c>
    </row>
    <row r="3" spans="1:34" x14ac:dyDescent="0.2">
      <c r="A3">
        <v>24</v>
      </c>
      <c r="B3">
        <v>44693.481481867297</v>
      </c>
      <c r="C3" t="s">
        <v>17</v>
      </c>
      <c r="D3">
        <v>36907.285851159701</v>
      </c>
      <c r="E3">
        <v>12588.4170161202</v>
      </c>
      <c r="F3">
        <v>-327019.66428862797</v>
      </c>
      <c r="G3">
        <v>32876.488350740503</v>
      </c>
      <c r="H3">
        <v>12372</v>
      </c>
      <c r="I3">
        <v>-351732.93748289201</v>
      </c>
      <c r="J3">
        <f t="shared" si="0"/>
        <v>25041</v>
      </c>
      <c r="K3" s="34">
        <f t="shared" si="1"/>
        <v>1338905.5566017176</v>
      </c>
      <c r="L3">
        <f t="shared" ref="L3:L11" si="7">-(R3-T3)/(10*LOG10(J3/1000))</f>
        <v>2.7883997771659814</v>
      </c>
      <c r="M3">
        <f t="shared" ref="M3:M11" si="8">1000*10^((T3-R3)/(10*D$81))</f>
        <v>50890.914614191272</v>
      </c>
      <c r="N3">
        <v>26812</v>
      </c>
      <c r="O3">
        <f t="shared" si="2"/>
        <v>1771</v>
      </c>
      <c r="P3">
        <v>1185</v>
      </c>
      <c r="Q3" t="b">
        <v>1</v>
      </c>
      <c r="R3">
        <v>-81</v>
      </c>
      <c r="S3" t="b">
        <f>ABS('n estimate'!$O7)-'n estimate'!$P7&lt;0</f>
        <v>1</v>
      </c>
      <c r="T3">
        <v>-42</v>
      </c>
      <c r="U3" s="33">
        <v>1.2473015335197626</v>
      </c>
      <c r="V3">
        <f t="shared" si="3"/>
        <v>2.2851916131973722</v>
      </c>
      <c r="W3">
        <f t="shared" si="4"/>
        <v>25849.914614191272</v>
      </c>
      <c r="X3">
        <f t="shared" si="5"/>
        <v>273.84196342643634</v>
      </c>
      <c r="Y3" s="34">
        <f t="shared" ref="Y3:Y66" si="9">ABS(J3-X3)</f>
        <v>24767.158036573564</v>
      </c>
      <c r="Z3" s="34">
        <f t="shared" si="6"/>
        <v>1313864.5566017176</v>
      </c>
      <c r="AD3">
        <f>ROUND(AVERAGE($W$2:$W$75),0)</f>
        <v>13832</v>
      </c>
      <c r="AE3" s="34">
        <f>ROUND(MEDIAN($W$2:$W$75),0)</f>
        <v>9156</v>
      </c>
      <c r="AF3" s="34">
        <f>ROUND(MIN($W$2:$W$75),0)</f>
        <v>38</v>
      </c>
      <c r="AG3" s="34">
        <f>ROUND(MAX($W$2:$W$75),0)</f>
        <v>79673</v>
      </c>
    </row>
    <row r="4" spans="1:34" x14ac:dyDescent="0.2">
      <c r="A4">
        <v>164</v>
      </c>
      <c r="B4">
        <v>44693.4858542824</v>
      </c>
      <c r="C4" t="s">
        <v>17</v>
      </c>
      <c r="D4">
        <v>78906.623779740796</v>
      </c>
      <c r="E4">
        <v>13000.576319195499</v>
      </c>
      <c r="F4">
        <v>-345969.45607042901</v>
      </c>
      <c r="G4">
        <v>32876.488350740503</v>
      </c>
      <c r="H4">
        <v>12372</v>
      </c>
      <c r="I4">
        <v>-351732.93748289201</v>
      </c>
      <c r="J4">
        <f t="shared" si="0"/>
        <v>46394</v>
      </c>
      <c r="K4" s="34">
        <f t="shared" si="1"/>
        <v>2329534.6272947309</v>
      </c>
      <c r="L4">
        <f t="shared" si="7"/>
        <v>2.5203097690239793</v>
      </c>
      <c r="M4">
        <f t="shared" si="8"/>
        <v>68852.589084801584</v>
      </c>
      <c r="N4">
        <v>0</v>
      </c>
      <c r="O4">
        <f t="shared" si="2"/>
        <v>0</v>
      </c>
      <c r="P4">
        <v>0</v>
      </c>
      <c r="Q4" t="b">
        <v>0</v>
      </c>
      <c r="R4">
        <v>-84</v>
      </c>
      <c r="S4" t="b">
        <f>ABS('n estimate'!$O37)-'n estimate'!$P37&lt;0</f>
        <v>0</v>
      </c>
      <c r="T4">
        <v>-42</v>
      </c>
      <c r="U4" s="33">
        <v>1.2473015335197626</v>
      </c>
      <c r="V4">
        <f t="shared" si="3"/>
        <v>2.2851916131973722</v>
      </c>
      <c r="W4">
        <f t="shared" si="4"/>
        <v>22458.589084801584</v>
      </c>
      <c r="X4">
        <f t="shared" si="5"/>
        <v>421.69650342858256</v>
      </c>
      <c r="Y4" s="34">
        <f t="shared" si="9"/>
        <v>45972.303496571418</v>
      </c>
      <c r="Z4" s="34">
        <f t="shared" si="6"/>
        <v>2283140.6272947309</v>
      </c>
    </row>
    <row r="5" spans="1:34" x14ac:dyDescent="0.2">
      <c r="A5">
        <v>209</v>
      </c>
      <c r="B5">
        <v>44693.486738387299</v>
      </c>
      <c r="C5" t="s">
        <v>17</v>
      </c>
      <c r="D5">
        <v>71335.864732837697</v>
      </c>
      <c r="E5">
        <v>12796.990068175301</v>
      </c>
      <c r="F5">
        <v>-360648.30640507402</v>
      </c>
      <c r="G5">
        <v>32876.488350740503</v>
      </c>
      <c r="H5">
        <v>12372</v>
      </c>
      <c r="I5">
        <v>-351732.93748289201</v>
      </c>
      <c r="J5">
        <f t="shared" si="0"/>
        <v>39481</v>
      </c>
      <c r="K5" s="34">
        <f t="shared" si="1"/>
        <v>2329534.6272947309</v>
      </c>
      <c r="L5">
        <f t="shared" si="7"/>
        <v>2.6309391078813791</v>
      </c>
      <c r="M5">
        <f t="shared" si="8"/>
        <v>68852.589084801584</v>
      </c>
      <c r="N5">
        <v>50812</v>
      </c>
      <c r="O5">
        <f t="shared" si="2"/>
        <v>11331</v>
      </c>
      <c r="P5">
        <v>105</v>
      </c>
      <c r="Q5" t="b">
        <v>1</v>
      </c>
      <c r="R5">
        <v>-84</v>
      </c>
      <c r="S5" t="b">
        <f>ABS('n estimate'!$O47)-'n estimate'!$P47&lt;0</f>
        <v>0</v>
      </c>
      <c r="T5">
        <v>-42</v>
      </c>
      <c r="U5" s="33">
        <v>1.2473015335197626</v>
      </c>
      <c r="V5">
        <f t="shared" si="3"/>
        <v>2.2851916131973722</v>
      </c>
      <c r="W5">
        <f t="shared" si="4"/>
        <v>29371.589084801584</v>
      </c>
      <c r="X5">
        <f t="shared" si="5"/>
        <v>421.69650342858256</v>
      </c>
      <c r="Y5" s="34">
        <f t="shared" si="9"/>
        <v>39059.303496571418</v>
      </c>
      <c r="Z5" s="34">
        <f t="shared" si="6"/>
        <v>2290053.6272947309</v>
      </c>
      <c r="AD5" t="s">
        <v>53</v>
      </c>
      <c r="AE5" s="34" t="s">
        <v>54</v>
      </c>
      <c r="AF5" s="34" t="s">
        <v>55</v>
      </c>
      <c r="AG5" s="34" t="s">
        <v>56</v>
      </c>
      <c r="AH5" s="34" t="s">
        <v>57</v>
      </c>
    </row>
    <row r="6" spans="1:34" x14ac:dyDescent="0.2">
      <c r="A6">
        <v>252</v>
      </c>
      <c r="B6">
        <v>44693.487968171299</v>
      </c>
      <c r="C6" t="s">
        <v>17</v>
      </c>
      <c r="D6">
        <v>52812.0706544657</v>
      </c>
      <c r="E6">
        <v>12682.878997112601</v>
      </c>
      <c r="F6">
        <v>-371645.01595541299</v>
      </c>
      <c r="G6">
        <v>32876.488350740503</v>
      </c>
      <c r="H6">
        <v>12372</v>
      </c>
      <c r="I6">
        <v>-351732.93748289201</v>
      </c>
      <c r="J6">
        <f t="shared" si="0"/>
        <v>28178</v>
      </c>
      <c r="K6" s="34">
        <f t="shared" si="1"/>
        <v>769539.14678691223</v>
      </c>
      <c r="L6">
        <f t="shared" si="7"/>
        <v>2.4829124503144113</v>
      </c>
      <c r="M6">
        <f t="shared" si="8"/>
        <v>37614.928134061927</v>
      </c>
      <c r="N6">
        <v>28750</v>
      </c>
      <c r="O6">
        <f t="shared" si="2"/>
        <v>572</v>
      </c>
      <c r="P6">
        <v>720</v>
      </c>
      <c r="Q6" t="b">
        <v>1</v>
      </c>
      <c r="R6">
        <v>-78</v>
      </c>
      <c r="S6" t="b">
        <f>ABS('n estimate'!$O55)-'n estimate'!$P55&lt;0</f>
        <v>1</v>
      </c>
      <c r="T6">
        <v>-42</v>
      </c>
      <c r="U6" s="33">
        <v>1.2473015335197626</v>
      </c>
      <c r="V6">
        <f t="shared" si="3"/>
        <v>2.2851916131973722</v>
      </c>
      <c r="W6">
        <f t="shared" si="4"/>
        <v>9436.9281340619273</v>
      </c>
      <c r="X6">
        <f t="shared" si="5"/>
        <v>177.82794100389242</v>
      </c>
      <c r="Y6" s="34">
        <f t="shared" si="9"/>
        <v>28000.172058996108</v>
      </c>
      <c r="Z6" s="34">
        <f t="shared" si="6"/>
        <v>741361.14678691223</v>
      </c>
      <c r="AD6" s="36">
        <f>COUNTIFS($W$2:$W$75, "&gt;0",$W$2:$W$75,"&lt;1000")/COUNTIF($W$2:$W$75,"&gt;0")</f>
        <v>0.10144927536231885</v>
      </c>
      <c r="AE6" s="36">
        <f>COUNTIFS($W$2:$W$75, "&gt;0",$W$2:$W$75,"&lt;2000")/COUNTIF($W$2:$W$75,"&gt;0")</f>
        <v>0.18840579710144928</v>
      </c>
      <c r="AF6" s="36">
        <f>COUNTIFS($W$2:$W$75, "&gt;0",$W$2:$W$75,"&lt;3000")/COUNTIF($W$2:$W$75,"&gt;0")</f>
        <v>0.27536231884057971</v>
      </c>
      <c r="AG6" s="36">
        <f>COUNTIFS($W$2:$W$75, "&gt;0",$W$2:$W$75,"&lt;5000")/COUNTIF($W$2:$W$75,"&gt;0")</f>
        <v>0.36231884057971014</v>
      </c>
      <c r="AH6" s="36">
        <f>COUNTIFS($W$2:$W$75, "&gt;0",$W$2:$W$75,"&lt;10000")/COUNTIF($W$2:$W$75,"&gt;0")</f>
        <v>0.57971014492753625</v>
      </c>
    </row>
    <row r="7" spans="1:34" x14ac:dyDescent="0.2">
      <c r="A7">
        <v>268</v>
      </c>
      <c r="B7">
        <v>44693.488458873398</v>
      </c>
      <c r="C7" t="s">
        <v>17</v>
      </c>
      <c r="D7">
        <v>30068.0965935928</v>
      </c>
      <c r="E7">
        <v>12875.4834094134</v>
      </c>
      <c r="F7">
        <v>-368330.780144908</v>
      </c>
      <c r="G7">
        <v>32876.488350740503</v>
      </c>
      <c r="H7">
        <v>12372</v>
      </c>
      <c r="I7">
        <v>-351732.93748289201</v>
      </c>
      <c r="J7">
        <f t="shared" si="0"/>
        <v>16841</v>
      </c>
      <c r="K7" s="34">
        <f t="shared" si="1"/>
        <v>40129.293122975032</v>
      </c>
      <c r="L7">
        <f t="shared" si="7"/>
        <v>1.6308320197992916</v>
      </c>
      <c r="M7">
        <f t="shared" si="8"/>
        <v>7502.3985479051207</v>
      </c>
      <c r="N7">
        <v>17375</v>
      </c>
      <c r="O7">
        <f t="shared" si="2"/>
        <v>534</v>
      </c>
      <c r="P7">
        <v>630</v>
      </c>
      <c r="Q7" t="b">
        <v>1</v>
      </c>
      <c r="R7">
        <v>-62</v>
      </c>
      <c r="S7" t="b">
        <f>ABS('n estimate'!$O59)-'n estimate'!$P59&lt;0</f>
        <v>1</v>
      </c>
      <c r="T7">
        <v>-42</v>
      </c>
      <c r="U7" s="33">
        <v>1.2473015335197626</v>
      </c>
      <c r="V7">
        <f t="shared" si="3"/>
        <v>2.2851916131973722</v>
      </c>
      <c r="W7">
        <f t="shared" si="4"/>
        <v>9338.6014520948793</v>
      </c>
      <c r="X7">
        <f t="shared" si="5"/>
        <v>17.782794100389236</v>
      </c>
      <c r="Y7" s="34">
        <f t="shared" si="9"/>
        <v>16823.217205899611</v>
      </c>
      <c r="Z7" s="34">
        <f t="shared" si="6"/>
        <v>23288.293122975032</v>
      </c>
    </row>
    <row r="8" spans="1:34" x14ac:dyDescent="0.2">
      <c r="A8">
        <v>288</v>
      </c>
      <c r="B8">
        <v>44693.488779012303</v>
      </c>
      <c r="C8" t="s">
        <v>17</v>
      </c>
      <c r="D8">
        <v>28318.456183741899</v>
      </c>
      <c r="E8">
        <v>13045.557080856801</v>
      </c>
      <c r="F8">
        <v>-362212.83031717502</v>
      </c>
      <c r="G8">
        <v>32876.488350740503</v>
      </c>
      <c r="H8">
        <v>12372</v>
      </c>
      <c r="I8">
        <v>-351732.93748289201</v>
      </c>
      <c r="J8">
        <f t="shared" si="0"/>
        <v>11448</v>
      </c>
      <c r="K8" s="34">
        <f t="shared" si="1"/>
        <v>48265.252794269407</v>
      </c>
      <c r="L8">
        <f t="shared" si="7"/>
        <v>1.9835092537686405</v>
      </c>
      <c r="M8">
        <f t="shared" si="8"/>
        <v>8297.7460243611695</v>
      </c>
      <c r="N8">
        <v>10500</v>
      </c>
      <c r="O8">
        <f t="shared" si="2"/>
        <v>-948</v>
      </c>
      <c r="P8">
        <v>645</v>
      </c>
      <c r="Q8" t="b">
        <v>1</v>
      </c>
      <c r="R8">
        <v>-63</v>
      </c>
      <c r="S8" t="b">
        <f>ABS('n estimate'!$O63)-'n estimate'!$P63&lt;0</f>
        <v>0</v>
      </c>
      <c r="T8">
        <v>-42</v>
      </c>
      <c r="U8" s="33">
        <v>1.2473015335197626</v>
      </c>
      <c r="V8">
        <f t="shared" si="3"/>
        <v>2.2851916131973722</v>
      </c>
      <c r="W8">
        <f t="shared" si="4"/>
        <v>3150.2539756388305</v>
      </c>
      <c r="X8">
        <f t="shared" si="5"/>
        <v>20.535250264571467</v>
      </c>
      <c r="Y8" s="34">
        <f t="shared" si="9"/>
        <v>11427.464749735429</v>
      </c>
      <c r="Z8" s="34">
        <f t="shared" si="6"/>
        <v>36817.252794269407</v>
      </c>
    </row>
    <row r="9" spans="1:34" x14ac:dyDescent="0.2">
      <c r="A9">
        <v>308</v>
      </c>
      <c r="B9">
        <v>44693.489074074103</v>
      </c>
      <c r="C9" t="s">
        <v>17</v>
      </c>
      <c r="D9">
        <v>26366.676951363101</v>
      </c>
      <c r="E9">
        <v>13006.631634961301</v>
      </c>
      <c r="F9">
        <v>-354652.12454722298</v>
      </c>
      <c r="G9">
        <v>32876.488350740503</v>
      </c>
      <c r="H9">
        <v>12372</v>
      </c>
      <c r="I9">
        <v>-351732.93748289201</v>
      </c>
      <c r="J9">
        <f t="shared" si="0"/>
        <v>7163</v>
      </c>
      <c r="K9" s="34">
        <f t="shared" si="1"/>
        <v>19176.493949910404</v>
      </c>
      <c r="L9">
        <f t="shared" si="7"/>
        <v>1.8711372319905053</v>
      </c>
      <c r="M9">
        <f t="shared" si="8"/>
        <v>5013.720331421885</v>
      </c>
      <c r="N9">
        <v>8062</v>
      </c>
      <c r="O9">
        <f t="shared" si="2"/>
        <v>899</v>
      </c>
      <c r="P9">
        <v>645</v>
      </c>
      <c r="Q9" t="b">
        <v>1</v>
      </c>
      <c r="R9">
        <v>-58</v>
      </c>
      <c r="S9" t="b">
        <f>ABS('n estimate'!$O68)-'n estimate'!$P68&lt;0</f>
        <v>0</v>
      </c>
      <c r="T9">
        <v>-42</v>
      </c>
      <c r="U9" s="33">
        <v>1.2473015335197626</v>
      </c>
      <c r="V9">
        <f t="shared" si="3"/>
        <v>2.2851916131973722</v>
      </c>
      <c r="W9">
        <f t="shared" si="4"/>
        <v>2149.279668578115</v>
      </c>
      <c r="X9">
        <f t="shared" si="5"/>
        <v>10</v>
      </c>
      <c r="Y9" s="34">
        <f t="shared" si="9"/>
        <v>7153</v>
      </c>
      <c r="Z9" s="34">
        <f t="shared" si="6"/>
        <v>12013.493949910404</v>
      </c>
    </row>
    <row r="10" spans="1:34" x14ac:dyDescent="0.2">
      <c r="A10">
        <v>323</v>
      </c>
      <c r="B10">
        <v>44693.489602854897</v>
      </c>
      <c r="C10" t="s">
        <v>17</v>
      </c>
      <c r="D10">
        <v>35242.859103527102</v>
      </c>
      <c r="E10">
        <v>12805.806483407699</v>
      </c>
      <c r="F10">
        <v>-353411.67700704699</v>
      </c>
      <c r="G10">
        <v>32876.488350740503</v>
      </c>
      <c r="H10">
        <v>12372</v>
      </c>
      <c r="I10">
        <v>-351732.93748289201</v>
      </c>
      <c r="J10">
        <f t="shared" si="0"/>
        <v>2934</v>
      </c>
      <c r="K10" s="34">
        <f t="shared" si="1"/>
        <v>4379.0973898636239</v>
      </c>
      <c r="L10">
        <f t="shared" si="7"/>
        <v>1.7113759735419067</v>
      </c>
      <c r="M10">
        <f t="shared" si="8"/>
        <v>2239.1338350848719</v>
      </c>
      <c r="N10">
        <v>3000</v>
      </c>
      <c r="O10">
        <f t="shared" si="2"/>
        <v>66</v>
      </c>
      <c r="P10">
        <v>555</v>
      </c>
      <c r="Q10" t="b">
        <v>1</v>
      </c>
      <c r="R10">
        <v>-50</v>
      </c>
      <c r="S10" t="b">
        <f>ABS('n estimate'!$O71)-'n estimate'!$P71&lt;0</f>
        <v>0</v>
      </c>
      <c r="T10">
        <v>-42</v>
      </c>
      <c r="U10" s="33">
        <v>1.2473015335197626</v>
      </c>
      <c r="V10">
        <f t="shared" si="3"/>
        <v>2.2851916131973722</v>
      </c>
      <c r="W10">
        <f t="shared" si="4"/>
        <v>694.86616491512814</v>
      </c>
      <c r="X10">
        <f t="shared" si="5"/>
        <v>3.1622776601683795</v>
      </c>
      <c r="Y10" s="34">
        <f t="shared" si="9"/>
        <v>2930.8377223398315</v>
      </c>
      <c r="Z10" s="34">
        <f t="shared" si="6"/>
        <v>1445.0973898636239</v>
      </c>
    </row>
    <row r="11" spans="1:34" x14ac:dyDescent="0.2">
      <c r="A11">
        <v>343</v>
      </c>
      <c r="B11">
        <v>44693.490122569397</v>
      </c>
      <c r="C11" t="s">
        <v>17</v>
      </c>
      <c r="D11">
        <v>24490.267493922602</v>
      </c>
      <c r="E11">
        <v>12870.626982002301</v>
      </c>
      <c r="F11">
        <v>-344229.40555634297</v>
      </c>
      <c r="G11">
        <v>32876.488350740503</v>
      </c>
      <c r="H11">
        <v>12372</v>
      </c>
      <c r="I11">
        <v>-351732.93748289201</v>
      </c>
      <c r="J11">
        <f t="shared" si="0"/>
        <v>11264</v>
      </c>
      <c r="K11" s="34">
        <f t="shared" si="1"/>
        <v>83975.734602788245</v>
      </c>
      <c r="L11">
        <f t="shared" si="7"/>
        <v>2.2820355535594654</v>
      </c>
      <c r="M11">
        <f t="shared" si="8"/>
        <v>11226.390833739673</v>
      </c>
      <c r="N11">
        <v>18750</v>
      </c>
      <c r="O11">
        <f t="shared" si="2"/>
        <v>7486</v>
      </c>
      <c r="P11">
        <v>600</v>
      </c>
      <c r="Q11" t="b">
        <v>1</v>
      </c>
      <c r="R11">
        <v>-66</v>
      </c>
      <c r="S11" t="b">
        <f>ABS('n estimate'!$O75)-'n estimate'!$P75&lt;0</f>
        <v>0</v>
      </c>
      <c r="T11">
        <v>-42</v>
      </c>
      <c r="U11" s="33">
        <v>1.2473015335197626</v>
      </c>
      <c r="V11">
        <f t="shared" si="3"/>
        <v>2.2851916131973722</v>
      </c>
      <c r="W11">
        <f t="shared" si="4"/>
        <v>37.609166260326674</v>
      </c>
      <c r="X11">
        <f t="shared" si="5"/>
        <v>31.622776601683803</v>
      </c>
      <c r="Y11" s="34">
        <f t="shared" si="9"/>
        <v>11232.377223398316</v>
      </c>
      <c r="Z11" s="34">
        <f t="shared" si="6"/>
        <v>72711.734602788245</v>
      </c>
    </row>
    <row r="12" spans="1:34" x14ac:dyDescent="0.2">
      <c r="K12" s="34"/>
      <c r="Y12" s="34"/>
      <c r="Z12" s="34"/>
    </row>
    <row r="13" spans="1:34" x14ac:dyDescent="0.2">
      <c r="A13">
        <v>48</v>
      </c>
      <c r="B13">
        <v>44693.482971759302</v>
      </c>
      <c r="C13" t="s">
        <v>31</v>
      </c>
      <c r="D13">
        <v>43818.8663514543</v>
      </c>
      <c r="E13">
        <v>12821.855127299799</v>
      </c>
      <c r="F13">
        <v>-318920.38880600501</v>
      </c>
      <c r="G13">
        <v>74177.481073078205</v>
      </c>
      <c r="H13">
        <v>11187</v>
      </c>
      <c r="I13">
        <v>-356447.89152410498</v>
      </c>
      <c r="J13">
        <f t="shared" ref="J13:J26" si="10">ROUND(SQRT((G13-D13)^2+(H13-E13)^2+(I13-F13)^2),0)</f>
        <v>48297</v>
      </c>
      <c r="K13" s="34">
        <f t="shared" ref="K13:K26" si="11">1000*10^((T13-R13)/(10*E$82))</f>
        <v>10779884.046534037</v>
      </c>
      <c r="L13">
        <f t="shared" ref="L13:L26" si="12">-(R13-T13)/(10*LOG10(J13/1000))</f>
        <v>2.7911062087842957</v>
      </c>
      <c r="M13">
        <f t="shared" ref="M13:M26" si="13">1000*10^((T13-R13)/(10*D$82))</f>
        <v>48141.832379986772</v>
      </c>
      <c r="N13">
        <v>0</v>
      </c>
      <c r="O13">
        <f t="shared" ref="O13:O26" si="14">ROUND(IF(Q13,N13-J13,0),1)</f>
        <v>0</v>
      </c>
      <c r="P13">
        <v>0</v>
      </c>
      <c r="Q13" t="b">
        <v>0</v>
      </c>
      <c r="R13">
        <v>-87</v>
      </c>
      <c r="S13" t="b">
        <f>ABS('n estimate'!$O11)-'n estimate'!$P11&lt;0</f>
        <v>0</v>
      </c>
      <c r="T13">
        <v>-40</v>
      </c>
      <c r="U13" s="33">
        <v>1.1654970933996334</v>
      </c>
      <c r="V13">
        <f t="shared" ref="V13:V26" si="15">AVERAGE($L$13:$L$26)</f>
        <v>2.7934245603185177</v>
      </c>
      <c r="W13">
        <f t="shared" ref="W13:W26" si="16">ABS(J13-M13)</f>
        <v>155.16762001322786</v>
      </c>
      <c r="X13">
        <f t="shared" ref="X13:X26" si="17">10^((T13-R13)/(10*1.6))</f>
        <v>865.96432336006569</v>
      </c>
      <c r="Y13" s="34">
        <f t="shared" si="9"/>
        <v>47431.035676639935</v>
      </c>
      <c r="Z13" s="34">
        <f t="shared" ref="Z13:Z26" si="18">ABS(J13-K13)</f>
        <v>10731587.046534037</v>
      </c>
    </row>
    <row r="14" spans="1:34" x14ac:dyDescent="0.2">
      <c r="A14">
        <v>68</v>
      </c>
      <c r="B14">
        <v>44693.483453125002</v>
      </c>
      <c r="C14" t="s">
        <v>31</v>
      </c>
      <c r="D14">
        <v>50282.355008671002</v>
      </c>
      <c r="E14">
        <v>13019.6480474092</v>
      </c>
      <c r="F14">
        <v>-317185.22308556997</v>
      </c>
      <c r="G14">
        <v>74177.481073078205</v>
      </c>
      <c r="H14">
        <v>11187</v>
      </c>
      <c r="I14">
        <v>-356447.89152410498</v>
      </c>
      <c r="J14">
        <f t="shared" si="10"/>
        <v>45999</v>
      </c>
      <c r="K14" s="34">
        <f t="shared" si="11"/>
        <v>19499118.955453668</v>
      </c>
      <c r="L14">
        <f t="shared" si="12"/>
        <v>3.0070695174833544</v>
      </c>
      <c r="M14">
        <f t="shared" si="13"/>
        <v>61647.813389430783</v>
      </c>
      <c r="N14">
        <v>53812</v>
      </c>
      <c r="O14">
        <f t="shared" si="14"/>
        <v>7813</v>
      </c>
      <c r="P14">
        <v>0</v>
      </c>
      <c r="Q14" t="b">
        <v>1</v>
      </c>
      <c r="R14">
        <v>-90</v>
      </c>
      <c r="S14" t="b">
        <f>ABS('n estimate'!$O16)-'n estimate'!$P16&lt;0</f>
        <v>0</v>
      </c>
      <c r="T14">
        <v>-40</v>
      </c>
      <c r="U14" s="33">
        <v>1.1654970933996334</v>
      </c>
      <c r="V14">
        <f t="shared" si="15"/>
        <v>2.7934245603185177</v>
      </c>
      <c r="W14">
        <f t="shared" si="16"/>
        <v>15648.813389430783</v>
      </c>
      <c r="X14">
        <f t="shared" si="17"/>
        <v>1333.5214321633246</v>
      </c>
      <c r="Y14" s="34">
        <f t="shared" si="9"/>
        <v>44665.478567836675</v>
      </c>
      <c r="Z14" s="34">
        <f t="shared" si="18"/>
        <v>19453119.955453668</v>
      </c>
    </row>
    <row r="15" spans="1:34" x14ac:dyDescent="0.2">
      <c r="A15">
        <v>88</v>
      </c>
      <c r="B15">
        <v>44693.4837962577</v>
      </c>
      <c r="C15" t="s">
        <v>31</v>
      </c>
      <c r="D15">
        <v>57467.9400261747</v>
      </c>
      <c r="E15">
        <v>12891.5079050926</v>
      </c>
      <c r="F15">
        <v>-315548.84449210099</v>
      </c>
      <c r="G15">
        <v>74177.481073078205</v>
      </c>
      <c r="H15">
        <v>11187</v>
      </c>
      <c r="I15">
        <v>-356447.89152410498</v>
      </c>
      <c r="J15">
        <f t="shared" si="10"/>
        <v>44214</v>
      </c>
      <c r="K15" s="34">
        <f t="shared" si="11"/>
        <v>170140.53501750523</v>
      </c>
      <c r="L15">
        <f t="shared" si="12"/>
        <v>1.5800094223787966</v>
      </c>
      <c r="M15">
        <f t="shared" si="13"/>
        <v>8526.2329104527926</v>
      </c>
      <c r="N15">
        <v>44500</v>
      </c>
      <c r="O15">
        <f t="shared" si="14"/>
        <v>286</v>
      </c>
      <c r="P15">
        <v>540</v>
      </c>
      <c r="Q15" t="b">
        <v>1</v>
      </c>
      <c r="R15">
        <v>-66</v>
      </c>
      <c r="S15" t="b">
        <f>ABS('n estimate'!$O20)-'n estimate'!$P20&lt;0</f>
        <v>0</v>
      </c>
      <c r="T15">
        <v>-40</v>
      </c>
      <c r="U15" s="33">
        <v>1.1654970933996334</v>
      </c>
      <c r="V15">
        <f t="shared" si="15"/>
        <v>2.7934245603185177</v>
      </c>
      <c r="W15">
        <f t="shared" si="16"/>
        <v>35687.767089547211</v>
      </c>
      <c r="X15">
        <f t="shared" si="17"/>
        <v>42.169650342858247</v>
      </c>
      <c r="Y15" s="34">
        <f t="shared" si="9"/>
        <v>44171.830349657139</v>
      </c>
      <c r="Z15" s="34">
        <f t="shared" si="18"/>
        <v>125926.53501750523</v>
      </c>
    </row>
    <row r="16" spans="1:34" x14ac:dyDescent="0.2">
      <c r="A16">
        <v>108</v>
      </c>
      <c r="B16">
        <v>44693.484165702197</v>
      </c>
      <c r="C16" t="s">
        <v>31</v>
      </c>
      <c r="D16">
        <v>61307.479999243398</v>
      </c>
      <c r="E16">
        <v>12701.251437208801</v>
      </c>
      <c r="F16">
        <v>-324703.91054824099</v>
      </c>
      <c r="G16">
        <v>74177.481073078205</v>
      </c>
      <c r="H16">
        <v>11187</v>
      </c>
      <c r="I16">
        <v>-356447.89152410498</v>
      </c>
      <c r="J16">
        <f t="shared" si="10"/>
        <v>34287</v>
      </c>
      <c r="K16" s="34">
        <f t="shared" si="11"/>
        <v>678281.37604318885</v>
      </c>
      <c r="L16">
        <f t="shared" si="12"/>
        <v>2.149655795820669</v>
      </c>
      <c r="M16">
        <f t="shared" si="13"/>
        <v>15182.583099644615</v>
      </c>
      <c r="N16">
        <v>36000</v>
      </c>
      <c r="O16">
        <f t="shared" si="14"/>
        <v>1713</v>
      </c>
      <c r="P16">
        <v>525</v>
      </c>
      <c r="Q16" t="b">
        <v>1</v>
      </c>
      <c r="R16">
        <v>-73</v>
      </c>
      <c r="S16" t="b">
        <f>ABS('n estimate'!$O24)-'n estimate'!$P24&lt;0</f>
        <v>0</v>
      </c>
      <c r="T16">
        <v>-40</v>
      </c>
      <c r="U16" s="33">
        <v>1.1654970933996334</v>
      </c>
      <c r="V16">
        <f t="shared" si="15"/>
        <v>2.7934245603185177</v>
      </c>
      <c r="W16">
        <f t="shared" si="16"/>
        <v>19104.416900355383</v>
      </c>
      <c r="X16">
        <f t="shared" si="17"/>
        <v>115.47819846894591</v>
      </c>
      <c r="Y16" s="34">
        <f t="shared" si="9"/>
        <v>34171.521801531053</v>
      </c>
      <c r="Z16" s="34">
        <f t="shared" si="18"/>
        <v>643994.37604318885</v>
      </c>
    </row>
    <row r="17" spans="1:26" x14ac:dyDescent="0.2">
      <c r="A17">
        <v>128</v>
      </c>
      <c r="B17">
        <v>44693.484815432101</v>
      </c>
      <c r="C17" t="s">
        <v>31</v>
      </c>
      <c r="D17">
        <v>68633.874987967196</v>
      </c>
      <c r="E17">
        <v>12706.0196455369</v>
      </c>
      <c r="F17">
        <v>-330735.76206932799</v>
      </c>
      <c r="G17">
        <v>74177.481073078205</v>
      </c>
      <c r="H17">
        <v>11187</v>
      </c>
      <c r="I17">
        <v>-356447.89152410498</v>
      </c>
      <c r="J17">
        <f t="shared" si="10"/>
        <v>26347</v>
      </c>
      <c r="K17" s="34">
        <f t="shared" si="11"/>
        <v>10779884.046534037</v>
      </c>
      <c r="L17">
        <f t="shared" si="12"/>
        <v>3.3081557542170734</v>
      </c>
      <c r="M17">
        <f t="shared" si="13"/>
        <v>48141.832379986772</v>
      </c>
      <c r="N17">
        <v>0</v>
      </c>
      <c r="O17">
        <f t="shared" si="14"/>
        <v>0</v>
      </c>
      <c r="P17">
        <v>0</v>
      </c>
      <c r="Q17" t="b">
        <v>0</v>
      </c>
      <c r="R17">
        <v>-87</v>
      </c>
      <c r="S17" t="b">
        <f>ABS('n estimate'!$O29)-'n estimate'!$P29&lt;0</f>
        <v>0</v>
      </c>
      <c r="T17">
        <v>-40</v>
      </c>
      <c r="U17" s="33">
        <v>1.1654970933996334</v>
      </c>
      <c r="V17">
        <f t="shared" si="15"/>
        <v>2.7934245603185177</v>
      </c>
      <c r="W17">
        <f t="shared" si="16"/>
        <v>21794.832379986772</v>
      </c>
      <c r="X17">
        <f t="shared" si="17"/>
        <v>865.96432336006569</v>
      </c>
      <c r="Y17" s="34">
        <f t="shared" si="9"/>
        <v>25481.035676639935</v>
      </c>
      <c r="Z17" s="34">
        <f t="shared" si="18"/>
        <v>10753537.046534037</v>
      </c>
    </row>
    <row r="18" spans="1:26" x14ac:dyDescent="0.2">
      <c r="A18">
        <v>147</v>
      </c>
      <c r="B18">
        <v>44693.485225964498</v>
      </c>
      <c r="C18" t="s">
        <v>31</v>
      </c>
      <c r="D18">
        <v>76554.929399806104</v>
      </c>
      <c r="E18">
        <v>12660.4848656457</v>
      </c>
      <c r="F18">
        <v>-335301.534021987</v>
      </c>
      <c r="G18">
        <v>74177.481073078205</v>
      </c>
      <c r="H18">
        <v>11187</v>
      </c>
      <c r="I18">
        <v>-356447.89152410498</v>
      </c>
      <c r="J18">
        <f t="shared" si="10"/>
        <v>21331</v>
      </c>
      <c r="K18" s="34">
        <f t="shared" si="11"/>
        <v>16003489.489299774</v>
      </c>
      <c r="L18">
        <f t="shared" si="12"/>
        <v>3.6869515788036202</v>
      </c>
      <c r="M18">
        <f t="shared" si="13"/>
        <v>56770.056114109655</v>
      </c>
      <c r="N18">
        <v>0</v>
      </c>
      <c r="O18">
        <f t="shared" si="14"/>
        <v>0</v>
      </c>
      <c r="P18">
        <v>0</v>
      </c>
      <c r="Q18" t="b">
        <v>0</v>
      </c>
      <c r="R18">
        <v>-89</v>
      </c>
      <c r="S18" t="b">
        <f>ABS('n estimate'!$O32)-'n estimate'!$P32&lt;0</f>
        <v>0</v>
      </c>
      <c r="T18">
        <v>-40</v>
      </c>
      <c r="U18" s="33">
        <v>1.1654970933996334</v>
      </c>
      <c r="V18">
        <f t="shared" si="15"/>
        <v>2.7934245603185177</v>
      </c>
      <c r="W18">
        <f t="shared" si="16"/>
        <v>35439.056114109655</v>
      </c>
      <c r="X18">
        <f t="shared" si="17"/>
        <v>1154.7819846894593</v>
      </c>
      <c r="Y18" s="34">
        <f t="shared" si="9"/>
        <v>20176.21801531054</v>
      </c>
      <c r="Z18" s="34">
        <f t="shared" si="18"/>
        <v>15982158.489299774</v>
      </c>
    </row>
    <row r="19" spans="1:26" x14ac:dyDescent="0.2">
      <c r="A19">
        <v>163</v>
      </c>
      <c r="B19">
        <v>44693.4858542824</v>
      </c>
      <c r="C19" t="s">
        <v>31</v>
      </c>
      <c r="D19">
        <v>78906.623779740796</v>
      </c>
      <c r="E19">
        <v>13000.576319195499</v>
      </c>
      <c r="F19">
        <v>-345969.45607042901</v>
      </c>
      <c r="G19">
        <v>74177.481073078205</v>
      </c>
      <c r="H19">
        <v>11187</v>
      </c>
      <c r="I19">
        <v>-356447.89152410498</v>
      </c>
      <c r="J19">
        <f t="shared" si="10"/>
        <v>11638</v>
      </c>
      <c r="K19" s="34">
        <f t="shared" si="11"/>
        <v>307757.53404486272</v>
      </c>
      <c r="L19">
        <f t="shared" si="12"/>
        <v>2.7207607624507242</v>
      </c>
      <c r="M19">
        <f t="shared" si="13"/>
        <v>10918.230349639254</v>
      </c>
      <c r="N19">
        <v>16625</v>
      </c>
      <c r="O19">
        <f t="shared" si="14"/>
        <v>4987</v>
      </c>
      <c r="P19">
        <v>690</v>
      </c>
      <c r="Q19" t="b">
        <v>1</v>
      </c>
      <c r="R19">
        <v>-69</v>
      </c>
      <c r="S19" t="b">
        <f>ABS('n estimate'!$O36)-'n estimate'!$P36&lt;0</f>
        <v>0</v>
      </c>
      <c r="T19">
        <v>-40</v>
      </c>
      <c r="U19" s="33">
        <v>1.1654970933996334</v>
      </c>
      <c r="V19">
        <f t="shared" si="15"/>
        <v>2.7934245603185177</v>
      </c>
      <c r="W19">
        <f t="shared" si="16"/>
        <v>719.7696503607458</v>
      </c>
      <c r="X19">
        <f t="shared" si="17"/>
        <v>64.938163157621162</v>
      </c>
      <c r="Y19" s="34">
        <f t="shared" si="9"/>
        <v>11573.061836842378</v>
      </c>
      <c r="Z19" s="34">
        <f t="shared" si="18"/>
        <v>296119.53404486272</v>
      </c>
    </row>
    <row r="20" spans="1:26" x14ac:dyDescent="0.2">
      <c r="A20">
        <v>188</v>
      </c>
      <c r="B20">
        <v>44693.486364120399</v>
      </c>
      <c r="C20" t="s">
        <v>31</v>
      </c>
      <c r="D20">
        <v>80564.751738280407</v>
      </c>
      <c r="E20">
        <v>13026.7947576406</v>
      </c>
      <c r="F20">
        <v>-352741.40211100498</v>
      </c>
      <c r="G20">
        <v>74177.481073078205</v>
      </c>
      <c r="H20">
        <v>11187</v>
      </c>
      <c r="I20">
        <v>-356447.89152410498</v>
      </c>
      <c r="J20">
        <f t="shared" si="10"/>
        <v>7611</v>
      </c>
      <c r="K20" s="34">
        <f t="shared" si="11"/>
        <v>170140.53501750523</v>
      </c>
      <c r="L20">
        <f t="shared" si="12"/>
        <v>2.949712879795896</v>
      </c>
      <c r="M20">
        <f t="shared" si="13"/>
        <v>8526.2329104527926</v>
      </c>
      <c r="N20">
        <v>10937</v>
      </c>
      <c r="O20">
        <f t="shared" si="14"/>
        <v>3326</v>
      </c>
      <c r="P20">
        <v>735</v>
      </c>
      <c r="Q20" t="b">
        <v>1</v>
      </c>
      <c r="R20">
        <v>-66</v>
      </c>
      <c r="S20" t="b">
        <f>ABS('n estimate'!$O42)-'n estimate'!$P42&lt;0</f>
        <v>0</v>
      </c>
      <c r="T20">
        <v>-40</v>
      </c>
      <c r="U20" s="33">
        <v>1.1654970933996334</v>
      </c>
      <c r="V20">
        <f t="shared" si="15"/>
        <v>2.7934245603185177</v>
      </c>
      <c r="W20">
        <f t="shared" si="16"/>
        <v>915.23291045279257</v>
      </c>
      <c r="X20">
        <f t="shared" si="17"/>
        <v>42.169650342858247</v>
      </c>
      <c r="Y20" s="34">
        <f t="shared" si="9"/>
        <v>7568.8303496571416</v>
      </c>
      <c r="Z20" s="34">
        <f t="shared" si="18"/>
        <v>162529.53501750523</v>
      </c>
    </row>
    <row r="21" spans="1:26" x14ac:dyDescent="0.2">
      <c r="A21">
        <v>208</v>
      </c>
      <c r="B21">
        <v>44693.486738387299</v>
      </c>
      <c r="C21" t="s">
        <v>31</v>
      </c>
      <c r="D21">
        <v>71335.864732837697</v>
      </c>
      <c r="E21">
        <v>12796.990068175301</v>
      </c>
      <c r="F21">
        <v>-360648.30640507402</v>
      </c>
      <c r="G21">
        <v>74177.481073078205</v>
      </c>
      <c r="H21">
        <v>11187</v>
      </c>
      <c r="I21">
        <v>-356447.89152410498</v>
      </c>
      <c r="J21">
        <f t="shared" si="10"/>
        <v>5321</v>
      </c>
      <c r="K21" s="34">
        <f t="shared" si="11"/>
        <v>139639.24575653387</v>
      </c>
      <c r="L21">
        <f t="shared" si="12"/>
        <v>3.443558145020218</v>
      </c>
      <c r="M21">
        <f t="shared" si="13"/>
        <v>7851.6121522545154</v>
      </c>
      <c r="N21">
        <v>5687</v>
      </c>
      <c r="O21">
        <f t="shared" si="14"/>
        <v>366</v>
      </c>
      <c r="P21">
        <v>570</v>
      </c>
      <c r="Q21" t="b">
        <v>1</v>
      </c>
      <c r="R21">
        <v>-65</v>
      </c>
      <c r="S21" t="b">
        <f>ABS('n estimate'!$O46)-'n estimate'!$P46&lt;0</f>
        <v>0</v>
      </c>
      <c r="T21">
        <v>-40</v>
      </c>
      <c r="U21" s="33">
        <v>1.1654970933996334</v>
      </c>
      <c r="V21">
        <f t="shared" si="15"/>
        <v>2.7934245603185177</v>
      </c>
      <c r="W21">
        <f t="shared" si="16"/>
        <v>2530.6121522545154</v>
      </c>
      <c r="X21">
        <f t="shared" si="17"/>
        <v>36.51741272548378</v>
      </c>
      <c r="Y21" s="34">
        <f t="shared" si="9"/>
        <v>5284.4825872745159</v>
      </c>
      <c r="Z21" s="34">
        <f t="shared" si="18"/>
        <v>134318.24575653387</v>
      </c>
    </row>
    <row r="22" spans="1:26" x14ac:dyDescent="0.2">
      <c r="A22">
        <v>233</v>
      </c>
      <c r="B22">
        <v>44693.487285841002</v>
      </c>
      <c r="C22" t="s">
        <v>31</v>
      </c>
      <c r="D22">
        <v>64192.8999953936</v>
      </c>
      <c r="E22">
        <v>12640.6607135671</v>
      </c>
      <c r="F22">
        <v>-353514.88831870101</v>
      </c>
      <c r="G22">
        <v>74177.481073078205</v>
      </c>
      <c r="H22">
        <v>11187</v>
      </c>
      <c r="I22">
        <v>-356447.89152410498</v>
      </c>
      <c r="J22">
        <f t="shared" si="10"/>
        <v>10507</v>
      </c>
      <c r="K22" s="34">
        <f t="shared" si="11"/>
        <v>19364.420134623317</v>
      </c>
      <c r="L22">
        <f t="shared" si="12"/>
        <v>1.4684593546895617</v>
      </c>
      <c r="M22">
        <f t="shared" si="13"/>
        <v>3443.3034928136944</v>
      </c>
      <c r="N22">
        <v>11500</v>
      </c>
      <c r="O22">
        <f t="shared" si="14"/>
        <v>993</v>
      </c>
      <c r="P22">
        <v>465</v>
      </c>
      <c r="Q22" t="b">
        <v>1</v>
      </c>
      <c r="R22">
        <v>-55</v>
      </c>
      <c r="S22" t="b">
        <f>ABS('n estimate'!$O51)-'n estimate'!$P51&lt;0</f>
        <v>0</v>
      </c>
      <c r="T22">
        <v>-40</v>
      </c>
      <c r="U22" s="33">
        <v>1.1654970933996334</v>
      </c>
      <c r="V22">
        <f t="shared" si="15"/>
        <v>2.7934245603185177</v>
      </c>
      <c r="W22">
        <f t="shared" si="16"/>
        <v>7063.6965071863051</v>
      </c>
      <c r="X22">
        <f t="shared" si="17"/>
        <v>8.6596432336006561</v>
      </c>
      <c r="Y22" s="34">
        <f t="shared" si="9"/>
        <v>10498.340356766399</v>
      </c>
      <c r="Z22" s="34">
        <f t="shared" si="18"/>
        <v>8857.4201346233167</v>
      </c>
    </row>
    <row r="23" spans="1:26" x14ac:dyDescent="0.2">
      <c r="A23">
        <v>253</v>
      </c>
      <c r="B23">
        <v>44693.487968171299</v>
      </c>
      <c r="C23" t="s">
        <v>31</v>
      </c>
      <c r="D23">
        <v>52812.0706544657</v>
      </c>
      <c r="E23">
        <v>12682.878997112601</v>
      </c>
      <c r="F23">
        <v>-371645.01595541299</v>
      </c>
      <c r="G23">
        <v>74177.481073078205</v>
      </c>
      <c r="H23">
        <v>11187</v>
      </c>
      <c r="I23">
        <v>-356447.89152410498</v>
      </c>
      <c r="J23">
        <f t="shared" si="10"/>
        <v>26262</v>
      </c>
      <c r="K23" s="34">
        <f t="shared" si="11"/>
        <v>16003489.489299774</v>
      </c>
      <c r="L23">
        <f t="shared" si="12"/>
        <v>3.4523385016260577</v>
      </c>
      <c r="M23">
        <f t="shared" si="13"/>
        <v>56770.056114109655</v>
      </c>
      <c r="N23">
        <v>0</v>
      </c>
      <c r="O23">
        <f t="shared" si="14"/>
        <v>0</v>
      </c>
      <c r="P23">
        <v>0</v>
      </c>
      <c r="Q23" t="b">
        <v>0</v>
      </c>
      <c r="R23">
        <v>-89</v>
      </c>
      <c r="S23" t="b">
        <f>ABS('n estimate'!$O56)-'n estimate'!$P56&lt;0</f>
        <v>1</v>
      </c>
      <c r="T23">
        <v>-40</v>
      </c>
      <c r="U23" s="33">
        <v>1.1654970933996334</v>
      </c>
      <c r="V23">
        <f t="shared" si="15"/>
        <v>2.7934245603185177</v>
      </c>
      <c r="W23">
        <f t="shared" si="16"/>
        <v>30508.056114109655</v>
      </c>
      <c r="X23">
        <f t="shared" si="17"/>
        <v>1154.7819846894593</v>
      </c>
      <c r="Y23" s="34">
        <f t="shared" si="9"/>
        <v>25107.21801531054</v>
      </c>
      <c r="Z23" s="34">
        <f t="shared" si="18"/>
        <v>15977227.489299774</v>
      </c>
    </row>
    <row r="24" spans="1:26" x14ac:dyDescent="0.2">
      <c r="A24">
        <v>269</v>
      </c>
      <c r="B24">
        <v>44693.488458873398</v>
      </c>
      <c r="C24" t="s">
        <v>31</v>
      </c>
      <c r="D24">
        <v>30068.0965935928</v>
      </c>
      <c r="E24">
        <v>12875.4834094134</v>
      </c>
      <c r="F24">
        <v>-368330.780144908</v>
      </c>
      <c r="G24">
        <v>74177.481073078205</v>
      </c>
      <c r="H24">
        <v>11187</v>
      </c>
      <c r="I24">
        <v>-356447.89152410498</v>
      </c>
      <c r="J24">
        <f t="shared" si="10"/>
        <v>45713</v>
      </c>
      <c r="K24" s="34">
        <f t="shared" si="11"/>
        <v>2704033.0221114382</v>
      </c>
      <c r="L24">
        <f t="shared" si="12"/>
        <v>2.4095808932341165</v>
      </c>
      <c r="M24">
        <f t="shared" si="13"/>
        <v>27035.48354807643</v>
      </c>
      <c r="N24">
        <v>0</v>
      </c>
      <c r="O24">
        <f t="shared" si="14"/>
        <v>0</v>
      </c>
      <c r="P24">
        <v>0</v>
      </c>
      <c r="Q24" t="b">
        <v>0</v>
      </c>
      <c r="R24">
        <v>-80</v>
      </c>
      <c r="S24" t="b">
        <f>ABS('n estimate'!$O60)-'n estimate'!$P60&lt;0</f>
        <v>1</v>
      </c>
      <c r="T24">
        <v>-40</v>
      </c>
      <c r="U24" s="33">
        <v>1.1654970933996334</v>
      </c>
      <c r="V24">
        <f t="shared" si="15"/>
        <v>2.7934245603185177</v>
      </c>
      <c r="W24">
        <f t="shared" si="16"/>
        <v>18677.51645192357</v>
      </c>
      <c r="X24">
        <f t="shared" si="17"/>
        <v>316.22776601683825</v>
      </c>
      <c r="Y24" s="34">
        <f t="shared" si="9"/>
        <v>45396.77223398316</v>
      </c>
      <c r="Z24" s="34">
        <f t="shared" si="18"/>
        <v>2658320.0221114382</v>
      </c>
    </row>
    <row r="25" spans="1:26" x14ac:dyDescent="0.2">
      <c r="A25">
        <v>289</v>
      </c>
      <c r="B25">
        <v>44693.488779012303</v>
      </c>
      <c r="C25" t="s">
        <v>31</v>
      </c>
      <c r="D25">
        <v>28318.456183741899</v>
      </c>
      <c r="E25">
        <v>13045.557080856801</v>
      </c>
      <c r="F25">
        <v>-362212.83031717502</v>
      </c>
      <c r="G25">
        <v>74177.481073078205</v>
      </c>
      <c r="H25">
        <v>11187</v>
      </c>
      <c r="I25">
        <v>-356447.89152410498</v>
      </c>
      <c r="J25">
        <f t="shared" si="10"/>
        <v>46257</v>
      </c>
      <c r="K25" s="34">
        <f t="shared" si="11"/>
        <v>23758295.982457556</v>
      </c>
      <c r="L25">
        <f t="shared" si="12"/>
        <v>3.062736622874886</v>
      </c>
      <c r="M25">
        <f t="shared" si="13"/>
        <v>66944.673932663558</v>
      </c>
      <c r="N25">
        <v>0</v>
      </c>
      <c r="O25">
        <f t="shared" si="14"/>
        <v>0</v>
      </c>
      <c r="P25">
        <v>0</v>
      </c>
      <c r="Q25" t="b">
        <v>0</v>
      </c>
      <c r="R25">
        <v>-91</v>
      </c>
      <c r="S25" t="b">
        <f>ABS('n estimate'!$O65)-'n estimate'!$P65&lt;0</f>
        <v>0</v>
      </c>
      <c r="T25">
        <v>-40</v>
      </c>
      <c r="U25" s="33">
        <v>1.1654970933996334</v>
      </c>
      <c r="V25">
        <f t="shared" si="15"/>
        <v>2.7934245603185177</v>
      </c>
      <c r="W25">
        <f t="shared" si="16"/>
        <v>20687.673932663558</v>
      </c>
      <c r="X25">
        <f t="shared" si="17"/>
        <v>1539.926526059493</v>
      </c>
      <c r="Y25" s="34">
        <f t="shared" si="9"/>
        <v>44717.073473940509</v>
      </c>
      <c r="Z25" s="34">
        <f t="shared" si="18"/>
        <v>23712038.982457556</v>
      </c>
    </row>
    <row r="26" spans="1:26" x14ac:dyDescent="0.2">
      <c r="A26">
        <v>324</v>
      </c>
      <c r="B26">
        <v>44693.489602854897</v>
      </c>
      <c r="C26" t="s">
        <v>31</v>
      </c>
      <c r="D26">
        <v>35242.859103527102</v>
      </c>
      <c r="E26">
        <v>12805.806483407699</v>
      </c>
      <c r="F26">
        <v>-353411.67700704699</v>
      </c>
      <c r="G26">
        <v>74177.481073078205</v>
      </c>
      <c r="H26">
        <v>11187</v>
      </c>
      <c r="I26">
        <v>-356447.89152410498</v>
      </c>
      <c r="J26">
        <f t="shared" si="10"/>
        <v>39086</v>
      </c>
      <c r="K26" s="34">
        <f t="shared" si="11"/>
        <v>16003489.489299774</v>
      </c>
      <c r="L26">
        <f t="shared" si="12"/>
        <v>3.0778484072799821</v>
      </c>
      <c r="M26">
        <f t="shared" si="13"/>
        <v>56770.056114109655</v>
      </c>
      <c r="N26">
        <v>0</v>
      </c>
      <c r="O26">
        <f t="shared" si="14"/>
        <v>0</v>
      </c>
      <c r="P26">
        <v>0</v>
      </c>
      <c r="Q26" t="b">
        <v>0</v>
      </c>
      <c r="R26">
        <v>-89</v>
      </c>
      <c r="S26" t="b">
        <f>ABS('n estimate'!$O72)-'n estimate'!$P72&lt;0</f>
        <v>0</v>
      </c>
      <c r="T26">
        <v>-40</v>
      </c>
      <c r="U26" s="33">
        <v>1.1654970933996334</v>
      </c>
      <c r="V26">
        <f t="shared" si="15"/>
        <v>2.7934245603185177</v>
      </c>
      <c r="W26">
        <f t="shared" si="16"/>
        <v>17684.056114109655</v>
      </c>
      <c r="X26">
        <f t="shared" si="17"/>
        <v>1154.7819846894593</v>
      </c>
      <c r="Y26" s="34">
        <f t="shared" si="9"/>
        <v>37931.218015310544</v>
      </c>
      <c r="Z26" s="34">
        <f t="shared" si="18"/>
        <v>15964403.489299774</v>
      </c>
    </row>
    <row r="27" spans="1:26" x14ac:dyDescent="0.2">
      <c r="K27" s="34"/>
      <c r="Y27" s="34"/>
      <c r="Z27" s="34"/>
    </row>
    <row r="28" spans="1:26" x14ac:dyDescent="0.2">
      <c r="A28">
        <v>25</v>
      </c>
      <c r="B28">
        <v>44693.481481867297</v>
      </c>
      <c r="C28" t="s">
        <v>30</v>
      </c>
      <c r="D28">
        <v>36907.285851159701</v>
      </c>
      <c r="E28">
        <v>12588.4170161202</v>
      </c>
      <c r="F28">
        <v>-327019.66428862797</v>
      </c>
      <c r="G28">
        <v>69764.397321579905</v>
      </c>
      <c r="H28">
        <v>12050</v>
      </c>
      <c r="I28">
        <v>-335657.725485856</v>
      </c>
      <c r="J28">
        <f t="shared" ref="J28:J38" si="19">ROUND(SQRT((G28-D28)^2+(H28-E28)^2+(I28-F28)^2),0)</f>
        <v>33978</v>
      </c>
      <c r="K28" s="34">
        <f t="shared" ref="K28:K38" si="20">1000*10^((T28-R28)/(10*E$83))</f>
        <v>30570353.832684424</v>
      </c>
      <c r="L28">
        <f t="shared" ref="L28:L38" si="21">-(R28-T28)/(10*LOG10(J28/1000))</f>
        <v>3.1348007176803034</v>
      </c>
      <c r="M28">
        <f t="shared" ref="M28:M38" si="22">1000*10^((T28-R28)/(10*D$83))</f>
        <v>52403.34475934723</v>
      </c>
      <c r="N28">
        <v>0</v>
      </c>
      <c r="O28">
        <f t="shared" ref="O28:O38" si="23">ROUND(IF(Q28,N28-J28,0),1)</f>
        <v>0</v>
      </c>
      <c r="P28">
        <v>0</v>
      </c>
      <c r="Q28" t="b">
        <v>0</v>
      </c>
      <c r="R28">
        <v>-89</v>
      </c>
      <c r="S28" t="b">
        <f>ABS('n estimate'!$O8)-'n estimate'!$P8&lt;0</f>
        <v>0</v>
      </c>
      <c r="T28">
        <v>-41</v>
      </c>
      <c r="U28" s="33">
        <v>1.0701624198831508</v>
      </c>
      <c r="V28">
        <f t="shared" ref="V28:V38" si="24">AVERAGE($L$28:$L$38)</f>
        <v>2.7917380713255842</v>
      </c>
      <c r="W28">
        <f t="shared" ref="W28:W38" si="25">ABS(J28-M28)</f>
        <v>18425.34475934723</v>
      </c>
      <c r="X28">
        <f t="shared" ref="X28:X38" si="26">10^((T28-R28)/(10*1.6))</f>
        <v>1000</v>
      </c>
      <c r="Y28" s="34">
        <f t="shared" si="9"/>
        <v>32978</v>
      </c>
      <c r="Z28" s="34">
        <f t="shared" ref="Z28:Z38" si="27">ABS(J28-K28)</f>
        <v>30536375.832684424</v>
      </c>
    </row>
    <row r="29" spans="1:26" x14ac:dyDescent="0.2">
      <c r="A29">
        <v>49</v>
      </c>
      <c r="B29">
        <v>44693.482971759302</v>
      </c>
      <c r="C29" t="s">
        <v>30</v>
      </c>
      <c r="D29">
        <v>43818.8663514543</v>
      </c>
      <c r="E29">
        <v>12821.855127299799</v>
      </c>
      <c r="F29">
        <v>-318920.38880600501</v>
      </c>
      <c r="G29">
        <v>69764.397321579905</v>
      </c>
      <c r="H29">
        <v>12050</v>
      </c>
      <c r="I29">
        <v>-335657.725485856</v>
      </c>
      <c r="J29">
        <f t="shared" si="19"/>
        <v>30885</v>
      </c>
      <c r="K29" s="34">
        <f t="shared" si="20"/>
        <v>4408660.2157345219</v>
      </c>
      <c r="L29">
        <f t="shared" si="21"/>
        <v>2.6178931150127891</v>
      </c>
      <c r="M29">
        <f t="shared" si="22"/>
        <v>24944.752182740842</v>
      </c>
      <c r="N29">
        <v>33000</v>
      </c>
      <c r="O29">
        <f t="shared" si="23"/>
        <v>2115</v>
      </c>
      <c r="P29">
        <v>750</v>
      </c>
      <c r="Q29" t="b">
        <v>1</v>
      </c>
      <c r="R29">
        <v>-80</v>
      </c>
      <c r="S29" t="b">
        <f>ABS('n estimate'!$O13)-'n estimate'!$P13&lt;0</f>
        <v>0</v>
      </c>
      <c r="T29">
        <v>-41</v>
      </c>
      <c r="U29" s="33">
        <v>1.0701624198831508</v>
      </c>
      <c r="V29">
        <f t="shared" si="24"/>
        <v>2.7917380713255842</v>
      </c>
      <c r="W29">
        <f t="shared" si="25"/>
        <v>5940.2478172591582</v>
      </c>
      <c r="X29">
        <f t="shared" si="26"/>
        <v>273.84196342643634</v>
      </c>
      <c r="Y29" s="34">
        <f t="shared" si="9"/>
        <v>30611.158036573564</v>
      </c>
      <c r="Z29" s="34">
        <f t="shared" si="27"/>
        <v>4377775.2157345219</v>
      </c>
    </row>
    <row r="30" spans="1:26" x14ac:dyDescent="0.2">
      <c r="A30">
        <v>69</v>
      </c>
      <c r="B30">
        <v>44693.483453125002</v>
      </c>
      <c r="C30" t="s">
        <v>30</v>
      </c>
      <c r="D30">
        <v>50282.355008671002</v>
      </c>
      <c r="E30">
        <v>13019.6480474092</v>
      </c>
      <c r="F30">
        <v>-317185.22308556997</v>
      </c>
      <c r="G30">
        <v>69764.397321579905</v>
      </c>
      <c r="H30">
        <v>12050</v>
      </c>
      <c r="I30">
        <v>-335657.725485856</v>
      </c>
      <c r="J30">
        <f t="shared" si="19"/>
        <v>26865</v>
      </c>
      <c r="K30" s="34">
        <f t="shared" si="20"/>
        <v>635788.67958734487</v>
      </c>
      <c r="L30">
        <f t="shared" si="21"/>
        <v>2.0990957275429003</v>
      </c>
      <c r="M30">
        <f t="shared" si="22"/>
        <v>11874.063846799863</v>
      </c>
      <c r="N30">
        <v>29500</v>
      </c>
      <c r="O30">
        <f t="shared" si="23"/>
        <v>2635</v>
      </c>
      <c r="P30">
        <v>675</v>
      </c>
      <c r="Q30" t="b">
        <v>1</v>
      </c>
      <c r="R30">
        <v>-71</v>
      </c>
      <c r="S30" t="b">
        <f>ABS('n estimate'!$O17)-'n estimate'!$P17&lt;0</f>
        <v>0</v>
      </c>
      <c r="T30">
        <v>-41</v>
      </c>
      <c r="U30" s="33">
        <v>1.0701624198831508</v>
      </c>
      <c r="V30">
        <f t="shared" si="24"/>
        <v>2.7917380713255842</v>
      </c>
      <c r="W30">
        <f t="shared" si="25"/>
        <v>14990.936153200137</v>
      </c>
      <c r="X30">
        <f t="shared" si="26"/>
        <v>74.98942093324564</v>
      </c>
      <c r="Y30" s="34">
        <f t="shared" si="9"/>
        <v>26790.010579066755</v>
      </c>
      <c r="Z30" s="34">
        <f t="shared" si="27"/>
        <v>608923.67958734487</v>
      </c>
    </row>
    <row r="31" spans="1:26" x14ac:dyDescent="0.2">
      <c r="A31">
        <v>89</v>
      </c>
      <c r="B31">
        <v>44693.4837962577</v>
      </c>
      <c r="C31" t="s">
        <v>30</v>
      </c>
      <c r="D31">
        <v>57467.9400261747</v>
      </c>
      <c r="E31">
        <v>12891.5079050926</v>
      </c>
      <c r="F31">
        <v>-315548.84449210099</v>
      </c>
      <c r="G31">
        <v>69764.397321579905</v>
      </c>
      <c r="H31">
        <v>12050</v>
      </c>
      <c r="I31">
        <v>-335657.725485856</v>
      </c>
      <c r="J31">
        <f t="shared" si="19"/>
        <v>23586</v>
      </c>
      <c r="K31" s="34">
        <f t="shared" si="20"/>
        <v>788418.03577126772</v>
      </c>
      <c r="L31">
        <f t="shared" si="21"/>
        <v>2.2583982092871304</v>
      </c>
      <c r="M31">
        <f t="shared" si="22"/>
        <v>12894.940992032025</v>
      </c>
      <c r="N31">
        <v>26062</v>
      </c>
      <c r="O31">
        <f t="shared" si="23"/>
        <v>2476</v>
      </c>
      <c r="P31">
        <v>645</v>
      </c>
      <c r="Q31" t="b">
        <v>1</v>
      </c>
      <c r="R31">
        <v>-72</v>
      </c>
      <c r="S31" t="b">
        <f>ABS('n estimate'!$O21)-'n estimate'!$P21&lt;0</f>
        <v>1</v>
      </c>
      <c r="T31">
        <v>-41</v>
      </c>
      <c r="U31" s="33">
        <v>1.0701624198831508</v>
      </c>
      <c r="V31">
        <f t="shared" si="24"/>
        <v>2.7917380713255842</v>
      </c>
      <c r="W31">
        <f t="shared" si="25"/>
        <v>10691.059007967975</v>
      </c>
      <c r="X31">
        <f t="shared" si="26"/>
        <v>86.596432336006544</v>
      </c>
      <c r="Y31" s="34">
        <f t="shared" si="9"/>
        <v>23499.403567663994</v>
      </c>
      <c r="Z31" s="34">
        <f t="shared" si="27"/>
        <v>764832.03577126772</v>
      </c>
    </row>
    <row r="32" spans="1:26" x14ac:dyDescent="0.2">
      <c r="A32">
        <v>109</v>
      </c>
      <c r="B32">
        <v>44693.484165702197</v>
      </c>
      <c r="C32" t="s">
        <v>30</v>
      </c>
      <c r="D32">
        <v>61307.479999243398</v>
      </c>
      <c r="E32">
        <v>12701.251437208801</v>
      </c>
      <c r="F32">
        <v>-324703.91054824099</v>
      </c>
      <c r="G32">
        <v>69764.397321579905</v>
      </c>
      <c r="H32">
        <v>12050</v>
      </c>
      <c r="I32">
        <v>-335657.725485856</v>
      </c>
      <c r="J32">
        <f t="shared" si="19"/>
        <v>13854</v>
      </c>
      <c r="K32" s="34">
        <f t="shared" si="20"/>
        <v>977688.05750500527</v>
      </c>
      <c r="L32">
        <f t="shared" si="21"/>
        <v>2.8031443279515993</v>
      </c>
      <c r="M32">
        <f t="shared" si="22"/>
        <v>14003.588437230892</v>
      </c>
      <c r="N32">
        <v>21000</v>
      </c>
      <c r="O32">
        <f t="shared" si="23"/>
        <v>7146</v>
      </c>
      <c r="P32">
        <v>630</v>
      </c>
      <c r="Q32" t="b">
        <v>1</v>
      </c>
      <c r="R32">
        <v>-73</v>
      </c>
      <c r="S32" t="b">
        <f>ABS('n estimate'!$O25)-'n estimate'!$P25&lt;0</f>
        <v>0</v>
      </c>
      <c r="T32">
        <v>-41</v>
      </c>
      <c r="U32" s="33">
        <v>1.0701624198831508</v>
      </c>
      <c r="V32">
        <f t="shared" si="24"/>
        <v>2.7917380713255842</v>
      </c>
      <c r="W32">
        <f t="shared" si="25"/>
        <v>149.58843723089194</v>
      </c>
      <c r="X32">
        <f t="shared" si="26"/>
        <v>100</v>
      </c>
      <c r="Y32" s="34">
        <f t="shared" si="9"/>
        <v>13754</v>
      </c>
      <c r="Z32" s="34">
        <f t="shared" si="27"/>
        <v>963834.05750500527</v>
      </c>
    </row>
    <row r="33" spans="1:26" x14ac:dyDescent="0.2">
      <c r="A33">
        <v>129</v>
      </c>
      <c r="B33">
        <v>44693.484815432101</v>
      </c>
      <c r="C33" t="s">
        <v>30</v>
      </c>
      <c r="D33">
        <v>68633.874987967196</v>
      </c>
      <c r="E33">
        <v>12706.0196455369</v>
      </c>
      <c r="F33">
        <v>-330735.76206932799</v>
      </c>
      <c r="G33">
        <v>69764.397321579905</v>
      </c>
      <c r="H33">
        <v>12050</v>
      </c>
      <c r="I33">
        <v>-335657.725485856</v>
      </c>
      <c r="J33">
        <f t="shared" si="19"/>
        <v>5093</v>
      </c>
      <c r="K33" s="34">
        <f t="shared" si="20"/>
        <v>413452.16604463843</v>
      </c>
      <c r="L33">
        <f t="shared" si="21"/>
        <v>3.9605435030401877</v>
      </c>
      <c r="M33">
        <f t="shared" si="22"/>
        <v>10068.375893069306</v>
      </c>
      <c r="N33">
        <v>14062</v>
      </c>
      <c r="O33">
        <f t="shared" si="23"/>
        <v>8969</v>
      </c>
      <c r="P33">
        <v>750</v>
      </c>
      <c r="Q33" t="b">
        <v>1</v>
      </c>
      <c r="R33">
        <v>-69</v>
      </c>
      <c r="S33" t="b">
        <f>ABS('n estimate'!$O30)-'n estimate'!$P30&lt;0</f>
        <v>0</v>
      </c>
      <c r="T33">
        <v>-41</v>
      </c>
      <c r="U33" s="33">
        <v>1.0701624198831508</v>
      </c>
      <c r="V33">
        <f t="shared" si="24"/>
        <v>2.7917380713255842</v>
      </c>
      <c r="W33">
        <f t="shared" si="25"/>
        <v>4975.3758930693057</v>
      </c>
      <c r="X33">
        <f t="shared" si="26"/>
        <v>56.234132519034915</v>
      </c>
      <c r="Y33" s="34">
        <f t="shared" si="9"/>
        <v>5036.7658674809654</v>
      </c>
      <c r="Z33" s="34">
        <f t="shared" si="27"/>
        <v>408359.16604463843</v>
      </c>
    </row>
    <row r="34" spans="1:26" x14ac:dyDescent="0.2">
      <c r="A34">
        <v>148</v>
      </c>
      <c r="B34">
        <v>44693.485225964498</v>
      </c>
      <c r="C34" t="s">
        <v>30</v>
      </c>
      <c r="D34">
        <v>76554.929399806104</v>
      </c>
      <c r="E34">
        <v>12660.4848656457</v>
      </c>
      <c r="F34">
        <v>-335301.534021987</v>
      </c>
      <c r="G34">
        <v>69764.397321579905</v>
      </c>
      <c r="H34">
        <v>12050</v>
      </c>
      <c r="I34">
        <v>-335657.725485856</v>
      </c>
      <c r="J34">
        <f t="shared" si="19"/>
        <v>6827</v>
      </c>
      <c r="K34" s="34">
        <f t="shared" si="20"/>
        <v>73939.276035583491</v>
      </c>
      <c r="L34">
        <f t="shared" si="21"/>
        <v>2.3974206548618429</v>
      </c>
      <c r="M34">
        <f t="shared" si="22"/>
        <v>5204.746556534481</v>
      </c>
      <c r="N34">
        <v>7187</v>
      </c>
      <c r="O34">
        <f t="shared" si="23"/>
        <v>360</v>
      </c>
      <c r="P34">
        <v>540</v>
      </c>
      <c r="Q34" t="b">
        <v>1</v>
      </c>
      <c r="R34">
        <v>-61</v>
      </c>
      <c r="S34" t="b">
        <f>ABS('n estimate'!$O33)-'n estimate'!$P33&lt;0</f>
        <v>0</v>
      </c>
      <c r="T34">
        <v>-41</v>
      </c>
      <c r="U34" s="33">
        <v>1.0701624198831508</v>
      </c>
      <c r="V34">
        <f t="shared" si="24"/>
        <v>2.7917380713255842</v>
      </c>
      <c r="W34">
        <f t="shared" si="25"/>
        <v>1622.253443465519</v>
      </c>
      <c r="X34">
        <f t="shared" si="26"/>
        <v>17.782794100389236</v>
      </c>
      <c r="Y34" s="34">
        <f t="shared" si="9"/>
        <v>6809.2172058996111</v>
      </c>
      <c r="Z34" s="34">
        <f t="shared" si="27"/>
        <v>67112.276035583491</v>
      </c>
    </row>
    <row r="35" spans="1:26" x14ac:dyDescent="0.2">
      <c r="A35">
        <v>165</v>
      </c>
      <c r="B35">
        <v>44693.4858542824</v>
      </c>
      <c r="C35" t="s">
        <v>30</v>
      </c>
      <c r="D35">
        <v>78906.623779740796</v>
      </c>
      <c r="E35">
        <v>13000.576319195499</v>
      </c>
      <c r="F35">
        <v>-345969.45607042901</v>
      </c>
      <c r="G35">
        <v>69764.397321579905</v>
      </c>
      <c r="H35">
        <v>12050</v>
      </c>
      <c r="I35">
        <v>-335657.725485856</v>
      </c>
      <c r="J35">
        <f t="shared" si="19"/>
        <v>13814</v>
      </c>
      <c r="K35" s="34">
        <f t="shared" si="20"/>
        <v>3555190.4321533018</v>
      </c>
      <c r="L35">
        <f t="shared" si="21"/>
        <v>3.3323995257946941</v>
      </c>
      <c r="M35">
        <f t="shared" si="22"/>
        <v>22969.905813720943</v>
      </c>
      <c r="N35">
        <v>19937</v>
      </c>
      <c r="O35">
        <f t="shared" si="23"/>
        <v>6123</v>
      </c>
      <c r="P35">
        <v>615</v>
      </c>
      <c r="Q35" t="b">
        <v>1</v>
      </c>
      <c r="R35">
        <v>-79</v>
      </c>
      <c r="S35" t="b">
        <f>ABS('n estimate'!$O38)-'n estimate'!$P38&lt;0</f>
        <v>0</v>
      </c>
      <c r="T35">
        <v>-41</v>
      </c>
      <c r="U35" s="33">
        <v>1.0701624198831508</v>
      </c>
      <c r="V35">
        <f t="shared" si="24"/>
        <v>2.7917380713255842</v>
      </c>
      <c r="W35">
        <f t="shared" si="25"/>
        <v>9155.9058137209431</v>
      </c>
      <c r="X35">
        <f t="shared" si="26"/>
        <v>237.13737056616563</v>
      </c>
      <c r="Y35" s="34">
        <f t="shared" si="9"/>
        <v>13576.862629433834</v>
      </c>
      <c r="Z35" s="34">
        <f t="shared" si="27"/>
        <v>3541376.4321533018</v>
      </c>
    </row>
    <row r="36" spans="1:26" x14ac:dyDescent="0.2">
      <c r="A36">
        <v>189</v>
      </c>
      <c r="B36">
        <v>44693.486364120399</v>
      </c>
      <c r="C36" t="s">
        <v>30</v>
      </c>
      <c r="D36">
        <v>80564.751738280407</v>
      </c>
      <c r="E36">
        <v>13026.7947576406</v>
      </c>
      <c r="F36">
        <v>-352741.40211100498</v>
      </c>
      <c r="G36">
        <v>69764.397321579905</v>
      </c>
      <c r="H36">
        <v>12050</v>
      </c>
      <c r="I36">
        <v>-335657.725485856</v>
      </c>
      <c r="J36">
        <f t="shared" si="19"/>
        <v>20235</v>
      </c>
      <c r="K36" s="34">
        <f t="shared" si="20"/>
        <v>3555190.4321533018</v>
      </c>
      <c r="L36">
        <f t="shared" si="21"/>
        <v>2.9094178581047858</v>
      </c>
      <c r="M36">
        <f t="shared" si="22"/>
        <v>22969.905813720943</v>
      </c>
      <c r="N36">
        <v>24875</v>
      </c>
      <c r="O36">
        <f t="shared" si="23"/>
        <v>4640</v>
      </c>
      <c r="P36">
        <v>1155</v>
      </c>
      <c r="Q36" t="b">
        <v>1</v>
      </c>
      <c r="R36">
        <v>-79</v>
      </c>
      <c r="S36" t="b">
        <f>ABS('n estimate'!$O43)-'n estimate'!$P43&lt;0</f>
        <v>0</v>
      </c>
      <c r="T36">
        <v>-41</v>
      </c>
      <c r="U36" s="33">
        <v>1.0701624198831508</v>
      </c>
      <c r="V36">
        <f t="shared" si="24"/>
        <v>2.7917380713255842</v>
      </c>
      <c r="W36">
        <f t="shared" si="25"/>
        <v>2734.9058137209431</v>
      </c>
      <c r="X36">
        <f t="shared" si="26"/>
        <v>237.13737056616563</v>
      </c>
      <c r="Y36" s="34">
        <f t="shared" si="9"/>
        <v>19997.862629433836</v>
      </c>
      <c r="Z36" s="34">
        <f t="shared" si="27"/>
        <v>3534955.4321533018</v>
      </c>
    </row>
    <row r="37" spans="1:26" x14ac:dyDescent="0.2">
      <c r="A37">
        <v>210</v>
      </c>
      <c r="B37">
        <v>44693.486738387299</v>
      </c>
      <c r="C37" t="s">
        <v>30</v>
      </c>
      <c r="D37">
        <v>71335.864732837697</v>
      </c>
      <c r="E37">
        <v>12796.990068175301</v>
      </c>
      <c r="F37">
        <v>-360648.30640507402</v>
      </c>
      <c r="G37">
        <v>69764.397321579905</v>
      </c>
      <c r="H37">
        <v>12050</v>
      </c>
      <c r="I37">
        <v>-335657.725485856</v>
      </c>
      <c r="J37">
        <f t="shared" si="19"/>
        <v>25051</v>
      </c>
      <c r="K37" s="34">
        <f t="shared" si="20"/>
        <v>977688.05750500527</v>
      </c>
      <c r="L37">
        <f t="shared" si="21"/>
        <v>2.2876341549620425</v>
      </c>
      <c r="M37">
        <f t="shared" si="22"/>
        <v>14003.588437230892</v>
      </c>
      <c r="N37">
        <v>25750</v>
      </c>
      <c r="O37">
        <f t="shared" si="23"/>
        <v>699</v>
      </c>
      <c r="P37">
        <v>690</v>
      </c>
      <c r="Q37" t="b">
        <v>1</v>
      </c>
      <c r="R37">
        <v>-73</v>
      </c>
      <c r="S37" t="b">
        <f>ABS('n estimate'!$O48)-'n estimate'!$P48&lt;0</f>
        <v>0</v>
      </c>
      <c r="T37">
        <v>-41</v>
      </c>
      <c r="U37" s="33">
        <v>1.0701624198831508</v>
      </c>
      <c r="V37">
        <f t="shared" si="24"/>
        <v>2.7917380713255842</v>
      </c>
      <c r="W37">
        <f t="shared" si="25"/>
        <v>11047.411562769108</v>
      </c>
      <c r="X37">
        <f t="shared" si="26"/>
        <v>100</v>
      </c>
      <c r="Y37" s="34">
        <f t="shared" si="9"/>
        <v>24951</v>
      </c>
      <c r="Z37" s="34">
        <f t="shared" si="27"/>
        <v>952637.05750500527</v>
      </c>
    </row>
    <row r="38" spans="1:26" x14ac:dyDescent="0.2">
      <c r="A38">
        <v>234</v>
      </c>
      <c r="B38">
        <v>44693.487285841002</v>
      </c>
      <c r="C38" t="s">
        <v>30</v>
      </c>
      <c r="D38">
        <v>64192.8999953936</v>
      </c>
      <c r="E38">
        <v>12640.6607135671</v>
      </c>
      <c r="F38">
        <v>-353514.88831870101</v>
      </c>
      <c r="G38">
        <v>69764.397321579905</v>
      </c>
      <c r="H38">
        <v>12050</v>
      </c>
      <c r="I38">
        <v>-335657.725485856</v>
      </c>
      <c r="J38">
        <f t="shared" si="19"/>
        <v>18715</v>
      </c>
      <c r="K38" s="34">
        <f t="shared" si="20"/>
        <v>2866943.3320727255</v>
      </c>
      <c r="L38">
        <f t="shared" si="21"/>
        <v>2.9083709903431472</v>
      </c>
      <c r="M38">
        <f t="shared" si="22"/>
        <v>21151.405683487479</v>
      </c>
      <c r="N38">
        <v>25500</v>
      </c>
      <c r="O38">
        <f t="shared" si="23"/>
        <v>6785</v>
      </c>
      <c r="P38">
        <v>930</v>
      </c>
      <c r="Q38" t="b">
        <v>1</v>
      </c>
      <c r="R38">
        <v>-78</v>
      </c>
      <c r="S38" t="b">
        <f>ABS('n estimate'!$O53)-'n estimate'!$P53&lt;0</f>
        <v>0</v>
      </c>
      <c r="T38">
        <v>-41</v>
      </c>
      <c r="U38" s="33">
        <v>1.0701624198831508</v>
      </c>
      <c r="V38">
        <f t="shared" si="24"/>
        <v>2.7917380713255842</v>
      </c>
      <c r="W38">
        <f t="shared" si="25"/>
        <v>2436.4056834874791</v>
      </c>
      <c r="X38">
        <f t="shared" si="26"/>
        <v>205.35250264571462</v>
      </c>
      <c r="Y38" s="34">
        <f t="shared" si="9"/>
        <v>18509.647497354286</v>
      </c>
      <c r="Z38" s="34">
        <f t="shared" si="27"/>
        <v>2848228.3320727255</v>
      </c>
    </row>
    <row r="39" spans="1:26" x14ac:dyDescent="0.2">
      <c r="K39" s="34"/>
      <c r="Y39" s="34"/>
      <c r="Z39" s="34"/>
    </row>
    <row r="40" spans="1:26" x14ac:dyDescent="0.2">
      <c r="A40">
        <v>1</v>
      </c>
      <c r="B40">
        <v>44693.476894097199</v>
      </c>
      <c r="C40" t="s">
        <v>16</v>
      </c>
      <c r="D40">
        <v>36940.122303513097</v>
      </c>
      <c r="E40">
        <v>12826.8335320471</v>
      </c>
      <c r="F40">
        <v>-323357.61218350899</v>
      </c>
      <c r="G40">
        <v>29805.9990432669</v>
      </c>
      <c r="H40">
        <v>11187</v>
      </c>
      <c r="I40">
        <v>-330864.99700577703</v>
      </c>
      <c r="J40">
        <f t="shared" ref="J40:J51" si="28">ROUND(SQRT((G40-D40)^2+(H40-E40)^2+(I40-F40)^2),0)</f>
        <v>10485</v>
      </c>
      <c r="K40" s="34">
        <f t="shared" ref="K40:K51" si="29">1000*10^((T40-R40)/(10*E$84))</f>
        <v>135201.15217871332</v>
      </c>
      <c r="L40">
        <f t="shared" ref="L40:L51" si="30">-(R40-T40)/(10*LOG10(J40/1000))</f>
        <v>1.9596921987786817</v>
      </c>
      <c r="M40">
        <f>1000*10^((T40-R40)/(10*D$84))</f>
        <v>5000.7347699297252</v>
      </c>
      <c r="N40">
        <v>10625</v>
      </c>
      <c r="O40">
        <f t="shared" ref="O40:O51" si="31">ROUND(IF(Q40,N40-J40,0),1)</f>
        <v>140</v>
      </c>
      <c r="P40">
        <v>630</v>
      </c>
      <c r="Q40" t="b">
        <v>1</v>
      </c>
      <c r="R40">
        <v>-60</v>
      </c>
      <c r="S40" t="b">
        <f>ABS('n estimate'!$O2)-'n estimate'!$P2&lt;0</f>
        <v>0</v>
      </c>
      <c r="T40">
        <v>-40</v>
      </c>
      <c r="U40" s="33">
        <v>0.93853514883930855</v>
      </c>
      <c r="V40">
        <f t="shared" ref="V40:V51" si="32">AVERAGE($L$40:$L$51)</f>
        <v>2.8610918957761839</v>
      </c>
      <c r="W40">
        <f t="shared" ref="W40:W51" si="33">ABS(J40-M40)</f>
        <v>5484.2652300702748</v>
      </c>
      <c r="X40">
        <f t="shared" ref="X40:X51" si="34">10^((T40-R40)/(10*1.6))</f>
        <v>17.782794100389236</v>
      </c>
      <c r="Y40" s="34">
        <f t="shared" si="9"/>
        <v>10467.217205899611</v>
      </c>
      <c r="Z40" s="34">
        <f t="shared" ref="Z40:Z51" si="35">ABS(J40-K40)</f>
        <v>124716.15217871332</v>
      </c>
    </row>
    <row r="41" spans="1:26" x14ac:dyDescent="0.2">
      <c r="A41">
        <v>21</v>
      </c>
      <c r="B41">
        <v>44693.481481867297</v>
      </c>
      <c r="C41" t="s">
        <v>16</v>
      </c>
      <c r="D41">
        <v>36907.285851159701</v>
      </c>
      <c r="E41">
        <v>12588.4170161202</v>
      </c>
      <c r="F41">
        <v>-327019.66428862797</v>
      </c>
      <c r="G41">
        <v>29805.9990432669</v>
      </c>
      <c r="H41">
        <v>11187</v>
      </c>
      <c r="I41">
        <v>-330864.99700577703</v>
      </c>
      <c r="J41">
        <f t="shared" si="28"/>
        <v>8196</v>
      </c>
      <c r="K41" s="34">
        <f t="shared" si="29"/>
        <v>135201.15217871332</v>
      </c>
      <c r="L41">
        <f t="shared" si="30"/>
        <v>2.1891371845177341</v>
      </c>
      <c r="M41">
        <f t="shared" ref="M41:M51" si="36">1000*10^((T41-R41)/(10*D$84))</f>
        <v>5000.7347699297252</v>
      </c>
      <c r="N41">
        <v>7187</v>
      </c>
      <c r="O41">
        <f t="shared" si="31"/>
        <v>-1009</v>
      </c>
      <c r="P41">
        <v>540</v>
      </c>
      <c r="Q41" t="b">
        <v>1</v>
      </c>
      <c r="R41">
        <v>-60</v>
      </c>
      <c r="S41" t="b">
        <f>ABS('n estimate'!$O4)-'n estimate'!$P4&lt;0</f>
        <v>0</v>
      </c>
      <c r="T41">
        <v>-40</v>
      </c>
      <c r="U41" s="33">
        <v>0.93853514883930855</v>
      </c>
      <c r="V41">
        <f t="shared" si="32"/>
        <v>2.8610918957761839</v>
      </c>
      <c r="W41">
        <f t="shared" si="33"/>
        <v>3195.2652300702748</v>
      </c>
      <c r="X41">
        <f t="shared" si="34"/>
        <v>17.782794100389236</v>
      </c>
      <c r="Y41" s="34">
        <f t="shared" si="9"/>
        <v>8178.2172058996111</v>
      </c>
      <c r="Z41" s="34">
        <f t="shared" si="35"/>
        <v>127005.15217871332</v>
      </c>
    </row>
    <row r="42" spans="1:26" x14ac:dyDescent="0.2">
      <c r="A42">
        <v>46</v>
      </c>
      <c r="B42">
        <v>44693.482971759302</v>
      </c>
      <c r="C42" t="s">
        <v>16</v>
      </c>
      <c r="D42">
        <v>43818.8663514543</v>
      </c>
      <c r="E42">
        <v>12821.855127299799</v>
      </c>
      <c r="F42">
        <v>-318920.38880600501</v>
      </c>
      <c r="G42">
        <v>29805.9990432669</v>
      </c>
      <c r="H42">
        <v>11187</v>
      </c>
      <c r="I42">
        <v>-330864.99700577703</v>
      </c>
      <c r="J42">
        <f t="shared" si="28"/>
        <v>18485</v>
      </c>
      <c r="K42" s="34">
        <f t="shared" si="29"/>
        <v>271643927.68844068</v>
      </c>
      <c r="L42">
        <f t="shared" si="30"/>
        <v>4.0258301845907827</v>
      </c>
      <c r="M42">
        <f t="shared" si="36"/>
        <v>60608.877869355652</v>
      </c>
      <c r="N42">
        <v>0</v>
      </c>
      <c r="O42">
        <f t="shared" si="31"/>
        <v>0</v>
      </c>
      <c r="P42">
        <v>0</v>
      </c>
      <c r="Q42" t="b">
        <v>0</v>
      </c>
      <c r="R42">
        <v>-91</v>
      </c>
      <c r="S42" t="b">
        <f>ABS('n estimate'!$O9)-'n estimate'!$P9&lt;0</f>
        <v>0</v>
      </c>
      <c r="T42">
        <v>-40</v>
      </c>
      <c r="U42" s="33">
        <v>0.93853514883930855</v>
      </c>
      <c r="V42">
        <f t="shared" si="32"/>
        <v>2.8610918957761839</v>
      </c>
      <c r="W42">
        <f t="shared" si="33"/>
        <v>42123.877869355652</v>
      </c>
      <c r="X42">
        <f t="shared" si="34"/>
        <v>1539.926526059493</v>
      </c>
      <c r="Y42" s="34">
        <f t="shared" si="9"/>
        <v>16945.073473940509</v>
      </c>
      <c r="Z42" s="34">
        <f t="shared" si="35"/>
        <v>271625442.68844068</v>
      </c>
    </row>
    <row r="43" spans="1:26" x14ac:dyDescent="0.2">
      <c r="A43">
        <v>66</v>
      </c>
      <c r="B43">
        <v>44693.483453125002</v>
      </c>
      <c r="C43" t="s">
        <v>16</v>
      </c>
      <c r="D43">
        <v>50282.355008671002</v>
      </c>
      <c r="E43">
        <v>13019.6480474092</v>
      </c>
      <c r="F43">
        <v>-317185.22308556997</v>
      </c>
      <c r="G43">
        <v>29805.9990432669</v>
      </c>
      <c r="H43">
        <v>11187</v>
      </c>
      <c r="I43">
        <v>-330864.99700577703</v>
      </c>
      <c r="J43">
        <f t="shared" si="28"/>
        <v>24694</v>
      </c>
      <c r="K43" s="34">
        <f t="shared" si="29"/>
        <v>130122662.91527426</v>
      </c>
      <c r="L43">
        <f t="shared" si="30"/>
        <v>3.4468113539971603</v>
      </c>
      <c r="M43">
        <f t="shared" si="36"/>
        <v>47608.135166613021</v>
      </c>
      <c r="N43">
        <v>0</v>
      </c>
      <c r="O43">
        <f t="shared" si="31"/>
        <v>0</v>
      </c>
      <c r="P43">
        <v>0</v>
      </c>
      <c r="Q43" t="b">
        <v>0</v>
      </c>
      <c r="R43">
        <v>-88</v>
      </c>
      <c r="S43" t="b">
        <f>ABS('n estimate'!$O14)-'n estimate'!$P14&lt;0</f>
        <v>0</v>
      </c>
      <c r="T43">
        <v>-40</v>
      </c>
      <c r="U43" s="33">
        <v>0.93853514883930855</v>
      </c>
      <c r="V43">
        <f t="shared" si="32"/>
        <v>2.8610918957761839</v>
      </c>
      <c r="W43">
        <f t="shared" si="33"/>
        <v>22914.135166613021</v>
      </c>
      <c r="X43">
        <f t="shared" si="34"/>
        <v>1000</v>
      </c>
      <c r="Y43" s="34">
        <f t="shared" si="9"/>
        <v>23694</v>
      </c>
      <c r="Z43" s="34">
        <f t="shared" si="35"/>
        <v>130097968.91527426</v>
      </c>
    </row>
    <row r="44" spans="1:26" x14ac:dyDescent="0.2">
      <c r="A44">
        <v>86</v>
      </c>
      <c r="B44">
        <v>44693.4837962577</v>
      </c>
      <c r="C44" t="s">
        <v>16</v>
      </c>
      <c r="D44">
        <v>57467.9400261747</v>
      </c>
      <c r="E44">
        <v>12891.5079050926</v>
      </c>
      <c r="F44">
        <v>-315548.84449210099</v>
      </c>
      <c r="G44">
        <v>29805.9990432669</v>
      </c>
      <c r="H44">
        <v>11187</v>
      </c>
      <c r="I44">
        <v>-330864.99700577703</v>
      </c>
      <c r="J44">
        <f t="shared" si="28"/>
        <v>31665</v>
      </c>
      <c r="K44" s="34">
        <f t="shared" si="29"/>
        <v>79662678.226537392</v>
      </c>
      <c r="L44">
        <f t="shared" si="30"/>
        <v>3.0654823842455894</v>
      </c>
      <c r="M44">
        <f t="shared" si="36"/>
        <v>40530.110537357294</v>
      </c>
      <c r="N44">
        <v>0</v>
      </c>
      <c r="O44">
        <f t="shared" si="31"/>
        <v>0</v>
      </c>
      <c r="P44">
        <v>0</v>
      </c>
      <c r="Q44" t="b">
        <v>0</v>
      </c>
      <c r="R44">
        <v>-86</v>
      </c>
      <c r="S44" t="b">
        <f>ABS('n estimate'!$O18)-'n estimate'!$P18&lt;0</f>
        <v>0</v>
      </c>
      <c r="T44">
        <v>-40</v>
      </c>
      <c r="U44" s="33">
        <v>0.93853514883930855</v>
      </c>
      <c r="V44">
        <f t="shared" si="32"/>
        <v>2.8610918957761839</v>
      </c>
      <c r="W44">
        <f t="shared" si="33"/>
        <v>8865.1105373572937</v>
      </c>
      <c r="X44">
        <f t="shared" si="34"/>
        <v>749.89420933245651</v>
      </c>
      <c r="Y44" s="34">
        <f t="shared" si="9"/>
        <v>30915.105790667545</v>
      </c>
      <c r="Z44" s="34">
        <f t="shared" si="35"/>
        <v>79631013.226537392</v>
      </c>
    </row>
    <row r="45" spans="1:26" x14ac:dyDescent="0.2">
      <c r="A45">
        <v>106</v>
      </c>
      <c r="B45">
        <v>44693.484165702197</v>
      </c>
      <c r="C45" t="s">
        <v>16</v>
      </c>
      <c r="D45">
        <v>61307.479999243398</v>
      </c>
      <c r="E45">
        <v>12701.251437208801</v>
      </c>
      <c r="F45">
        <v>-324703.91054824099</v>
      </c>
      <c r="G45">
        <v>29805.9990432669</v>
      </c>
      <c r="H45">
        <v>11187</v>
      </c>
      <c r="I45">
        <v>-330864.99700577703</v>
      </c>
      <c r="J45">
        <f t="shared" si="28"/>
        <v>32134</v>
      </c>
      <c r="K45" s="34">
        <f t="shared" si="29"/>
        <v>23361988.45388316</v>
      </c>
      <c r="L45">
        <f t="shared" si="30"/>
        <v>2.7207005956470245</v>
      </c>
      <c r="M45">
        <f t="shared" si="36"/>
        <v>27103.122808365973</v>
      </c>
      <c r="N45">
        <v>33562</v>
      </c>
      <c r="O45">
        <f t="shared" si="31"/>
        <v>1428</v>
      </c>
      <c r="P45">
        <v>585</v>
      </c>
      <c r="Q45" t="b">
        <v>1</v>
      </c>
      <c r="R45">
        <v>-81</v>
      </c>
      <c r="S45" t="b">
        <f>ABS('n estimate'!$O22)-'n estimate'!$P22&lt;0</f>
        <v>0</v>
      </c>
      <c r="T45">
        <v>-40</v>
      </c>
      <c r="U45" s="33">
        <v>0.93853514883930855</v>
      </c>
      <c r="V45">
        <f t="shared" si="32"/>
        <v>2.8610918957761839</v>
      </c>
      <c r="W45">
        <f t="shared" si="33"/>
        <v>5030.8771916340265</v>
      </c>
      <c r="X45">
        <f t="shared" si="34"/>
        <v>365.17412725483786</v>
      </c>
      <c r="Y45" s="34">
        <f t="shared" si="9"/>
        <v>31768.825872745161</v>
      </c>
      <c r="Z45" s="34">
        <f t="shared" si="35"/>
        <v>23329854.45388316</v>
      </c>
    </row>
    <row r="46" spans="1:26" x14ac:dyDescent="0.2">
      <c r="A46">
        <v>126</v>
      </c>
      <c r="B46">
        <v>44693.484815432101</v>
      </c>
      <c r="C46" t="s">
        <v>16</v>
      </c>
      <c r="D46">
        <v>68633.874987967196</v>
      </c>
      <c r="E46">
        <v>12706.0196455369</v>
      </c>
      <c r="F46">
        <v>-330735.76206932799</v>
      </c>
      <c r="G46">
        <v>29805.9990432669</v>
      </c>
      <c r="H46">
        <v>11187</v>
      </c>
      <c r="I46">
        <v>-330864.99700577703</v>
      </c>
      <c r="J46">
        <f t="shared" si="28"/>
        <v>38858</v>
      </c>
      <c r="K46" s="34">
        <f t="shared" si="29"/>
        <v>347175461.05009609</v>
      </c>
      <c r="L46">
        <f t="shared" si="30"/>
        <v>3.2715092657016305</v>
      </c>
      <c r="M46">
        <f t="shared" si="36"/>
        <v>65688.286677132128</v>
      </c>
      <c r="N46">
        <v>0</v>
      </c>
      <c r="O46">
        <f t="shared" si="31"/>
        <v>0</v>
      </c>
      <c r="P46">
        <v>0</v>
      </c>
      <c r="Q46" t="b">
        <v>0</v>
      </c>
      <c r="R46">
        <v>-92</v>
      </c>
      <c r="S46" t="b">
        <f>ABS('n estimate'!$O26)-'n estimate'!$P26&lt;0</f>
        <v>0</v>
      </c>
      <c r="T46">
        <v>-40</v>
      </c>
      <c r="U46" s="33">
        <v>0.93853514883930855</v>
      </c>
      <c r="V46">
        <f t="shared" si="32"/>
        <v>2.8610918957761839</v>
      </c>
      <c r="W46">
        <f t="shared" si="33"/>
        <v>26830.286677132128</v>
      </c>
      <c r="X46">
        <f t="shared" si="34"/>
        <v>1778.2794100389244</v>
      </c>
      <c r="Y46" s="34">
        <f t="shared" si="9"/>
        <v>37079.720589961078</v>
      </c>
      <c r="Z46" s="34">
        <f t="shared" si="35"/>
        <v>347136603.05009609</v>
      </c>
    </row>
    <row r="47" spans="1:26" x14ac:dyDescent="0.2">
      <c r="A47">
        <v>266</v>
      </c>
      <c r="B47">
        <v>44693.488458873398</v>
      </c>
      <c r="C47" t="s">
        <v>16</v>
      </c>
      <c r="D47">
        <v>30068.0965935928</v>
      </c>
      <c r="E47">
        <v>12875.4834094134</v>
      </c>
      <c r="F47">
        <v>-368330.780144908</v>
      </c>
      <c r="G47">
        <v>29805.9990432669</v>
      </c>
      <c r="H47">
        <v>11187</v>
      </c>
      <c r="I47">
        <v>-330864.99700577703</v>
      </c>
      <c r="J47">
        <f t="shared" si="28"/>
        <v>37505</v>
      </c>
      <c r="K47" s="34">
        <f t="shared" si="29"/>
        <v>29857870.122634917</v>
      </c>
      <c r="L47">
        <f t="shared" si="30"/>
        <v>2.6682097053862663</v>
      </c>
      <c r="M47">
        <f t="shared" si="36"/>
        <v>29374.536593782177</v>
      </c>
      <c r="N47">
        <v>40750</v>
      </c>
      <c r="O47">
        <f t="shared" si="31"/>
        <v>3245</v>
      </c>
      <c r="P47">
        <v>825</v>
      </c>
      <c r="Q47" t="b">
        <v>1</v>
      </c>
      <c r="R47">
        <v>-82</v>
      </c>
      <c r="S47" t="b">
        <f>ABS('n estimate'!$O57)-'n estimate'!$P57&lt;0</f>
        <v>0</v>
      </c>
      <c r="T47">
        <v>-40</v>
      </c>
      <c r="U47" s="33">
        <v>0.93853514883930855</v>
      </c>
      <c r="V47">
        <f t="shared" si="32"/>
        <v>2.8610918957761839</v>
      </c>
      <c r="W47">
        <f t="shared" si="33"/>
        <v>8130.4634062178229</v>
      </c>
      <c r="X47">
        <f t="shared" si="34"/>
        <v>421.69650342858256</v>
      </c>
      <c r="Y47" s="34">
        <f t="shared" si="9"/>
        <v>37083.303496571418</v>
      </c>
      <c r="Z47" s="34">
        <f t="shared" si="35"/>
        <v>29820365.122634917</v>
      </c>
    </row>
    <row r="48" spans="1:26" x14ac:dyDescent="0.2">
      <c r="A48">
        <v>286</v>
      </c>
      <c r="B48">
        <v>44693.488779012303</v>
      </c>
      <c r="C48" t="s">
        <v>16</v>
      </c>
      <c r="D48">
        <v>28318.456183741899</v>
      </c>
      <c r="E48">
        <v>13045.557080856801</v>
      </c>
      <c r="F48">
        <v>-362212.83031717502</v>
      </c>
      <c r="G48">
        <v>29805.9990432669</v>
      </c>
      <c r="H48">
        <v>11187</v>
      </c>
      <c r="I48">
        <v>-330864.99700577703</v>
      </c>
      <c r="J48">
        <f t="shared" si="28"/>
        <v>31438</v>
      </c>
      <c r="K48" s="34">
        <f t="shared" si="29"/>
        <v>79662678.226537392</v>
      </c>
      <c r="L48">
        <f t="shared" si="30"/>
        <v>3.0718788061460063</v>
      </c>
      <c r="M48">
        <f t="shared" si="36"/>
        <v>40530.110537357294</v>
      </c>
      <c r="N48">
        <v>0</v>
      </c>
      <c r="O48">
        <f t="shared" si="31"/>
        <v>0</v>
      </c>
      <c r="P48">
        <v>0</v>
      </c>
      <c r="Q48" t="b">
        <v>0</v>
      </c>
      <c r="R48">
        <v>-86</v>
      </c>
      <c r="S48" t="b">
        <f>ABS('n estimate'!$O61)-'n estimate'!$P61&lt;0</f>
        <v>0</v>
      </c>
      <c r="T48">
        <v>-40</v>
      </c>
      <c r="U48" s="33">
        <v>0.93853514883930855</v>
      </c>
      <c r="V48">
        <f t="shared" si="32"/>
        <v>2.8610918957761839</v>
      </c>
      <c r="W48">
        <f t="shared" si="33"/>
        <v>9092.1105373572937</v>
      </c>
      <c r="X48">
        <f t="shared" si="34"/>
        <v>749.89420933245651</v>
      </c>
      <c r="Y48" s="34">
        <f t="shared" si="9"/>
        <v>30688.105790667545</v>
      </c>
      <c r="Z48" s="34">
        <f t="shared" si="35"/>
        <v>79631240.226537392</v>
      </c>
    </row>
    <row r="49" spans="1:26" x14ac:dyDescent="0.2">
      <c r="A49">
        <v>306</v>
      </c>
      <c r="B49">
        <v>44693.489074074103</v>
      </c>
      <c r="C49" t="s">
        <v>16</v>
      </c>
      <c r="D49">
        <v>26366.676951363101</v>
      </c>
      <c r="E49">
        <v>13006.631634961301</v>
      </c>
      <c r="F49">
        <v>-354652.12454722298</v>
      </c>
      <c r="G49">
        <v>29805.9990432669</v>
      </c>
      <c r="H49">
        <v>11187</v>
      </c>
      <c r="I49">
        <v>-330864.99700577703</v>
      </c>
      <c r="J49">
        <f t="shared" si="28"/>
        <v>24103</v>
      </c>
      <c r="K49" s="34">
        <f t="shared" si="29"/>
        <v>101813161.35843964</v>
      </c>
      <c r="L49">
        <f t="shared" si="30"/>
        <v>3.4006933488454991</v>
      </c>
      <c r="M49">
        <f t="shared" si="36"/>
        <v>43926.791150507139</v>
      </c>
      <c r="N49">
        <v>0</v>
      </c>
      <c r="O49">
        <f t="shared" si="31"/>
        <v>0</v>
      </c>
      <c r="P49">
        <v>0</v>
      </c>
      <c r="Q49" t="b">
        <v>0</v>
      </c>
      <c r="R49">
        <v>-87</v>
      </c>
      <c r="S49" t="b">
        <f>ABS('n estimate'!$O66)-'n estimate'!$P66&lt;0</f>
        <v>0</v>
      </c>
      <c r="T49">
        <v>-40</v>
      </c>
      <c r="U49" s="33">
        <v>0.93853514883930855</v>
      </c>
      <c r="V49">
        <f t="shared" si="32"/>
        <v>2.8610918957761839</v>
      </c>
      <c r="W49">
        <f t="shared" si="33"/>
        <v>19823.791150507139</v>
      </c>
      <c r="X49">
        <f t="shared" si="34"/>
        <v>865.96432336006569</v>
      </c>
      <c r="Y49" s="34">
        <f t="shared" si="9"/>
        <v>23237.035676639935</v>
      </c>
      <c r="Z49" s="34">
        <f t="shared" si="35"/>
        <v>101789058.35843964</v>
      </c>
    </row>
    <row r="50" spans="1:26" x14ac:dyDescent="0.2">
      <c r="A50">
        <v>321</v>
      </c>
      <c r="B50">
        <v>44693.489602854897</v>
      </c>
      <c r="C50" t="s">
        <v>16</v>
      </c>
      <c r="D50">
        <v>35242.859103527102</v>
      </c>
      <c r="E50">
        <v>12805.806483407699</v>
      </c>
      <c r="F50">
        <v>-353411.67700704699</v>
      </c>
      <c r="G50">
        <v>29805.9990432669</v>
      </c>
      <c r="H50">
        <v>11187</v>
      </c>
      <c r="I50">
        <v>-330864.99700577703</v>
      </c>
      <c r="J50">
        <f t="shared" si="28"/>
        <v>23249</v>
      </c>
      <c r="K50" s="34">
        <f t="shared" si="29"/>
        <v>360725.1902976479</v>
      </c>
      <c r="L50">
        <f t="shared" si="30"/>
        <v>1.756434782541566</v>
      </c>
      <c r="M50">
        <f t="shared" si="36"/>
        <v>6899.864865822592</v>
      </c>
      <c r="N50">
        <v>23062</v>
      </c>
      <c r="O50">
        <f t="shared" si="31"/>
        <v>-187</v>
      </c>
      <c r="P50">
        <v>825</v>
      </c>
      <c r="Q50" t="b">
        <v>1</v>
      </c>
      <c r="R50">
        <v>-64</v>
      </c>
      <c r="S50" t="b">
        <f>ABS('n estimate'!$O69)-'n estimate'!$P69&lt;0</f>
        <v>1</v>
      </c>
      <c r="T50">
        <v>-40</v>
      </c>
      <c r="U50" s="33">
        <v>0.93853514883930855</v>
      </c>
      <c r="V50">
        <f t="shared" si="32"/>
        <v>2.8610918957761839</v>
      </c>
      <c r="W50">
        <f t="shared" si="33"/>
        <v>16349.135134177408</v>
      </c>
      <c r="X50">
        <f t="shared" si="34"/>
        <v>31.622776601683803</v>
      </c>
      <c r="Y50" s="34">
        <f t="shared" si="9"/>
        <v>23217.377223398315</v>
      </c>
      <c r="Z50" s="34">
        <f t="shared" si="35"/>
        <v>337476.1902976479</v>
      </c>
    </row>
    <row r="51" spans="1:26" x14ac:dyDescent="0.2">
      <c r="A51">
        <v>341</v>
      </c>
      <c r="B51">
        <v>44693.490122569397</v>
      </c>
      <c r="C51" t="s">
        <v>16</v>
      </c>
      <c r="D51">
        <v>24490.267493922602</v>
      </c>
      <c r="E51">
        <v>12870.626982002301</v>
      </c>
      <c r="F51">
        <v>-344229.40555634297</v>
      </c>
      <c r="G51">
        <v>29805.9990432669</v>
      </c>
      <c r="H51">
        <v>11187</v>
      </c>
      <c r="I51">
        <v>-330864.99700577703</v>
      </c>
      <c r="J51">
        <f t="shared" si="28"/>
        <v>14481</v>
      </c>
      <c r="K51" s="34">
        <f t="shared" si="29"/>
        <v>2567843.9529212578</v>
      </c>
      <c r="L51">
        <f t="shared" si="30"/>
        <v>2.7567229389162633</v>
      </c>
      <c r="M51">
        <f t="shared" si="36"/>
        <v>13135.726987987258</v>
      </c>
      <c r="N51">
        <v>27437</v>
      </c>
      <c r="O51">
        <f t="shared" si="31"/>
        <v>12956</v>
      </c>
      <c r="P51">
        <v>630</v>
      </c>
      <c r="Q51" t="b">
        <v>1</v>
      </c>
      <c r="R51">
        <v>-72</v>
      </c>
      <c r="S51" t="b">
        <f>ABS('n estimate'!$O73)-'n estimate'!$P73&lt;0</f>
        <v>0</v>
      </c>
      <c r="T51">
        <v>-40</v>
      </c>
      <c r="U51" s="33">
        <v>0.93853514883930855</v>
      </c>
      <c r="V51">
        <f t="shared" si="32"/>
        <v>2.8610918957761839</v>
      </c>
      <c r="W51">
        <f t="shared" si="33"/>
        <v>1345.2730120127417</v>
      </c>
      <c r="X51">
        <f t="shared" si="34"/>
        <v>100</v>
      </c>
      <c r="Y51" s="34">
        <f t="shared" si="9"/>
        <v>14381</v>
      </c>
      <c r="Z51" s="34">
        <f t="shared" si="35"/>
        <v>2553362.9529212578</v>
      </c>
    </row>
    <row r="52" spans="1:26" x14ac:dyDescent="0.2">
      <c r="K52" s="34"/>
      <c r="Y52" s="34"/>
      <c r="Z52" s="34"/>
    </row>
    <row r="53" spans="1:26" x14ac:dyDescent="0.2">
      <c r="A53">
        <v>22</v>
      </c>
      <c r="B53">
        <v>44693.481481867297</v>
      </c>
      <c r="C53" t="s">
        <v>28</v>
      </c>
      <c r="D53">
        <v>36907.285851159701</v>
      </c>
      <c r="E53">
        <v>12588.4170161202</v>
      </c>
      <c r="F53">
        <v>-327019.66428862797</v>
      </c>
      <c r="G53">
        <v>47511.843974212599</v>
      </c>
      <c r="H53">
        <v>12577</v>
      </c>
      <c r="I53">
        <v>-366209.69949084101</v>
      </c>
      <c r="J53">
        <f t="shared" ref="J53:J63" si="37">ROUND(SQRT((G53-D53)^2+(H53-E53)^2+(I53-F53)^2),0)</f>
        <v>40599</v>
      </c>
      <c r="K53" s="34">
        <f t="shared" ref="K53:K63" si="38">1000*10^((T53-R53)/(10*E$85))</f>
        <v>3000750.6769256485</v>
      </c>
      <c r="L53">
        <f t="shared" ref="L53:L63" si="39">-(R53-T53)/(10*LOG10(J53/1000))</f>
        <v>3.2327947902536351</v>
      </c>
      <c r="M53">
        <f t="shared" ref="M53:M63" si="40">1000*10^((T53-R53)/(10*D$85))</f>
        <v>120272.16711047394</v>
      </c>
      <c r="N53">
        <v>0</v>
      </c>
      <c r="O53">
        <f t="shared" ref="O53:O63" si="41">ROUND(IF(Q53,N53-J53,0),1)</f>
        <v>0</v>
      </c>
      <c r="P53">
        <v>0</v>
      </c>
      <c r="Q53" t="b">
        <v>0</v>
      </c>
      <c r="R53">
        <v>-93</v>
      </c>
      <c r="S53" t="b">
        <f>ABS('n estimate'!$O5)-'n estimate'!$P5&lt;0</f>
        <v>0</v>
      </c>
      <c r="T53">
        <v>-41</v>
      </c>
      <c r="U53" s="33">
        <v>1.4954432495091083</v>
      </c>
      <c r="V53">
        <f>D85</f>
        <v>2.4998015345946274</v>
      </c>
      <c r="W53">
        <f t="shared" ref="W53:W63" si="42">ABS(J53-M53)</f>
        <v>79673.167110473936</v>
      </c>
      <c r="X53">
        <f t="shared" ref="X53:X63" si="43">10^((T53-R53)/(10*1.6))</f>
        <v>1778.2794100389244</v>
      </c>
      <c r="Y53" s="34">
        <f t="shared" si="9"/>
        <v>38820.720589961078</v>
      </c>
      <c r="Z53" s="34">
        <f t="shared" ref="Z53:Z63" si="44">ABS(J53-K53)</f>
        <v>2960151.6769256485</v>
      </c>
    </row>
    <row r="54" spans="1:26" x14ac:dyDescent="0.2">
      <c r="A54">
        <v>161</v>
      </c>
      <c r="B54">
        <v>44693.4858542824</v>
      </c>
      <c r="C54" t="s">
        <v>28</v>
      </c>
      <c r="D54">
        <v>78906.623779740796</v>
      </c>
      <c r="E54">
        <v>13000.576319195499</v>
      </c>
      <c r="F54">
        <v>-345969.45607042901</v>
      </c>
      <c r="G54">
        <v>47511.843974212599</v>
      </c>
      <c r="H54">
        <v>12577</v>
      </c>
      <c r="I54">
        <v>-366209.69949084101</v>
      </c>
      <c r="J54">
        <f t="shared" si="37"/>
        <v>37356</v>
      </c>
      <c r="K54" s="34">
        <f t="shared" si="38"/>
        <v>472924.96521224576</v>
      </c>
      <c r="L54">
        <f t="shared" si="39"/>
        <v>2.5439460855391234</v>
      </c>
      <c r="M54">
        <f t="shared" si="40"/>
        <v>39822.36310057027</v>
      </c>
      <c r="N54">
        <v>41812</v>
      </c>
      <c r="O54">
        <f t="shared" si="41"/>
        <v>4456</v>
      </c>
      <c r="P54">
        <v>1710</v>
      </c>
      <c r="Q54" t="b">
        <v>1</v>
      </c>
      <c r="R54">
        <v>-81</v>
      </c>
      <c r="S54" t="b">
        <f>ABS('n estimate'!$O34)-'n estimate'!$P34&lt;0</f>
        <v>1</v>
      </c>
      <c r="T54">
        <v>-41</v>
      </c>
      <c r="U54" s="33">
        <v>1.4954432495091083</v>
      </c>
      <c r="V54">
        <f>D85</f>
        <v>2.4998015345946274</v>
      </c>
      <c r="W54">
        <f t="shared" si="42"/>
        <v>2466.36310057027</v>
      </c>
      <c r="X54">
        <f t="shared" si="43"/>
        <v>316.22776601683825</v>
      </c>
      <c r="Y54" s="34">
        <f t="shared" si="9"/>
        <v>37039.77223398316</v>
      </c>
      <c r="Z54" s="34">
        <f t="shared" si="44"/>
        <v>435568.96521224576</v>
      </c>
    </row>
    <row r="55" spans="1:26" x14ac:dyDescent="0.2">
      <c r="A55">
        <v>186</v>
      </c>
      <c r="B55">
        <v>44693.486364120399</v>
      </c>
      <c r="C55" t="s">
        <v>28</v>
      </c>
      <c r="D55">
        <v>80564.751738280407</v>
      </c>
      <c r="E55">
        <v>13026.7947576406</v>
      </c>
      <c r="F55">
        <v>-352741.40211100498</v>
      </c>
      <c r="G55">
        <v>47511.843974212599</v>
      </c>
      <c r="H55">
        <v>12577</v>
      </c>
      <c r="I55">
        <v>-366209.69949084101</v>
      </c>
      <c r="J55">
        <f t="shared" si="37"/>
        <v>35694</v>
      </c>
      <c r="K55" s="34">
        <f t="shared" si="38"/>
        <v>137985.60829402556</v>
      </c>
      <c r="L55">
        <f t="shared" si="39"/>
        <v>2.0610652153270204</v>
      </c>
      <c r="M55">
        <f t="shared" si="40"/>
        <v>19059.066367356161</v>
      </c>
      <c r="N55">
        <v>35250</v>
      </c>
      <c r="O55">
        <f t="shared" si="41"/>
        <v>-444</v>
      </c>
      <c r="P55">
        <v>825</v>
      </c>
      <c r="Q55" t="b">
        <v>1</v>
      </c>
      <c r="R55">
        <v>-73</v>
      </c>
      <c r="S55" t="b">
        <f>ABS('n estimate'!$O40)-'n estimate'!$P40&lt;0</f>
        <v>1</v>
      </c>
      <c r="T55">
        <v>-41</v>
      </c>
      <c r="U55" s="33">
        <v>1.4954432495091083</v>
      </c>
      <c r="V55">
        <f>D85</f>
        <v>2.4998015345946274</v>
      </c>
      <c r="W55">
        <f t="shared" si="42"/>
        <v>16634.933632643839</v>
      </c>
      <c r="X55">
        <f t="shared" si="43"/>
        <v>100</v>
      </c>
      <c r="Y55" s="34">
        <f t="shared" si="9"/>
        <v>35594</v>
      </c>
      <c r="Z55" s="34">
        <f t="shared" si="44"/>
        <v>102291.60829402556</v>
      </c>
    </row>
    <row r="56" spans="1:26" x14ac:dyDescent="0.2">
      <c r="A56">
        <v>206</v>
      </c>
      <c r="B56">
        <v>44693.486738387299</v>
      </c>
      <c r="C56" t="s">
        <v>28</v>
      </c>
      <c r="D56">
        <v>71335.864732837697</v>
      </c>
      <c r="E56">
        <v>12796.990068175301</v>
      </c>
      <c r="F56">
        <v>-360648.30640507402</v>
      </c>
      <c r="G56">
        <v>47511.843974212599</v>
      </c>
      <c r="H56">
        <v>12577</v>
      </c>
      <c r="I56">
        <v>-366209.69949084101</v>
      </c>
      <c r="J56">
        <f t="shared" si="37"/>
        <v>24466</v>
      </c>
      <c r="K56" s="34">
        <f t="shared" si="38"/>
        <v>187747.17219647364</v>
      </c>
      <c r="L56">
        <f t="shared" si="39"/>
        <v>2.448574583964823</v>
      </c>
      <c r="M56">
        <f t="shared" si="40"/>
        <v>22914.372762314859</v>
      </c>
      <c r="N56">
        <v>24125</v>
      </c>
      <c r="O56">
        <f t="shared" si="41"/>
        <v>-341</v>
      </c>
      <c r="P56">
        <v>750</v>
      </c>
      <c r="Q56" t="b">
        <v>1</v>
      </c>
      <c r="R56">
        <v>-75</v>
      </c>
      <c r="S56" t="b">
        <f>ABS('n estimate'!$O44)-'n estimate'!$P44&lt;0</f>
        <v>0</v>
      </c>
      <c r="T56">
        <v>-41</v>
      </c>
      <c r="U56" s="33">
        <v>1.4954432495091083</v>
      </c>
      <c r="V56">
        <f>D85</f>
        <v>2.4998015345946274</v>
      </c>
      <c r="W56">
        <f t="shared" si="42"/>
        <v>1551.6272376851412</v>
      </c>
      <c r="X56">
        <f t="shared" si="43"/>
        <v>133.35214321633242</v>
      </c>
      <c r="Y56" s="34">
        <f t="shared" si="9"/>
        <v>24332.647856783668</v>
      </c>
      <c r="Z56" s="34">
        <f t="shared" si="44"/>
        <v>163281.17219647364</v>
      </c>
    </row>
    <row r="57" spans="1:26" x14ac:dyDescent="0.2">
      <c r="A57">
        <v>231</v>
      </c>
      <c r="B57">
        <v>44693.487285841002</v>
      </c>
      <c r="C57" t="s">
        <v>28</v>
      </c>
      <c r="D57">
        <v>64192.8999953936</v>
      </c>
      <c r="E57">
        <v>12640.6607135671</v>
      </c>
      <c r="F57">
        <v>-353514.88831870101</v>
      </c>
      <c r="G57">
        <v>47511.843974212599</v>
      </c>
      <c r="H57">
        <v>12577</v>
      </c>
      <c r="I57">
        <v>-366209.69949084101</v>
      </c>
      <c r="J57">
        <f t="shared" si="37"/>
        <v>20962</v>
      </c>
      <c r="K57" s="34">
        <f t="shared" si="38"/>
        <v>101413.12848295394</v>
      </c>
      <c r="L57">
        <f t="shared" si="39"/>
        <v>2.2702631486302547</v>
      </c>
      <c r="M57">
        <f t="shared" si="40"/>
        <v>15852.409078056324</v>
      </c>
      <c r="N57">
        <v>21750</v>
      </c>
      <c r="O57">
        <f t="shared" si="41"/>
        <v>788</v>
      </c>
      <c r="P57">
        <v>705</v>
      </c>
      <c r="Q57" t="b">
        <v>1</v>
      </c>
      <c r="R57">
        <v>-71</v>
      </c>
      <c r="S57" t="b">
        <f>ABS('n estimate'!$O49)-'n estimate'!$P49&lt;0</f>
        <v>0</v>
      </c>
      <c r="T57">
        <v>-41</v>
      </c>
      <c r="U57" s="33">
        <v>1.4954432495091083</v>
      </c>
      <c r="V57">
        <f>D85</f>
        <v>2.4998015345946274</v>
      </c>
      <c r="W57">
        <f t="shared" si="42"/>
        <v>5109.5909219436762</v>
      </c>
      <c r="X57">
        <f t="shared" si="43"/>
        <v>74.98942093324564</v>
      </c>
      <c r="Y57" s="34">
        <f t="shared" si="9"/>
        <v>20887.010579066755</v>
      </c>
      <c r="Z57" s="34">
        <f t="shared" si="44"/>
        <v>80451.128482953936</v>
      </c>
    </row>
    <row r="58" spans="1:26" x14ac:dyDescent="0.2">
      <c r="A58">
        <v>251</v>
      </c>
      <c r="B58">
        <v>44693.487968171299</v>
      </c>
      <c r="C58" t="s">
        <v>28</v>
      </c>
      <c r="D58">
        <v>52812.0706544657</v>
      </c>
      <c r="E58">
        <v>12682.878997112601</v>
      </c>
      <c r="F58">
        <v>-371645.01595541299</v>
      </c>
      <c r="G58">
        <v>47511.843974212599</v>
      </c>
      <c r="H58">
        <v>12577</v>
      </c>
      <c r="I58">
        <v>-366209.69949084101</v>
      </c>
      <c r="J58">
        <f t="shared" si="37"/>
        <v>7593</v>
      </c>
      <c r="K58" s="34">
        <f t="shared" si="38"/>
        <v>118294.34569209364</v>
      </c>
      <c r="L58">
        <f t="shared" si="39"/>
        <v>3.5210731690701942</v>
      </c>
      <c r="M58">
        <f t="shared" si="40"/>
        <v>17381.948012267057</v>
      </c>
      <c r="N58">
        <v>8250</v>
      </c>
      <c r="O58">
        <f t="shared" si="41"/>
        <v>657</v>
      </c>
      <c r="P58">
        <v>750</v>
      </c>
      <c r="Q58" t="b">
        <v>1</v>
      </c>
      <c r="R58">
        <v>-72</v>
      </c>
      <c r="S58" t="b">
        <f>ABS('n estimate'!$O54)-'n estimate'!$P54&lt;0</f>
        <v>0</v>
      </c>
      <c r="T58">
        <v>-41</v>
      </c>
      <c r="U58" s="33">
        <v>1.4954432495091083</v>
      </c>
      <c r="V58">
        <f>D85</f>
        <v>2.4998015345946274</v>
      </c>
      <c r="W58">
        <f t="shared" si="42"/>
        <v>9788.9480122670575</v>
      </c>
      <c r="X58">
        <f t="shared" si="43"/>
        <v>86.596432336006544</v>
      </c>
      <c r="Y58" s="34">
        <f t="shared" si="9"/>
        <v>7506.4035676639933</v>
      </c>
      <c r="Z58" s="34">
        <f t="shared" si="44"/>
        <v>110701.34569209364</v>
      </c>
    </row>
    <row r="59" spans="1:26" x14ac:dyDescent="0.2">
      <c r="A59">
        <v>267</v>
      </c>
      <c r="B59">
        <v>44693.488458873398</v>
      </c>
      <c r="C59" t="s">
        <v>28</v>
      </c>
      <c r="D59">
        <v>30068.0965935928</v>
      </c>
      <c r="E59">
        <v>12875.4834094134</v>
      </c>
      <c r="F59">
        <v>-368330.780144908</v>
      </c>
      <c r="G59">
        <v>47511.843974212599</v>
      </c>
      <c r="H59">
        <v>12577</v>
      </c>
      <c r="I59">
        <v>-366209.69949084101</v>
      </c>
      <c r="J59">
        <f t="shared" si="37"/>
        <v>17575</v>
      </c>
      <c r="K59" s="34">
        <f t="shared" si="38"/>
        <v>34514.814079949581</v>
      </c>
      <c r="L59">
        <f t="shared" si="39"/>
        <v>1.8475448800817014</v>
      </c>
      <c r="M59">
        <f t="shared" si="40"/>
        <v>8319.0367162060302</v>
      </c>
      <c r="N59">
        <v>18000</v>
      </c>
      <c r="O59">
        <f t="shared" si="41"/>
        <v>425</v>
      </c>
      <c r="P59">
        <v>690</v>
      </c>
      <c r="Q59" t="b">
        <v>1</v>
      </c>
      <c r="R59">
        <v>-64</v>
      </c>
      <c r="S59" t="b">
        <f>ABS('n estimate'!$O58)-'n estimate'!$P58&lt;0</f>
        <v>1</v>
      </c>
      <c r="T59">
        <v>-41</v>
      </c>
      <c r="U59" s="33">
        <v>1.4954432495091083</v>
      </c>
      <c r="V59">
        <f>D85</f>
        <v>2.4998015345946274</v>
      </c>
      <c r="W59">
        <f t="shared" si="42"/>
        <v>9255.9632837939698</v>
      </c>
      <c r="X59">
        <f t="shared" si="43"/>
        <v>27.384196342643627</v>
      </c>
      <c r="Y59" s="34">
        <f t="shared" si="9"/>
        <v>17547.615803657358</v>
      </c>
      <c r="Z59" s="34">
        <f t="shared" si="44"/>
        <v>16939.814079949581</v>
      </c>
    </row>
    <row r="60" spans="1:26" x14ac:dyDescent="0.2">
      <c r="A60">
        <v>287</v>
      </c>
      <c r="B60">
        <v>44693.488779012303</v>
      </c>
      <c r="C60" t="s">
        <v>28</v>
      </c>
      <c r="D60">
        <v>28318.456183741899</v>
      </c>
      <c r="E60">
        <v>13045.557080856801</v>
      </c>
      <c r="F60">
        <v>-362212.83031717502</v>
      </c>
      <c r="G60">
        <v>47511.843974212599</v>
      </c>
      <c r="H60">
        <v>12577</v>
      </c>
      <c r="I60">
        <v>-366209.69949084101</v>
      </c>
      <c r="J60">
        <f t="shared" si="37"/>
        <v>19611</v>
      </c>
      <c r="K60" s="34">
        <f t="shared" si="38"/>
        <v>137985.60829402556</v>
      </c>
      <c r="L60">
        <f t="shared" si="39"/>
        <v>2.4758225489302204</v>
      </c>
      <c r="M60">
        <f t="shared" si="40"/>
        <v>19059.066367356161</v>
      </c>
      <c r="N60">
        <v>19937</v>
      </c>
      <c r="O60">
        <f t="shared" si="41"/>
        <v>326</v>
      </c>
      <c r="P60">
        <v>990</v>
      </c>
      <c r="Q60" t="b">
        <v>1</v>
      </c>
      <c r="R60">
        <v>-73</v>
      </c>
      <c r="S60" t="b">
        <f>ABS('n estimate'!$O62)-'n estimate'!$P62&lt;0</f>
        <v>0</v>
      </c>
      <c r="T60">
        <v>-41</v>
      </c>
      <c r="U60" s="33">
        <v>1.4954432495091083</v>
      </c>
      <c r="V60">
        <f>D85</f>
        <v>2.4998015345946274</v>
      </c>
      <c r="W60">
        <f t="shared" si="42"/>
        <v>551.93363264383879</v>
      </c>
      <c r="X60">
        <f t="shared" si="43"/>
        <v>100</v>
      </c>
      <c r="Y60" s="34">
        <f t="shared" si="9"/>
        <v>19511</v>
      </c>
      <c r="Z60" s="34">
        <f t="shared" si="44"/>
        <v>118374.60829402556</v>
      </c>
    </row>
    <row r="61" spans="1:26" x14ac:dyDescent="0.2">
      <c r="A61">
        <v>307</v>
      </c>
      <c r="B61">
        <v>44693.489074074103</v>
      </c>
      <c r="C61" t="s">
        <v>28</v>
      </c>
      <c r="D61">
        <v>26366.676951363101</v>
      </c>
      <c r="E61">
        <v>13006.631634961301</v>
      </c>
      <c r="F61">
        <v>-354652.12454722298</v>
      </c>
      <c r="G61">
        <v>47511.843974212599</v>
      </c>
      <c r="H61">
        <v>12577</v>
      </c>
      <c r="I61">
        <v>-366209.69949084101</v>
      </c>
      <c r="J61">
        <f t="shared" si="37"/>
        <v>24101</v>
      </c>
      <c r="K61" s="34">
        <f t="shared" si="38"/>
        <v>187747.17219647364</v>
      </c>
      <c r="L61">
        <f t="shared" si="39"/>
        <v>2.4601401887091416</v>
      </c>
      <c r="M61">
        <f t="shared" si="40"/>
        <v>22914.372762314859</v>
      </c>
      <c r="N61">
        <v>25937</v>
      </c>
      <c r="O61">
        <f t="shared" si="41"/>
        <v>1836</v>
      </c>
      <c r="P61">
        <v>540</v>
      </c>
      <c r="Q61" t="b">
        <v>1</v>
      </c>
      <c r="R61">
        <v>-75</v>
      </c>
      <c r="S61" t="b">
        <f>ABS('n estimate'!$O67)-'n estimate'!$P67&lt;0</f>
        <v>0</v>
      </c>
      <c r="T61">
        <v>-41</v>
      </c>
      <c r="U61" s="33">
        <v>1.4954432495091083</v>
      </c>
      <c r="V61">
        <f>D85</f>
        <v>2.4998015345946274</v>
      </c>
      <c r="W61">
        <f t="shared" si="42"/>
        <v>1186.6272376851412</v>
      </c>
      <c r="X61">
        <f t="shared" si="43"/>
        <v>133.35214321633242</v>
      </c>
      <c r="Y61" s="34">
        <f t="shared" si="9"/>
        <v>23967.647856783668</v>
      </c>
      <c r="Z61" s="34">
        <f t="shared" si="44"/>
        <v>163646.17219647364</v>
      </c>
    </row>
    <row r="62" spans="1:26" x14ac:dyDescent="0.2">
      <c r="A62">
        <v>322</v>
      </c>
      <c r="B62">
        <v>44693.489602854897</v>
      </c>
      <c r="C62" t="s">
        <v>28</v>
      </c>
      <c r="D62">
        <v>35242.859103527102</v>
      </c>
      <c r="E62">
        <v>12805.806483407699</v>
      </c>
      <c r="F62">
        <v>-353411.67700704699</v>
      </c>
      <c r="G62">
        <v>47511.843974212599</v>
      </c>
      <c r="H62">
        <v>12577</v>
      </c>
      <c r="I62">
        <v>-366209.69949084101</v>
      </c>
      <c r="J62">
        <f t="shared" si="37"/>
        <v>17730</v>
      </c>
      <c r="K62" s="34">
        <f t="shared" si="38"/>
        <v>34514.814079949581</v>
      </c>
      <c r="L62">
        <f t="shared" si="39"/>
        <v>1.8419027067134017</v>
      </c>
      <c r="M62">
        <f t="shared" si="40"/>
        <v>8319.0367162060302</v>
      </c>
      <c r="N62">
        <v>21250</v>
      </c>
      <c r="O62">
        <f t="shared" si="41"/>
        <v>3520</v>
      </c>
      <c r="P62">
        <v>2250</v>
      </c>
      <c r="Q62" t="b">
        <v>1</v>
      </c>
      <c r="R62">
        <v>-64</v>
      </c>
      <c r="S62" t="b">
        <f>ABS('n estimate'!$O70)-'n estimate'!$P70&lt;0</f>
        <v>0</v>
      </c>
      <c r="T62">
        <v>-41</v>
      </c>
      <c r="U62" s="33">
        <v>1.4954432495091083</v>
      </c>
      <c r="V62">
        <f>D85</f>
        <v>2.4998015345946274</v>
      </c>
      <c r="W62">
        <f t="shared" si="42"/>
        <v>9410.9632837939698</v>
      </c>
      <c r="X62">
        <f t="shared" si="43"/>
        <v>27.384196342643627</v>
      </c>
      <c r="Y62" s="34">
        <f t="shared" si="9"/>
        <v>17702.615803657358</v>
      </c>
      <c r="Z62" s="34">
        <f t="shared" si="44"/>
        <v>16784.814079949581</v>
      </c>
    </row>
    <row r="63" spans="1:26" x14ac:dyDescent="0.2">
      <c r="A63">
        <v>342</v>
      </c>
      <c r="B63">
        <v>44693.490122569397</v>
      </c>
      <c r="C63" t="s">
        <v>28</v>
      </c>
      <c r="D63">
        <v>24490.267493922602</v>
      </c>
      <c r="E63">
        <v>12870.626982002301</v>
      </c>
      <c r="F63">
        <v>-344229.40555634297</v>
      </c>
      <c r="G63">
        <v>47511.843974212599</v>
      </c>
      <c r="H63">
        <v>12577</v>
      </c>
      <c r="I63">
        <v>-366209.69949084101</v>
      </c>
      <c r="J63">
        <f t="shared" si="37"/>
        <v>31831</v>
      </c>
      <c r="K63" s="34">
        <f t="shared" si="38"/>
        <v>643475.2578726667</v>
      </c>
      <c r="L63">
        <f t="shared" si="39"/>
        <v>2.794689563321386</v>
      </c>
      <c r="M63">
        <f t="shared" si="40"/>
        <v>47877.711047044359</v>
      </c>
      <c r="N63">
        <v>37937</v>
      </c>
      <c r="O63">
        <f t="shared" si="41"/>
        <v>6106</v>
      </c>
      <c r="P63">
        <v>1005</v>
      </c>
      <c r="Q63" t="b">
        <v>1</v>
      </c>
      <c r="R63">
        <v>-83</v>
      </c>
      <c r="S63" t="b">
        <f>ABS('n estimate'!$O74)-'n estimate'!$P74&lt;0</f>
        <v>0</v>
      </c>
      <c r="T63">
        <v>-41</v>
      </c>
      <c r="U63" s="33">
        <v>1.4954432495091083</v>
      </c>
      <c r="V63">
        <f>D85</f>
        <v>2.4998015345946274</v>
      </c>
      <c r="W63">
        <f t="shared" si="42"/>
        <v>16046.711047044359</v>
      </c>
      <c r="X63">
        <f t="shared" si="43"/>
        <v>421.69650342858256</v>
      </c>
      <c r="Y63" s="34">
        <f t="shared" si="9"/>
        <v>31409.303496571418</v>
      </c>
      <c r="Z63" s="34">
        <f t="shared" si="44"/>
        <v>611644.2578726667</v>
      </c>
    </row>
    <row r="64" spans="1:26" x14ac:dyDescent="0.2">
      <c r="K64" s="34"/>
      <c r="Y64" s="34"/>
      <c r="Z64" s="34"/>
    </row>
    <row r="65" spans="1:26" x14ac:dyDescent="0.2">
      <c r="A65">
        <v>23</v>
      </c>
      <c r="B65">
        <v>44693.481481867297</v>
      </c>
      <c r="C65" t="s">
        <v>29</v>
      </c>
      <c r="D65">
        <v>36907.285851159701</v>
      </c>
      <c r="E65">
        <v>12588.4170161202</v>
      </c>
      <c r="F65">
        <v>-327019.66428862797</v>
      </c>
      <c r="G65">
        <v>66962.713641439303</v>
      </c>
      <c r="H65">
        <v>11187</v>
      </c>
      <c r="I65">
        <v>-324977.11831615499</v>
      </c>
      <c r="J65">
        <f t="shared" ref="J65:J75" si="45">ROUND(SQRT((G65-D65)^2+(H65-E65)^2+(I65-F65)^2),0)</f>
        <v>30157</v>
      </c>
      <c r="K65" s="34">
        <f t="shared" ref="K65:K75" si="46">1000*10^((T65-R65)/(10*E$86))</f>
        <v>1237871.3466421324</v>
      </c>
      <c r="L65">
        <f t="shared" ref="L65:L75" si="47">-(R65-T65)/(10*LOG10(J65/1000))</f>
        <v>2.2982474424882873</v>
      </c>
      <c r="M65">
        <f t="shared" ref="M65:M75" si="48">1000*10^((T65-R65)/(10*D$86))</f>
        <v>25527.997724191584</v>
      </c>
      <c r="N65">
        <v>31187</v>
      </c>
      <c r="O65">
        <f t="shared" ref="O65:O75" si="49">ROUND(IF(Q65,N65-J65,0),1)</f>
        <v>1030</v>
      </c>
      <c r="P65">
        <v>570</v>
      </c>
      <c r="Q65" t="b">
        <v>1</v>
      </c>
      <c r="R65">
        <v>-75</v>
      </c>
      <c r="S65" t="b">
        <f>ABS('n estimate'!$O6)-'n estimate'!$P6&lt;0</f>
        <v>1</v>
      </c>
      <c r="T65">
        <v>-41</v>
      </c>
      <c r="U65" s="33">
        <v>1.0993717215589127</v>
      </c>
      <c r="V65">
        <f>D86</f>
        <v>2.4164602120304619</v>
      </c>
      <c r="W65">
        <f t="shared" ref="W65:W75" si="50">ABS(J65-M65)</f>
        <v>4629.002275808416</v>
      </c>
      <c r="X65">
        <f t="shared" ref="X65:X75" si="51">10^((T65-R65)/(10*1.6))</f>
        <v>133.35214321633242</v>
      </c>
      <c r="Y65" s="34">
        <f t="shared" si="9"/>
        <v>30023.647856783668</v>
      </c>
      <c r="Z65" s="34">
        <f t="shared" ref="Z65:Z75" si="52">ABS(J65-K65)</f>
        <v>1207714.3466421324</v>
      </c>
    </row>
    <row r="66" spans="1:26" x14ac:dyDescent="0.2">
      <c r="A66">
        <v>47</v>
      </c>
      <c r="B66">
        <v>44693.482971759302</v>
      </c>
      <c r="C66" t="s">
        <v>29</v>
      </c>
      <c r="D66">
        <v>43818.8663514543</v>
      </c>
      <c r="E66">
        <v>12821.855127299799</v>
      </c>
      <c r="F66">
        <v>-318920.38880600501</v>
      </c>
      <c r="G66">
        <v>66962.713641439303</v>
      </c>
      <c r="H66">
        <v>11187</v>
      </c>
      <c r="I66">
        <v>-324977.11831615499</v>
      </c>
      <c r="J66">
        <f t="shared" si="45"/>
        <v>23979</v>
      </c>
      <c r="K66" s="34">
        <f t="shared" si="46"/>
        <v>123624.35015225281</v>
      </c>
      <c r="L66">
        <f t="shared" si="47"/>
        <v>1.6668707161748713</v>
      </c>
      <c r="M66">
        <f t="shared" si="48"/>
        <v>8949.6376108489058</v>
      </c>
      <c r="N66">
        <v>25187</v>
      </c>
      <c r="O66">
        <f t="shared" si="49"/>
        <v>1208</v>
      </c>
      <c r="P66">
        <v>645</v>
      </c>
      <c r="Q66" t="b">
        <v>1</v>
      </c>
      <c r="R66">
        <v>-64</v>
      </c>
      <c r="S66" t="b">
        <f>ABS('n estimate'!$O10)-'n estimate'!$P10&lt;0</f>
        <v>1</v>
      </c>
      <c r="T66">
        <v>-41</v>
      </c>
      <c r="U66" s="33">
        <v>1.0993717215589127</v>
      </c>
      <c r="V66">
        <f>D86</f>
        <v>2.4164602120304619</v>
      </c>
      <c r="W66">
        <f t="shared" si="50"/>
        <v>15029.362389151094</v>
      </c>
      <c r="X66">
        <f t="shared" si="51"/>
        <v>27.384196342643627</v>
      </c>
      <c r="Y66" s="34">
        <f t="shared" si="9"/>
        <v>23951.615803657358</v>
      </c>
      <c r="Z66" s="34">
        <f t="shared" si="52"/>
        <v>99645.350152252809</v>
      </c>
    </row>
    <row r="67" spans="1:26" x14ac:dyDescent="0.2">
      <c r="A67">
        <v>67</v>
      </c>
      <c r="B67">
        <v>44693.483453125002</v>
      </c>
      <c r="C67" t="s">
        <v>29</v>
      </c>
      <c r="D67">
        <v>50282.355008671002</v>
      </c>
      <c r="E67">
        <v>13019.6480474092</v>
      </c>
      <c r="F67">
        <v>-317185.22308556997</v>
      </c>
      <c r="G67">
        <v>66962.713641439303</v>
      </c>
      <c r="H67">
        <v>11187</v>
      </c>
      <c r="I67">
        <v>-324977.11831615499</v>
      </c>
      <c r="J67">
        <f t="shared" si="45"/>
        <v>18502</v>
      </c>
      <c r="K67" s="34">
        <f t="shared" si="46"/>
        <v>231732.61098059727</v>
      </c>
      <c r="L67">
        <f t="shared" si="47"/>
        <v>2.0517374372469241</v>
      </c>
      <c r="M67">
        <f t="shared" si="48"/>
        <v>11911.158044929898</v>
      </c>
      <c r="N67">
        <v>20375</v>
      </c>
      <c r="O67">
        <f t="shared" si="49"/>
        <v>1873</v>
      </c>
      <c r="P67">
        <v>615</v>
      </c>
      <c r="Q67" t="b">
        <v>1</v>
      </c>
      <c r="R67">
        <v>-67</v>
      </c>
      <c r="S67" t="b">
        <f>ABS('n estimate'!$O15)-'n estimate'!$P15&lt;0</f>
        <v>1</v>
      </c>
      <c r="T67">
        <v>-41</v>
      </c>
      <c r="U67" s="33">
        <v>1.0993717215589127</v>
      </c>
      <c r="V67">
        <f>D86</f>
        <v>2.4164602120304619</v>
      </c>
      <c r="W67">
        <f t="shared" si="50"/>
        <v>6590.8419550701019</v>
      </c>
      <c r="X67">
        <f t="shared" si="51"/>
        <v>42.169650342858247</v>
      </c>
      <c r="Y67" s="34">
        <f t="shared" ref="Y67:Y75" si="53">ABS(J67-X67)</f>
        <v>18459.830349657143</v>
      </c>
      <c r="Z67" s="34">
        <f t="shared" si="52"/>
        <v>213230.61098059727</v>
      </c>
    </row>
    <row r="68" spans="1:26" x14ac:dyDescent="0.2">
      <c r="A68">
        <v>87</v>
      </c>
      <c r="B68">
        <v>44693.4837962577</v>
      </c>
      <c r="C68" t="s">
        <v>29</v>
      </c>
      <c r="D68">
        <v>57467.9400261747</v>
      </c>
      <c r="E68">
        <v>12891.5079050926</v>
      </c>
      <c r="F68">
        <v>-315548.84449210099</v>
      </c>
      <c r="G68">
        <v>66962.713641439303</v>
      </c>
      <c r="H68">
        <v>11187</v>
      </c>
      <c r="I68">
        <v>-324977.11831615499</v>
      </c>
      <c r="J68">
        <f t="shared" si="45"/>
        <v>13489</v>
      </c>
      <c r="K68" s="34">
        <f t="shared" si="46"/>
        <v>535588.6100501481</v>
      </c>
      <c r="L68">
        <f t="shared" si="47"/>
        <v>2.6549148226791832</v>
      </c>
      <c r="M68">
        <f t="shared" si="48"/>
        <v>17437.546142260289</v>
      </c>
      <c r="N68">
        <v>0</v>
      </c>
      <c r="O68">
        <f t="shared" si="49"/>
        <v>0</v>
      </c>
      <c r="P68">
        <v>0</v>
      </c>
      <c r="Q68" t="b">
        <v>0</v>
      </c>
      <c r="R68">
        <v>-71</v>
      </c>
      <c r="S68" t="b">
        <f>ABS('n estimate'!$O19)-'n estimate'!$P19&lt;0</f>
        <v>0</v>
      </c>
      <c r="T68">
        <v>-41</v>
      </c>
      <c r="U68" s="33">
        <v>1.0993717215589127</v>
      </c>
      <c r="V68">
        <f>D86</f>
        <v>2.4164602120304619</v>
      </c>
      <c r="W68">
        <f t="shared" si="50"/>
        <v>3948.5461422602893</v>
      </c>
      <c r="X68">
        <f t="shared" si="51"/>
        <v>74.98942093324564</v>
      </c>
      <c r="Y68" s="34">
        <f t="shared" si="53"/>
        <v>13414.010579066755</v>
      </c>
      <c r="Z68" s="34">
        <f t="shared" si="52"/>
        <v>522099.6100501481</v>
      </c>
    </row>
    <row r="69" spans="1:26" x14ac:dyDescent="0.2">
      <c r="A69">
        <v>107</v>
      </c>
      <c r="B69">
        <v>44693.484165702197</v>
      </c>
      <c r="C69" t="s">
        <v>29</v>
      </c>
      <c r="D69">
        <v>61307.479999243398</v>
      </c>
      <c r="E69">
        <v>12701.251437208801</v>
      </c>
      <c r="F69">
        <v>-324703.91054824099</v>
      </c>
      <c r="G69">
        <v>66962.713641439303</v>
      </c>
      <c r="H69">
        <v>11187</v>
      </c>
      <c r="I69">
        <v>-324977.11831615499</v>
      </c>
      <c r="J69">
        <f t="shared" si="45"/>
        <v>5861</v>
      </c>
      <c r="K69" s="34">
        <f t="shared" si="46"/>
        <v>4332.3876678868719</v>
      </c>
      <c r="L69">
        <f t="shared" si="47"/>
        <v>0.91149189548368481</v>
      </c>
      <c r="M69">
        <f t="shared" si="48"/>
        <v>1948.4080697437621</v>
      </c>
      <c r="N69">
        <v>6250</v>
      </c>
      <c r="O69">
        <f t="shared" si="49"/>
        <v>389</v>
      </c>
      <c r="P69">
        <v>690</v>
      </c>
      <c r="Q69" t="b">
        <v>1</v>
      </c>
      <c r="R69">
        <v>-48</v>
      </c>
      <c r="S69" t="b">
        <f>ABS('n estimate'!$O23)-'n estimate'!$P23&lt;0</f>
        <v>0</v>
      </c>
      <c r="T69">
        <v>-41</v>
      </c>
      <c r="U69" s="33">
        <v>1.0993717215589127</v>
      </c>
      <c r="V69">
        <f>D86</f>
        <v>2.4164602120304619</v>
      </c>
      <c r="W69">
        <f t="shared" si="50"/>
        <v>3912.5919302562379</v>
      </c>
      <c r="X69">
        <f t="shared" si="51"/>
        <v>2.7384196342643614</v>
      </c>
      <c r="Y69" s="34">
        <f t="shared" si="53"/>
        <v>5858.2615803657354</v>
      </c>
      <c r="Z69" s="34">
        <f t="shared" si="52"/>
        <v>1528.6123321131281</v>
      </c>
    </row>
    <row r="70" spans="1:26" x14ac:dyDescent="0.2">
      <c r="A70">
        <v>127</v>
      </c>
      <c r="B70">
        <v>44693.484815432101</v>
      </c>
      <c r="C70" t="s">
        <v>29</v>
      </c>
      <c r="D70">
        <v>68633.874987967196</v>
      </c>
      <c r="E70">
        <v>12706.0196455369</v>
      </c>
      <c r="F70">
        <v>-330735.76206932799</v>
      </c>
      <c r="G70">
        <v>66962.713641439303</v>
      </c>
      <c r="H70">
        <v>11187</v>
      </c>
      <c r="I70">
        <v>-324977.11831615499</v>
      </c>
      <c r="J70">
        <f t="shared" si="45"/>
        <v>6186</v>
      </c>
      <c r="K70" s="34">
        <f t="shared" si="46"/>
        <v>123624.35015225281</v>
      </c>
      <c r="L70">
        <f t="shared" si="47"/>
        <v>2.9062056899566331</v>
      </c>
      <c r="M70">
        <f t="shared" si="48"/>
        <v>8949.6376108489058</v>
      </c>
      <c r="N70">
        <v>9562</v>
      </c>
      <c r="O70">
        <f t="shared" si="49"/>
        <v>3376</v>
      </c>
      <c r="P70">
        <v>720</v>
      </c>
      <c r="Q70" t="b">
        <v>1</v>
      </c>
      <c r="R70">
        <v>-64</v>
      </c>
      <c r="S70" t="b">
        <f>ABS('n estimate'!$O28)-'n estimate'!$P28&lt;0</f>
        <v>0</v>
      </c>
      <c r="T70">
        <v>-41</v>
      </c>
      <c r="U70" s="33">
        <v>1.0993717215589127</v>
      </c>
      <c r="V70">
        <f>D86</f>
        <v>2.4164602120304619</v>
      </c>
      <c r="W70">
        <f t="shared" si="50"/>
        <v>2763.6376108489058</v>
      </c>
      <c r="X70">
        <f t="shared" si="51"/>
        <v>27.384196342643627</v>
      </c>
      <c r="Y70" s="34">
        <f t="shared" si="53"/>
        <v>6158.6158036573561</v>
      </c>
      <c r="Z70" s="34">
        <f t="shared" si="52"/>
        <v>117438.35015225281</v>
      </c>
    </row>
    <row r="71" spans="1:26" x14ac:dyDescent="0.2">
      <c r="A71">
        <v>146</v>
      </c>
      <c r="B71">
        <v>44693.485225964498</v>
      </c>
      <c r="C71" t="s">
        <v>29</v>
      </c>
      <c r="D71">
        <v>76554.929399806104</v>
      </c>
      <c r="E71">
        <v>12660.4848656457</v>
      </c>
      <c r="F71">
        <v>-335301.534021987</v>
      </c>
      <c r="G71">
        <v>66962.713641439303</v>
      </c>
      <c r="H71">
        <v>11187</v>
      </c>
      <c r="I71">
        <v>-324977.11831615499</v>
      </c>
      <c r="J71">
        <f t="shared" si="45"/>
        <v>14170</v>
      </c>
      <c r="K71" s="34">
        <f t="shared" si="46"/>
        <v>434380.46732499922</v>
      </c>
      <c r="L71">
        <f t="shared" si="47"/>
        <v>2.5187388738524912</v>
      </c>
      <c r="M71">
        <f t="shared" si="48"/>
        <v>15852.673833330862</v>
      </c>
      <c r="N71">
        <v>16500</v>
      </c>
      <c r="O71">
        <f t="shared" si="49"/>
        <v>2330</v>
      </c>
      <c r="P71">
        <v>615</v>
      </c>
      <c r="Q71" t="b">
        <v>1</v>
      </c>
      <c r="R71">
        <v>-70</v>
      </c>
      <c r="S71" t="b">
        <f>ABS('n estimate'!$O31)-'n estimate'!$P31&lt;0</f>
        <v>0</v>
      </c>
      <c r="T71">
        <v>-41</v>
      </c>
      <c r="U71" s="33">
        <v>1.0993717215589127</v>
      </c>
      <c r="V71">
        <f>D86</f>
        <v>2.4164602120304619</v>
      </c>
      <c r="W71">
        <f t="shared" si="50"/>
        <v>1682.6738333308622</v>
      </c>
      <c r="X71">
        <f t="shared" si="51"/>
        <v>64.938163157621162</v>
      </c>
      <c r="Y71" s="34">
        <f t="shared" si="53"/>
        <v>14105.061836842378</v>
      </c>
      <c r="Z71" s="34">
        <f t="shared" si="52"/>
        <v>420210.46732499922</v>
      </c>
    </row>
    <row r="72" spans="1:26" x14ac:dyDescent="0.2">
      <c r="A72">
        <v>162</v>
      </c>
      <c r="B72">
        <v>44693.4858542824</v>
      </c>
      <c r="C72" t="s">
        <v>29</v>
      </c>
      <c r="D72">
        <v>78906.623779740796</v>
      </c>
      <c r="E72">
        <v>13000.576319195499</v>
      </c>
      <c r="F72">
        <v>-345969.45607042901</v>
      </c>
      <c r="G72">
        <v>66962.713641439303</v>
      </c>
      <c r="H72">
        <v>11187</v>
      </c>
      <c r="I72">
        <v>-324977.11831615499</v>
      </c>
      <c r="J72">
        <f t="shared" si="45"/>
        <v>24220</v>
      </c>
      <c r="K72" s="34">
        <f t="shared" si="46"/>
        <v>3527611.3594010607</v>
      </c>
      <c r="L72">
        <f t="shared" si="47"/>
        <v>2.8175645611767175</v>
      </c>
      <c r="M72">
        <f t="shared" si="48"/>
        <v>41108.438529540086</v>
      </c>
      <c r="N72">
        <v>30250</v>
      </c>
      <c r="O72">
        <f t="shared" si="49"/>
        <v>6030</v>
      </c>
      <c r="P72">
        <v>660</v>
      </c>
      <c r="Q72" t="b">
        <v>1</v>
      </c>
      <c r="R72">
        <v>-80</v>
      </c>
      <c r="S72" t="b">
        <f>ABS('n estimate'!$O35)-'n estimate'!$P35&lt;0</f>
        <v>0</v>
      </c>
      <c r="T72">
        <v>-41</v>
      </c>
      <c r="U72" s="33">
        <v>1.0993717215589127</v>
      </c>
      <c r="V72">
        <f>D86</f>
        <v>2.4164602120304619</v>
      </c>
      <c r="W72">
        <f t="shared" si="50"/>
        <v>16888.438529540086</v>
      </c>
      <c r="X72">
        <f t="shared" si="51"/>
        <v>273.84196342643634</v>
      </c>
      <c r="Y72" s="34">
        <f t="shared" si="53"/>
        <v>23946.158036573564</v>
      </c>
      <c r="Z72" s="34">
        <f t="shared" si="52"/>
        <v>3503391.3594010607</v>
      </c>
    </row>
    <row r="73" spans="1:26" x14ac:dyDescent="0.2">
      <c r="A73">
        <v>187</v>
      </c>
      <c r="B73">
        <v>44693.486364120399</v>
      </c>
      <c r="C73" t="s">
        <v>29</v>
      </c>
      <c r="D73">
        <v>80564.751738280407</v>
      </c>
      <c r="E73">
        <v>13026.7947576406</v>
      </c>
      <c r="F73">
        <v>-352741.40211100498</v>
      </c>
      <c r="G73">
        <v>66962.713641439303</v>
      </c>
      <c r="H73">
        <v>11187</v>
      </c>
      <c r="I73">
        <v>-324977.11831615499</v>
      </c>
      <c r="J73">
        <f t="shared" si="45"/>
        <v>30972</v>
      </c>
      <c r="K73" s="34">
        <f t="shared" si="46"/>
        <v>15282979.950566811</v>
      </c>
      <c r="L73">
        <f t="shared" si="47"/>
        <v>3.0852413610643539</v>
      </c>
      <c r="M73">
        <f t="shared" si="48"/>
        <v>80096.013365521299</v>
      </c>
      <c r="N73">
        <v>37187</v>
      </c>
      <c r="O73">
        <f t="shared" si="49"/>
        <v>6215</v>
      </c>
      <c r="P73">
        <v>0</v>
      </c>
      <c r="Q73" t="b">
        <v>1</v>
      </c>
      <c r="R73">
        <v>-87</v>
      </c>
      <c r="S73" t="b">
        <f>ABS('n estimate'!$O41)-'n estimate'!$P41&lt;0</f>
        <v>0</v>
      </c>
      <c r="T73">
        <v>-41</v>
      </c>
      <c r="U73" s="33">
        <v>1.0993717215589127</v>
      </c>
      <c r="V73">
        <f>D86</f>
        <v>2.4164602120304619</v>
      </c>
      <c r="W73">
        <f t="shared" si="50"/>
        <v>49124.013365521299</v>
      </c>
      <c r="X73">
        <f t="shared" si="51"/>
        <v>749.89420933245651</v>
      </c>
      <c r="Y73" s="34">
        <f t="shared" si="53"/>
        <v>30222.105790667545</v>
      </c>
      <c r="Z73" s="34">
        <f t="shared" si="52"/>
        <v>15252007.950566811</v>
      </c>
    </row>
    <row r="74" spans="1:26" x14ac:dyDescent="0.2">
      <c r="A74">
        <v>207</v>
      </c>
      <c r="B74">
        <v>44693.486738387299</v>
      </c>
      <c r="C74" t="s">
        <v>29</v>
      </c>
      <c r="D74">
        <v>71335.864732837697</v>
      </c>
      <c r="E74">
        <v>12796.990068175301</v>
      </c>
      <c r="F74">
        <v>-360648.30640507402</v>
      </c>
      <c r="G74">
        <v>66962.713641439303</v>
      </c>
      <c r="H74">
        <v>11187</v>
      </c>
      <c r="I74">
        <v>-324977.11831615499</v>
      </c>
      <c r="J74">
        <f t="shared" si="45"/>
        <v>35974</v>
      </c>
      <c r="K74" s="34">
        <f t="shared" si="46"/>
        <v>2320377.4892419321</v>
      </c>
      <c r="L74">
        <f t="shared" si="47"/>
        <v>2.377909253388176</v>
      </c>
      <c r="M74">
        <f t="shared" si="48"/>
        <v>33975.45562010914</v>
      </c>
      <c r="N74">
        <v>36562</v>
      </c>
      <c r="O74">
        <f t="shared" si="49"/>
        <v>588</v>
      </c>
      <c r="P74">
        <v>495</v>
      </c>
      <c r="Q74" t="b">
        <v>1</v>
      </c>
      <c r="R74">
        <v>-78</v>
      </c>
      <c r="S74" t="b">
        <f>ABS('n estimate'!$O45)-'n estimate'!$P45&lt;0</f>
        <v>0</v>
      </c>
      <c r="T74">
        <v>-41</v>
      </c>
      <c r="U74" s="33">
        <v>1.0993717215589127</v>
      </c>
      <c r="V74">
        <f>D86</f>
        <v>2.4164602120304619</v>
      </c>
      <c r="W74">
        <f t="shared" si="50"/>
        <v>1998.54437989086</v>
      </c>
      <c r="X74">
        <f t="shared" si="51"/>
        <v>205.35250264571462</v>
      </c>
      <c r="Y74" s="34">
        <f t="shared" si="53"/>
        <v>35768.647497354286</v>
      </c>
      <c r="Z74" s="34">
        <f t="shared" si="52"/>
        <v>2284403.4892419321</v>
      </c>
    </row>
    <row r="75" spans="1:26" x14ac:dyDescent="0.2">
      <c r="A75">
        <v>232</v>
      </c>
      <c r="B75">
        <v>44693.487285841002</v>
      </c>
      <c r="C75" t="s">
        <v>29</v>
      </c>
      <c r="D75">
        <v>64192.8999953936</v>
      </c>
      <c r="E75">
        <v>12640.6607135671</v>
      </c>
      <c r="F75">
        <v>-353514.88831870101</v>
      </c>
      <c r="G75">
        <v>66962.713641439303</v>
      </c>
      <c r="H75">
        <v>11187</v>
      </c>
      <c r="I75">
        <v>-324977.11831615499</v>
      </c>
      <c r="J75">
        <f t="shared" si="45"/>
        <v>28709</v>
      </c>
      <c r="K75" s="34">
        <f t="shared" si="46"/>
        <v>23234328.866348039</v>
      </c>
      <c r="L75">
        <f t="shared" si="47"/>
        <v>3.2921402788237568</v>
      </c>
      <c r="M75">
        <f t="shared" si="48"/>
        <v>96911.78475172352</v>
      </c>
      <c r="N75">
        <v>37625</v>
      </c>
      <c r="O75">
        <f t="shared" si="49"/>
        <v>8916</v>
      </c>
      <c r="P75">
        <v>0</v>
      </c>
      <c r="Q75" t="b">
        <v>1</v>
      </c>
      <c r="R75">
        <v>-89</v>
      </c>
      <c r="S75" t="b">
        <f>ABS('n estimate'!$O50)-'n estimate'!$P50&lt;0</f>
        <v>1</v>
      </c>
      <c r="T75">
        <v>-41</v>
      </c>
      <c r="U75" s="33">
        <v>1.0993717215589127</v>
      </c>
      <c r="V75">
        <f>D86</f>
        <v>2.4164602120304619</v>
      </c>
      <c r="W75">
        <f t="shared" si="50"/>
        <v>68202.78475172352</v>
      </c>
      <c r="X75">
        <f t="shared" si="51"/>
        <v>1000</v>
      </c>
      <c r="Y75" s="34">
        <f t="shared" si="53"/>
        <v>27709</v>
      </c>
      <c r="Z75" s="34">
        <f t="shared" si="52"/>
        <v>23205619.866348039</v>
      </c>
    </row>
    <row r="80" spans="1:26" x14ac:dyDescent="0.2">
      <c r="C80" t="s">
        <v>39</v>
      </c>
      <c r="D80" t="s">
        <v>42</v>
      </c>
      <c r="E80" t="s">
        <v>41</v>
      </c>
      <c r="F80" t="s">
        <v>43</v>
      </c>
      <c r="G80" t="s">
        <v>44</v>
      </c>
      <c r="H80" t="s">
        <v>45</v>
      </c>
    </row>
    <row r="81" spans="3:8" x14ac:dyDescent="0.2">
      <c r="C81" t="s">
        <v>17</v>
      </c>
      <c r="D81">
        <f>AVERAGE($L$2:$L$11)</f>
        <v>2.2851916131973722</v>
      </c>
      <c r="E81" s="35">
        <v>1.2473015335197626</v>
      </c>
      <c r="F81">
        <f>ROUND(MEDIAN($L$2:$L$11),3)</f>
        <v>2.3820000000000001</v>
      </c>
      <c r="G81">
        <f>ROUND(MIN($L$2:$L$11),3)</f>
        <v>1.631</v>
      </c>
      <c r="H81">
        <f>ROUND(MAX($L$2:$L$11),3)</f>
        <v>2.95</v>
      </c>
    </row>
    <row r="82" spans="3:8" x14ac:dyDescent="0.2">
      <c r="C82" t="s">
        <v>31</v>
      </c>
      <c r="D82">
        <f>AVERAGE($L$13:$L$26)</f>
        <v>2.7934245603185177</v>
      </c>
      <c r="E82" s="35">
        <v>1.1654970933996334</v>
      </c>
      <c r="F82">
        <f>ROUND(MEDIAN($L$13:$L$26),3)</f>
        <v>2.9780000000000002</v>
      </c>
      <c r="G82">
        <f>ROUND(MIN($L$13:$L$26),3)</f>
        <v>1.468</v>
      </c>
      <c r="H82">
        <f>ROUND(MAX($L$13:$L$26),3)</f>
        <v>3.6869999999999998</v>
      </c>
    </row>
    <row r="83" spans="3:8" x14ac:dyDescent="0.2">
      <c r="C83" t="s">
        <v>30</v>
      </c>
      <c r="D83">
        <f>AVERAGE($L$28:$L$38)</f>
        <v>2.7917380713255842</v>
      </c>
      <c r="E83" s="35">
        <v>1.0701624198831508</v>
      </c>
      <c r="F83">
        <f>ROUND(MEDIAN($L$28:$L$38),3)</f>
        <v>2.8029999999999999</v>
      </c>
      <c r="G83">
        <f>ROUND(MIN($L$28:$L$38),3)</f>
        <v>2.0990000000000002</v>
      </c>
      <c r="H83">
        <f>ROUND(MAX($L$28:$L$38),3)</f>
        <v>3.9609999999999999</v>
      </c>
    </row>
    <row r="84" spans="3:8" x14ac:dyDescent="0.2">
      <c r="C84" t="s">
        <v>16</v>
      </c>
      <c r="D84">
        <f>AVERAGE($L$40:$L$51)</f>
        <v>2.8610918957761839</v>
      </c>
      <c r="E84" s="35">
        <v>0.93853514883930855</v>
      </c>
      <c r="F84">
        <f>ROUND(MEDIAN($L$40:$L$51),3)</f>
        <v>2.911</v>
      </c>
      <c r="G84">
        <f>ROUND(MIN($L$40:$L$51),3)</f>
        <v>1.756</v>
      </c>
      <c r="H84">
        <f>ROUND(MAX($L$40:$L$51),3)</f>
        <v>4.0259999999999998</v>
      </c>
    </row>
    <row r="85" spans="3:8" x14ac:dyDescent="0.2">
      <c r="C85" t="s">
        <v>28</v>
      </c>
      <c r="D85">
        <f>AVERAGE($L$53:$L$63)</f>
        <v>2.4998015345946274</v>
      </c>
      <c r="E85" s="35">
        <v>1.4954432495091083</v>
      </c>
      <c r="F85">
        <f>ROUND(MEDIAN($L$53:$L$63),3)</f>
        <v>2.46</v>
      </c>
      <c r="G85">
        <f>ROUND(MIN($L$53:$L$63),3)</f>
        <v>1.8420000000000001</v>
      </c>
      <c r="H85">
        <f>ROUND(MAX($L$53:$L$63),3)</f>
        <v>3.5209999999999999</v>
      </c>
    </row>
    <row r="86" spans="3:8" x14ac:dyDescent="0.2">
      <c r="C86" t="s">
        <v>29</v>
      </c>
      <c r="D86">
        <f>AVERAGE($L$65:$L$75)</f>
        <v>2.4164602120304619</v>
      </c>
      <c r="E86" s="35">
        <v>1.0993717215589127</v>
      </c>
      <c r="F86">
        <f>ROUND(MEDIAN($L$65:$L$75),3)</f>
        <v>2.5190000000000001</v>
      </c>
      <c r="G86">
        <f>ROUND(MIN($L$65:$L$75),3)</f>
        <v>0.91100000000000003</v>
      </c>
      <c r="H86">
        <f>ROUND(MAX($L$65:$L$75),3)</f>
        <v>3.2919999999999998</v>
      </c>
    </row>
  </sheetData>
  <sortState xmlns:xlrd2="http://schemas.microsoft.com/office/spreadsheetml/2017/richdata2" ref="A2:P361">
    <sortCondition ref="C2:C361"/>
  </sortState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7E27C-78E0-42D4-A144-15D4B0447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Export</vt:lpstr>
      <vt:lpstr>n estimate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Tory andersen</cp:lastModifiedBy>
  <cp:revision/>
  <dcterms:created xsi:type="dcterms:W3CDTF">2022-05-19T15:23:45Z</dcterms:created>
  <dcterms:modified xsi:type="dcterms:W3CDTF">2022-06-15T10:02:03Z</dcterms:modified>
  <cp:category/>
  <cp:contentStatus/>
</cp:coreProperties>
</file>