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https://d.docs.live.net/0176e8aca749f2b4/Desktop/statistics/"/>
    </mc:Choice>
  </mc:AlternateContent>
  <xr:revisionPtr revIDLastSave="253" documentId="8_{DFC270E4-FFD6-4880-8603-5E3AD424C178}" xr6:coauthVersionLast="47" xr6:coauthVersionMax="47" xr10:uidLastSave="{E5AA4602-D3FC-4AED-858A-02E9FB60A9A3}"/>
  <bookViews>
    <workbookView xWindow="6000" yWindow="108" windowWidth="17280" windowHeight="9960" xr2:uid="{00000000-000D-0000-FFFF-FFFF00000000}"/>
  </bookViews>
  <sheets>
    <sheet name="Hypothesis testing" sheetId="7" r:id="rId1"/>
    <sheet name="Confidence_Interval for t-dist." sheetId="1" r:id="rId2"/>
    <sheet name="Confidence_Interval for z-dist." sheetId="2" r:id="rId3"/>
    <sheet name="Confidence_Interval_dependent" sheetId="3" r:id="rId4"/>
    <sheet name="CI, indep, var kwn" sheetId="4" r:id="rId5"/>
    <sheet name="CI, indep, var unkwn" sheetId="5" r:id="rId6"/>
    <sheet name="Chi-Squared-distribution" sheetId="6" r:id="rId7"/>
  </sheets>
  <calcPr calcId="191029" concurrentCalc="0"/>
  <fileRecoveryPr autoRecover="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0" i="7" l="1"/>
  <c r="C19" i="7"/>
  <c r="C18" i="7"/>
  <c r="C17" i="7"/>
  <c r="C56" i="5"/>
  <c r="C57" i="5"/>
  <c r="C25" i="5"/>
  <c r="D25" i="5"/>
  <c r="D40" i="4"/>
  <c r="D38" i="4"/>
  <c r="C45" i="5"/>
  <c r="C46" i="5"/>
  <c r="C15" i="6"/>
  <c r="C14" i="6"/>
  <c r="D12" i="6"/>
  <c r="E12" i="6"/>
  <c r="F12" i="6"/>
  <c r="G12" i="6"/>
  <c r="H12" i="6"/>
  <c r="C12" i="6"/>
  <c r="C32" i="5"/>
  <c r="D27" i="5"/>
  <c r="C27" i="5"/>
  <c r="C48" i="5"/>
  <c r="D26" i="5"/>
  <c r="C26" i="5"/>
  <c r="D24" i="5"/>
  <c r="C24" i="5"/>
  <c r="D41" i="4"/>
  <c r="D39" i="4"/>
  <c r="D32" i="4"/>
  <c r="D28" i="4"/>
  <c r="D29" i="4"/>
  <c r="D22" i="4"/>
  <c r="D21" i="4"/>
  <c r="D18" i="4"/>
  <c r="D17" i="4"/>
  <c r="E12" i="4"/>
  <c r="E11" i="4"/>
  <c r="D23" i="4"/>
  <c r="C33" i="3"/>
  <c r="C31" i="3"/>
  <c r="C30" i="3"/>
  <c r="E24" i="3"/>
  <c r="E23" i="3"/>
  <c r="E22" i="3"/>
  <c r="E21" i="3"/>
  <c r="E20" i="3"/>
  <c r="E19" i="3"/>
  <c r="E18" i="3"/>
  <c r="E17" i="3"/>
  <c r="E16" i="3"/>
  <c r="C32" i="3"/>
  <c r="C35" i="3"/>
  <c r="E15" i="3"/>
  <c r="C50" i="2"/>
  <c r="C49" i="2"/>
  <c r="C55" i="2"/>
  <c r="C47" i="2"/>
  <c r="C46" i="2"/>
  <c r="C51" i="2"/>
  <c r="C33" i="1"/>
  <c r="C34" i="1"/>
  <c r="C32" i="1"/>
  <c r="C30" i="1"/>
  <c r="C29" i="1"/>
  <c r="C28" i="1"/>
  <c r="C25" i="1"/>
  <c r="C27" i="1"/>
  <c r="C26" i="1"/>
  <c r="C24" i="1"/>
  <c r="C33" i="5"/>
  <c r="C34" i="5"/>
  <c r="C38" i="5"/>
  <c r="C28" i="5"/>
  <c r="C35" i="5"/>
  <c r="C47" i="5"/>
  <c r="C50" i="5"/>
  <c r="D33" i="4"/>
  <c r="D34" i="4"/>
  <c r="C38" i="3"/>
  <c r="C37" i="3"/>
  <c r="C53" i="2"/>
  <c r="C54" i="2"/>
  <c r="C51" i="5"/>
  <c r="C37" i="5"/>
</calcChain>
</file>

<file path=xl/sharedStrings.xml><?xml version="1.0" encoding="utf-8"?>
<sst xmlns="http://schemas.openxmlformats.org/spreadsheetml/2006/main" count="212" uniqueCount="131">
  <si>
    <t>Confidence intervals, t-score</t>
  </si>
  <si>
    <t>Dataset</t>
  </si>
  <si>
    <t>Background</t>
  </si>
  <si>
    <t>You are given the dataset from the lesson</t>
  </si>
  <si>
    <t>Task 1</t>
  </si>
  <si>
    <t>Calculate the mean and the standard error of the dataset</t>
  </si>
  <si>
    <t>Task 2</t>
  </si>
  <si>
    <t>Task 3</t>
  </si>
  <si>
    <t>Find the appropriate statistic, taking into consideration the degrees of freedom (if applicable) for 99% confidence</t>
  </si>
  <si>
    <t>Task 4</t>
  </si>
  <si>
    <t>Find the 99% confidence interval</t>
  </si>
  <si>
    <t>Determine which statistic to use for inference</t>
  </si>
  <si>
    <t>number of sample</t>
  </si>
  <si>
    <t>average</t>
  </si>
  <si>
    <t>std deviation</t>
  </si>
  <si>
    <t>std error</t>
  </si>
  <si>
    <t>number</t>
  </si>
  <si>
    <t>comment</t>
  </si>
  <si>
    <t>t-value</t>
  </si>
  <si>
    <t>degree of freedom</t>
  </si>
  <si>
    <t>alpha</t>
  </si>
  <si>
    <t>alpha/2</t>
  </si>
  <si>
    <t>Solution:</t>
  </si>
  <si>
    <t>margin of error</t>
  </si>
  <si>
    <t>upper 99% confidence interval</t>
  </si>
  <si>
    <t>lower 99% confidence interval</t>
  </si>
  <si>
    <t>the number of samples is below 30. So, we must assume a normal t-distribution.</t>
  </si>
  <si>
    <t>Confidence intervals. Population known, z-score</t>
  </si>
  <si>
    <t>Data scientist salary</t>
  </si>
  <si>
    <t>You are given the same dataset from the lesson. The population standard deviation is known to be $ 15,000.</t>
  </si>
  <si>
    <t>Calculate the mean and the standard error</t>
  </si>
  <si>
    <t>Find the appropriate z-score for calculating a 90% confidence interval</t>
  </si>
  <si>
    <t>Find the 90% confidence interval</t>
  </si>
  <si>
    <t>Z-value</t>
  </si>
  <si>
    <t>The population std is given and the number of sample is 30 and above. So, it is justified to used z-distribution</t>
  </si>
  <si>
    <t>upper 90% confidence interval</t>
  </si>
  <si>
    <t>lower 90% confidence interval</t>
  </si>
  <si>
    <r>
      <rPr>
        <b/>
        <sz val="9"/>
        <color theme="1"/>
        <rFont val="Arial"/>
        <family val="2"/>
      </rPr>
      <t>population</t>
    </r>
    <r>
      <rPr>
        <sz val="9"/>
        <color theme="1"/>
        <rFont val="Arial"/>
        <family val="2"/>
      </rPr>
      <t xml:space="preserve"> std deviation!</t>
    </r>
  </si>
  <si>
    <r>
      <rPr>
        <b/>
        <sz val="9"/>
        <color theme="1"/>
        <rFont val="Arial"/>
        <family val="2"/>
      </rPr>
      <t>sample</t>
    </r>
    <r>
      <rPr>
        <sz val="9"/>
        <color theme="1"/>
        <rFont val="Arial"/>
        <family val="2"/>
      </rPr>
      <t xml:space="preserve"> std deviation</t>
    </r>
  </si>
  <si>
    <t>100-confidence percent</t>
  </si>
  <si>
    <t>Confidence interval for difference of two means, dependent samples</t>
  </si>
  <si>
    <t>Weight loss example, kg</t>
  </si>
  <si>
    <t>The 365 team has developed a diet and an exercise program for losing weight. It seems that it works like a charm. However, you are interested in how much weight are you likely to lose.</t>
  </si>
  <si>
    <t>You have a sample of 10 people who have already completed the 12-week program.</t>
  </si>
  <si>
    <t>Calculate the mean and standard deviation of the dataset</t>
  </si>
  <si>
    <t>Determine the appropriate statistic to use</t>
  </si>
  <si>
    <t>Calculate the 95% confidence interval</t>
  </si>
  <si>
    <t>Interpret the result</t>
  </si>
  <si>
    <t>Optional</t>
  </si>
  <si>
    <t>You can try to calculate the 90% and 99% confidence intervals to see the difference.</t>
  </si>
  <si>
    <t>Subject</t>
  </si>
  <si>
    <t>Weight before (kg)</t>
  </si>
  <si>
    <t>Weight after (kg)</t>
  </si>
  <si>
    <t>Difference</t>
  </si>
  <si>
    <t>mean</t>
  </si>
  <si>
    <t>std.dev</t>
  </si>
  <si>
    <t>The number of sample is 10, so it is a t-distribution</t>
  </si>
  <si>
    <t>upper confidence interval at 95%</t>
  </si>
  <si>
    <t>lower confidence interval at 95%</t>
  </si>
  <si>
    <t>The diet program DOES have an effect</t>
  </si>
  <si>
    <t>Conclusion: The diet program is effective, and helps people to reduce weight. We are 95% confident that we lose between 6.737 and 11.429 kg of weight, given that we follow the program</t>
  </si>
  <si>
    <t>Confidence interval for the difference of two means. Independent samples, variance known</t>
  </si>
  <si>
    <t>University example</t>
  </si>
  <si>
    <t>You have the dataset from the lesson.</t>
  </si>
  <si>
    <t>Calculate the 99% confidence interval</t>
  </si>
  <si>
    <t>Compare it to the 95% confidence interval from the lesson</t>
  </si>
  <si>
    <t>Engineering</t>
  </si>
  <si>
    <t>Management</t>
  </si>
  <si>
    <t>Size</t>
  </si>
  <si>
    <t>?</t>
  </si>
  <si>
    <t>Sample mean</t>
  </si>
  <si>
    <t>Population std</t>
  </si>
  <si>
    <t>Solution for task 1:</t>
  </si>
  <si>
    <t>level of confidence</t>
  </si>
  <si>
    <t>type of distribution</t>
  </si>
  <si>
    <t xml:space="preserve">z </t>
  </si>
  <si>
    <t>z-value at 99% confidence interval</t>
  </si>
  <si>
    <t>variance of the difference</t>
  </si>
  <si>
    <t>lower confidence interval</t>
  </si>
  <si>
    <t>upper confidence interval</t>
  </si>
  <si>
    <t>Solution for task 2:</t>
  </si>
  <si>
    <t>Other info:</t>
  </si>
  <si>
    <t>lower confidence interval for Engineering</t>
  </si>
  <si>
    <t>upper confidence interval for Engineering</t>
  </si>
  <si>
    <t>Confidence interval for difference of two means; independent samples, variances unknown but assumed to be equal</t>
  </si>
  <si>
    <t>Apples example</t>
  </si>
  <si>
    <t>You have the same datasets from the lesson.</t>
  </si>
  <si>
    <t>Calculate the 90% confidence interval</t>
  </si>
  <si>
    <t>Compare the result with the 95% confidence interval from the lesson</t>
  </si>
  <si>
    <t>NY apples</t>
  </si>
  <si>
    <t>LA apples</t>
  </si>
  <si>
    <t>Mean</t>
  </si>
  <si>
    <t>sample variance</t>
  </si>
  <si>
    <t>sample std deviation</t>
  </si>
  <si>
    <t>difference between the means</t>
  </si>
  <si>
    <t>cofidence level</t>
  </si>
  <si>
    <t>pooled variance</t>
  </si>
  <si>
    <t>cofidence interval</t>
  </si>
  <si>
    <t>Day</t>
  </si>
  <si>
    <t>M</t>
  </si>
  <si>
    <t>T</t>
  </si>
  <si>
    <t>W</t>
  </si>
  <si>
    <t>Th</t>
  </si>
  <si>
    <t>F</t>
  </si>
  <si>
    <t>S</t>
  </si>
  <si>
    <t>Expected%</t>
  </si>
  <si>
    <t>Observed</t>
  </si>
  <si>
    <t>Observed%</t>
  </si>
  <si>
    <t>Chi-Squared</t>
  </si>
  <si>
    <t>lower confidence interval for Management</t>
  </si>
  <si>
    <t>upper confidence interval for Management</t>
  </si>
  <si>
    <t>Is the difference between the two cities statistically significant?</t>
  </si>
  <si>
    <t>We are using t statatistics because the number of sample in each group is below 30</t>
  </si>
  <si>
    <t>T-value</t>
  </si>
  <si>
    <t>p-value</t>
  </si>
  <si>
    <t>As p-value is such a small number, the chance of making type one error is zero! So, we can reject
the null hypothesis, and say that the price of apples in NY is more expensive than LA</t>
  </si>
  <si>
    <t>Very small acording to p-calculator</t>
  </si>
  <si>
    <t>Testing of two means. Independent samples, population variances unknown but assumed to be equal</t>
  </si>
  <si>
    <t>Shopping example</t>
  </si>
  <si>
    <t>You have data on the amount of times people click on a pop-up add on 24 Mondays and 21 Saturdays on an e-learning platform for several years. The samples are drawn independently.</t>
  </si>
  <si>
    <t>Task</t>
  </si>
  <si>
    <t xml:space="preserve">Statistically speaking, is there strong evidence that the number of clicks the add records on Mondays is higher than the number of clicks on Saturdays? </t>
  </si>
  <si>
    <t>Monday</t>
  </si>
  <si>
    <t>Saturday</t>
  </si>
  <si>
    <t>Std. deviation</t>
  </si>
  <si>
    <t>Sample size</t>
  </si>
  <si>
    <t>The number of the samples in both group is below 30 so the t-statistics should be valid</t>
  </si>
  <si>
    <t>pooled valiance</t>
  </si>
  <si>
    <t>standard error</t>
  </si>
  <si>
    <t>p-value associated with this T-value</t>
  </si>
  <si>
    <t>The p-value is not statistically significant 
so we cannot reject the null hypothesis. Therefore, claiming that the clicks on Monday is higher than Saturday is NOT statistically supported (probably leads to type I error)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</si>
</sst>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164" formatCode="_(&quot;$&quot;* #,##0_);_(&quot;$&quot;* \(#,##0\);_(&quot;$&quot;* &quot;-&quot;??_);_(@_)"/>
    <numFmt numFmtId="165" formatCode="0.000"/>
    <numFmt numFmtId="170" formatCode="#,##0.0000"/>
  </numFmts>
  <fonts count="12" x14ac:knownFonts="1">
    <font>
      <sz val="11"/>
      <color theme="1"/>
      <name val="Calibri"/>
      <family val="2"/>
      <scheme val="minor"/>
    </font>
    <font>
      <sz val="11"/>
      <color theme="1"/>
      <name val="Calibri"/>
      <family val="2"/>
      <scheme val="minor"/>
    </font>
    <font>
      <sz val="9"/>
      <color theme="1"/>
      <name val="Arial"/>
      <family val="2"/>
    </font>
    <font>
      <b/>
      <sz val="9"/>
      <color rgb="FF002060"/>
      <name val="Arial"/>
      <family val="2"/>
    </font>
    <font>
      <b/>
      <sz val="12"/>
      <color rgb="FF002060"/>
      <name val="Arial"/>
      <family val="2"/>
    </font>
    <font>
      <sz val="9"/>
      <name val="Arial"/>
      <family val="2"/>
    </font>
    <font>
      <b/>
      <sz val="9"/>
      <color theme="1"/>
      <name val="Arial"/>
      <family val="2"/>
    </font>
    <font>
      <b/>
      <sz val="9"/>
      <color rgb="FFFF0000"/>
      <name val="Arial"/>
      <family val="2"/>
    </font>
    <font>
      <sz val="9"/>
      <color rgb="FF000000"/>
      <name val="Arial"/>
      <family val="2"/>
    </font>
    <font>
      <sz val="9"/>
      <color rgb="FFFF0000"/>
      <name val="Arial"/>
      <family val="2"/>
    </font>
    <font>
      <sz val="11"/>
      <color rgb="FFFF0000"/>
      <name val="Calibri"/>
      <family val="2"/>
      <scheme val="minor"/>
    </font>
    <font>
      <sz val="9"/>
      <color theme="1"/>
      <name val="Calibri"/>
      <family val="2"/>
    </font>
  </fonts>
  <fills count="3">
    <fill>
      <patternFill patternType="none"/>
    </fill>
    <fill>
      <patternFill patternType="gray125"/>
    </fill>
    <fill>
      <patternFill patternType="solid">
        <fgColor theme="0"/>
        <bgColor indexed="64"/>
      </patternFill>
    </fill>
  </fills>
  <borders count="5">
    <border>
      <left/>
      <right/>
      <top/>
      <bottom/>
      <diagonal/>
    </border>
    <border>
      <left/>
      <right/>
      <top/>
      <bottom style="thin">
        <color rgb="FF002060"/>
      </bottom>
      <diagonal/>
    </border>
    <border>
      <left/>
      <right/>
      <top/>
      <bottom style="medium">
        <color rgb="FF002060"/>
      </bottom>
      <diagonal/>
    </border>
    <border>
      <left/>
      <right style="thin">
        <color rgb="FF002060"/>
      </right>
      <top/>
      <bottom/>
      <diagonal/>
    </border>
    <border>
      <left/>
      <right style="thin">
        <color rgb="FF002060"/>
      </right>
      <top/>
      <bottom style="thin">
        <color rgb="FF002060"/>
      </bottom>
      <diagonal/>
    </border>
  </borders>
  <cellStyleXfs count="3">
    <xf numFmtId="0" fontId="0" fillId="0" borderId="0"/>
    <xf numFmtId="44" fontId="1" fillId="0" borderId="0" applyFont="0" applyFill="0" applyBorder="0" applyAlignment="0" applyProtection="0"/>
    <xf numFmtId="9" fontId="1" fillId="0" borderId="0" applyFont="0" applyFill="0" applyBorder="0" applyAlignment="0" applyProtection="0"/>
  </cellStyleXfs>
  <cellXfs count="63">
    <xf numFmtId="0" fontId="0" fillId="0" borderId="0" xfId="0"/>
    <xf numFmtId="0" fontId="2" fillId="2" borderId="0" xfId="0" applyFont="1" applyFill="1"/>
    <xf numFmtId="0" fontId="3" fillId="2" borderId="0" xfId="0" applyFont="1" applyFill="1"/>
    <xf numFmtId="0" fontId="4" fillId="2" borderId="0" xfId="0" applyFont="1" applyFill="1"/>
    <xf numFmtId="0" fontId="3" fillId="2" borderId="2" xfId="0" applyFont="1" applyFill="1" applyBorder="1" applyAlignment="1">
      <alignment horizontal="right"/>
    </xf>
    <xf numFmtId="164" fontId="2" fillId="2" borderId="0" xfId="1" applyNumberFormat="1" applyFont="1" applyFill="1"/>
    <xf numFmtId="164" fontId="2" fillId="2" borderId="1" xfId="1" applyNumberFormat="1" applyFont="1" applyFill="1" applyBorder="1"/>
    <xf numFmtId="0" fontId="3" fillId="2" borderId="0" xfId="0" applyFont="1" applyFill="1" applyAlignment="1">
      <alignment horizontal="right"/>
    </xf>
    <xf numFmtId="164" fontId="2" fillId="2" borderId="0" xfId="1" applyNumberFormat="1" applyFont="1" applyFill="1" applyBorder="1"/>
    <xf numFmtId="9" fontId="3" fillId="2" borderId="0" xfId="2" applyFont="1" applyFill="1" applyBorder="1"/>
    <xf numFmtId="0" fontId="5" fillId="2" borderId="0" xfId="0" applyFont="1" applyFill="1"/>
    <xf numFmtId="9" fontId="2" fillId="2" borderId="0" xfId="0" applyNumberFormat="1" applyFont="1" applyFill="1"/>
    <xf numFmtId="0" fontId="2" fillId="2" borderId="0" xfId="0" applyFont="1" applyFill="1" applyAlignment="1">
      <alignment horizontal="left" vertical="top"/>
    </xf>
    <xf numFmtId="164" fontId="2" fillId="2" borderId="0" xfId="0" applyNumberFormat="1" applyFont="1" applyFill="1" applyAlignment="1">
      <alignment horizontal="left" vertical="top"/>
    </xf>
    <xf numFmtId="0" fontId="6" fillId="2" borderId="0" xfId="0" applyFont="1" applyFill="1" applyAlignment="1">
      <alignment horizontal="left" vertical="top"/>
    </xf>
    <xf numFmtId="164" fontId="6" fillId="2" borderId="0" xfId="1" applyNumberFormat="1" applyFont="1" applyFill="1" applyBorder="1" applyAlignment="1">
      <alignment horizontal="left" vertical="top"/>
    </xf>
    <xf numFmtId="0" fontId="7" fillId="2" borderId="0" xfId="0" applyFont="1" applyFill="1"/>
    <xf numFmtId="164" fontId="8" fillId="2" borderId="0" xfId="1" applyNumberFormat="1" applyFont="1" applyFill="1" applyAlignment="1">
      <alignment horizontal="left" vertical="center" indent="2"/>
    </xf>
    <xf numFmtId="0" fontId="3" fillId="2" borderId="0" xfId="0" applyFont="1" applyFill="1" applyAlignment="1">
      <alignment horizontal="left"/>
    </xf>
    <xf numFmtId="164" fontId="8" fillId="2" borderId="0" xfId="1" applyNumberFormat="1" applyFont="1" applyFill="1" applyBorder="1" applyAlignment="1">
      <alignment horizontal="left" vertical="center" indent="2"/>
    </xf>
    <xf numFmtId="164" fontId="8" fillId="2" borderId="1" xfId="1" applyNumberFormat="1" applyFont="1" applyFill="1" applyBorder="1" applyAlignment="1">
      <alignment horizontal="left" vertical="center" indent="2"/>
    </xf>
    <xf numFmtId="0" fontId="6" fillId="2" borderId="0" xfId="0" applyFont="1" applyFill="1"/>
    <xf numFmtId="2" fontId="2" fillId="2" borderId="0" xfId="0" applyNumberFormat="1" applyFont="1" applyFill="1"/>
    <xf numFmtId="2" fontId="2" fillId="2" borderId="3" xfId="0" applyNumberFormat="1" applyFont="1" applyFill="1" applyBorder="1"/>
    <xf numFmtId="9" fontId="3" fillId="2" borderId="0" xfId="0" applyNumberFormat="1" applyFont="1" applyFill="1"/>
    <xf numFmtId="0" fontId="2" fillId="2" borderId="1" xfId="0" applyFont="1" applyFill="1" applyBorder="1"/>
    <xf numFmtId="2" fontId="2" fillId="2" borderId="1" xfId="0" applyNumberFormat="1" applyFont="1" applyFill="1" applyBorder="1"/>
    <xf numFmtId="2" fontId="2" fillId="2" borderId="4" xfId="0" applyNumberFormat="1" applyFont="1" applyFill="1" applyBorder="1"/>
    <xf numFmtId="0" fontId="9" fillId="2" borderId="0" xfId="0" applyFont="1" applyFill="1"/>
    <xf numFmtId="2" fontId="2" fillId="2" borderId="0" xfId="0" applyNumberFormat="1" applyFont="1" applyFill="1" applyAlignment="1">
      <alignment horizontal="left" vertical="top"/>
    </xf>
    <xf numFmtId="0" fontId="2" fillId="2" borderId="0" xfId="0" applyFont="1" applyFill="1" applyAlignment="1">
      <alignment horizontal="left"/>
    </xf>
    <xf numFmtId="0" fontId="2" fillId="2" borderId="0" xfId="0" applyFont="1" applyFill="1" applyAlignment="1">
      <alignment horizontal="center"/>
    </xf>
    <xf numFmtId="0" fontId="2" fillId="2" borderId="0" xfId="0" applyFont="1" applyFill="1" applyAlignment="1">
      <alignment horizontal="right"/>
    </xf>
    <xf numFmtId="0" fontId="3" fillId="2" borderId="1" xfId="0" applyFont="1" applyFill="1" applyBorder="1"/>
    <xf numFmtId="0" fontId="6" fillId="2" borderId="0" xfId="0" applyFont="1" applyFill="1" applyAlignment="1">
      <alignment horizontal="left"/>
    </xf>
    <xf numFmtId="44" fontId="2" fillId="2" borderId="0" xfId="1" applyFont="1" applyFill="1"/>
    <xf numFmtId="44" fontId="2" fillId="2" borderId="0" xfId="1" applyFont="1" applyFill="1" applyBorder="1"/>
    <xf numFmtId="44" fontId="2" fillId="2" borderId="1" xfId="1" applyFont="1" applyFill="1" applyBorder="1"/>
    <xf numFmtId="44" fontId="2" fillId="2" borderId="0" xfId="0" applyNumberFormat="1" applyFont="1" applyFill="1"/>
    <xf numFmtId="0" fontId="0" fillId="0" borderId="0" xfId="0" applyAlignment="1">
      <alignment horizontal="left" vertical="top"/>
    </xf>
    <xf numFmtId="0" fontId="10" fillId="0" borderId="0" xfId="0" applyFont="1"/>
    <xf numFmtId="0" fontId="2" fillId="2" borderId="0" xfId="0" applyFont="1" applyFill="1" applyAlignment="1">
      <alignment horizontal="center"/>
    </xf>
    <xf numFmtId="0" fontId="2" fillId="2" borderId="0" xfId="0" applyFont="1" applyFill="1" applyAlignment="1">
      <alignment horizontal="left" vertical="top" wrapText="1"/>
    </xf>
    <xf numFmtId="0" fontId="2" fillId="2" borderId="0" xfId="0" applyFont="1" applyFill="1" applyAlignment="1">
      <alignment horizontal="left" vertical="top"/>
    </xf>
    <xf numFmtId="0" fontId="2" fillId="2" borderId="0" xfId="0" applyFont="1" applyFill="1" applyAlignment="1">
      <alignment vertical="center"/>
    </xf>
    <xf numFmtId="44" fontId="2" fillId="2" borderId="0" xfId="0" applyNumberFormat="1" applyFont="1" applyFill="1" applyAlignment="1">
      <alignment vertical="center"/>
    </xf>
    <xf numFmtId="0" fontId="2" fillId="2" borderId="0" xfId="0" applyFont="1" applyFill="1"/>
    <xf numFmtId="0" fontId="0" fillId="0" borderId="0" xfId="0"/>
    <xf numFmtId="49" fontId="2" fillId="2" borderId="0" xfId="0" applyNumberFormat="1" applyFont="1" applyFill="1"/>
    <xf numFmtId="49" fontId="3" fillId="2" borderId="0" xfId="0" applyNumberFormat="1" applyFont="1" applyFill="1"/>
    <xf numFmtId="4" fontId="2" fillId="2" borderId="0" xfId="1" applyNumberFormat="1" applyFont="1" applyFill="1"/>
    <xf numFmtId="49" fontId="5" fillId="2" borderId="0" xfId="0" applyNumberFormat="1" applyFont="1" applyFill="1"/>
    <xf numFmtId="49" fontId="11" fillId="2" borderId="0" xfId="0" applyNumberFormat="1" applyFont="1" applyFill="1"/>
    <xf numFmtId="3" fontId="2" fillId="2" borderId="1" xfId="0" applyNumberFormat="1" applyFont="1" applyFill="1" applyBorder="1"/>
    <xf numFmtId="4" fontId="2" fillId="2" borderId="0" xfId="0" applyNumberFormat="1" applyFont="1" applyFill="1"/>
    <xf numFmtId="165" fontId="2" fillId="2" borderId="0" xfId="0" applyNumberFormat="1" applyFont="1" applyFill="1"/>
    <xf numFmtId="44" fontId="2" fillId="2" borderId="0" xfId="1" applyFont="1" applyFill="1" applyBorder="1" applyAlignment="1"/>
    <xf numFmtId="44" fontId="2" fillId="2" borderId="0" xfId="1" applyFont="1" applyFill="1" applyBorder="1" applyAlignment="1">
      <alignment vertical="top"/>
    </xf>
    <xf numFmtId="0" fontId="2" fillId="2" borderId="0" xfId="0" applyFont="1" applyFill="1" applyAlignment="1">
      <alignment vertical="top"/>
    </xf>
    <xf numFmtId="44" fontId="2" fillId="2" borderId="0" xfId="0" applyNumberFormat="1" applyFont="1" applyFill="1" applyAlignment="1">
      <alignment vertical="top"/>
    </xf>
    <xf numFmtId="3" fontId="2" fillId="2" borderId="0" xfId="0" applyNumberFormat="1" applyFont="1" applyFill="1"/>
    <xf numFmtId="170" fontId="2" fillId="2" borderId="0" xfId="0" applyNumberFormat="1" applyFont="1" applyFill="1"/>
    <xf numFmtId="0" fontId="9" fillId="2" borderId="0" xfId="0" applyFont="1" applyFill="1" applyAlignment="1">
      <alignment wrapText="1"/>
    </xf>
  </cellXfs>
  <cellStyles count="3">
    <cellStyle name="Currency" xfId="1" builtinId="4"/>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6.png"/><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7</xdr:col>
      <xdr:colOff>0</xdr:colOff>
      <xdr:row>8</xdr:row>
      <xdr:rowOff>0</xdr:rowOff>
    </xdr:from>
    <xdr:to>
      <xdr:col>17</xdr:col>
      <xdr:colOff>579689</xdr:colOff>
      <xdr:row>51</xdr:row>
      <xdr:rowOff>76760</xdr:rowOff>
    </xdr:to>
    <xdr:pic>
      <xdr:nvPicPr>
        <xdr:cNvPr id="2" name="Picture 1">
          <a:extLst>
            <a:ext uri="{FF2B5EF4-FFF2-40B4-BE49-F238E27FC236}">
              <a16:creationId xmlns:a16="http://schemas.microsoft.com/office/drawing/2014/main" id="{DD25A202-FE27-E2A5-7FAC-E1E635B238F9}"/>
            </a:ext>
          </a:extLst>
        </xdr:cNvPr>
        <xdr:cNvPicPr>
          <a:picLocks noChangeAspect="1"/>
        </xdr:cNvPicPr>
      </xdr:nvPicPr>
      <xdr:blipFill>
        <a:blip xmlns:r="http://schemas.openxmlformats.org/officeDocument/2006/relationships" r:embed="rId1"/>
        <a:stretch>
          <a:fillRect/>
        </a:stretch>
      </xdr:blipFill>
      <xdr:spPr>
        <a:xfrm>
          <a:off x="6408420" y="1257300"/>
          <a:ext cx="6569009" cy="6462320"/>
        </a:xfrm>
        <a:prstGeom prst="rect">
          <a:avLst/>
        </a:prstGeom>
      </xdr:spPr>
    </xdr:pic>
    <xdr:clientData/>
  </xdr:twoCellAnchor>
  <xdr:twoCellAnchor>
    <xdr:from>
      <xdr:col>8</xdr:col>
      <xdr:colOff>251460</xdr:colOff>
      <xdr:row>23</xdr:row>
      <xdr:rowOff>15240</xdr:rowOff>
    </xdr:from>
    <xdr:to>
      <xdr:col>15</xdr:col>
      <xdr:colOff>281940</xdr:colOff>
      <xdr:row>23</xdr:row>
      <xdr:rowOff>15240</xdr:rowOff>
    </xdr:to>
    <xdr:cxnSp macro="">
      <xdr:nvCxnSpPr>
        <xdr:cNvPr id="4" name="Straight Arrow Connector 3">
          <a:extLst>
            <a:ext uri="{FF2B5EF4-FFF2-40B4-BE49-F238E27FC236}">
              <a16:creationId xmlns:a16="http://schemas.microsoft.com/office/drawing/2014/main" id="{F00CC4B8-EB57-EAA4-156B-7AFD98544A1C}"/>
            </a:ext>
          </a:extLst>
        </xdr:cNvPr>
        <xdr:cNvCxnSpPr/>
      </xdr:nvCxnSpPr>
      <xdr:spPr>
        <a:xfrm>
          <a:off x="8633460" y="3505200"/>
          <a:ext cx="4274820" cy="0"/>
        </a:xfrm>
        <a:prstGeom prst="straightConnector1">
          <a:avLst/>
        </a:prstGeom>
        <a:ln w="38100" cap="flat" cmpd="sng" algn="ctr">
          <a:solidFill>
            <a:schemeClr val="accent2"/>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15</xdr:col>
      <xdr:colOff>228600</xdr:colOff>
      <xdr:row>13</xdr:row>
      <xdr:rowOff>68580</xdr:rowOff>
    </xdr:from>
    <xdr:to>
      <xdr:col>15</xdr:col>
      <xdr:colOff>274320</xdr:colOff>
      <xdr:row>22</xdr:row>
      <xdr:rowOff>91440</xdr:rowOff>
    </xdr:to>
    <xdr:cxnSp macro="">
      <xdr:nvCxnSpPr>
        <xdr:cNvPr id="6" name="Straight Arrow Connector 5">
          <a:extLst>
            <a:ext uri="{FF2B5EF4-FFF2-40B4-BE49-F238E27FC236}">
              <a16:creationId xmlns:a16="http://schemas.microsoft.com/office/drawing/2014/main" id="{F13F4476-172D-433A-8507-6A40E3BE13BB}"/>
            </a:ext>
          </a:extLst>
        </xdr:cNvPr>
        <xdr:cNvCxnSpPr/>
      </xdr:nvCxnSpPr>
      <xdr:spPr>
        <a:xfrm>
          <a:off x="12854940" y="2095500"/>
          <a:ext cx="45720" cy="1341120"/>
        </a:xfrm>
        <a:prstGeom prst="straightConnector1">
          <a:avLst/>
        </a:prstGeom>
        <a:ln w="28575">
          <a:solidFill>
            <a:srgbClr val="FF0000"/>
          </a:solidFill>
          <a:prstDash val="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editAs="oneCell">
    <xdr:from>
      <xdr:col>8</xdr:col>
      <xdr:colOff>0</xdr:colOff>
      <xdr:row>9</xdr:row>
      <xdr:rowOff>0</xdr:rowOff>
    </xdr:from>
    <xdr:to>
      <xdr:col>8</xdr:col>
      <xdr:colOff>304800</xdr:colOff>
      <xdr:row>10</xdr:row>
      <xdr:rowOff>114300</xdr:rowOff>
    </xdr:to>
    <xdr:sp macro="" textlink="">
      <xdr:nvSpPr>
        <xdr:cNvPr id="2051" name="AutoShape 3" descr="Z table negative">
          <a:extLst>
            <a:ext uri="{FF2B5EF4-FFF2-40B4-BE49-F238E27FC236}">
              <a16:creationId xmlns:a16="http://schemas.microsoft.com/office/drawing/2014/main" id="{1B2F2EE3-103E-4BD5-F5DE-EFD482B09F97}"/>
            </a:ext>
          </a:extLst>
        </xdr:cNvPr>
        <xdr:cNvSpPr>
          <a:spLocks noChangeAspect="1" noChangeArrowheads="1"/>
        </xdr:cNvSpPr>
      </xdr:nvSpPr>
      <xdr:spPr bwMode="auto">
        <a:xfrm>
          <a:off x="7726680" y="14020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8</xdr:col>
      <xdr:colOff>0</xdr:colOff>
      <xdr:row>9</xdr:row>
      <xdr:rowOff>0</xdr:rowOff>
    </xdr:from>
    <xdr:to>
      <xdr:col>8</xdr:col>
      <xdr:colOff>304800</xdr:colOff>
      <xdr:row>10</xdr:row>
      <xdr:rowOff>114300</xdr:rowOff>
    </xdr:to>
    <xdr:sp macro="" textlink="">
      <xdr:nvSpPr>
        <xdr:cNvPr id="2052" name="AutoShape 4" descr="Z table negative">
          <a:extLst>
            <a:ext uri="{FF2B5EF4-FFF2-40B4-BE49-F238E27FC236}">
              <a16:creationId xmlns:a16="http://schemas.microsoft.com/office/drawing/2014/main" id="{0B5F3EF4-D704-79A2-4995-1102C4DAAD2F}"/>
            </a:ext>
          </a:extLst>
        </xdr:cNvPr>
        <xdr:cNvSpPr>
          <a:spLocks noChangeAspect="1" noChangeArrowheads="1"/>
        </xdr:cNvSpPr>
      </xdr:nvSpPr>
      <xdr:spPr bwMode="auto">
        <a:xfrm>
          <a:off x="7726680" y="14020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8</xdr:col>
      <xdr:colOff>608818</xdr:colOff>
      <xdr:row>7</xdr:row>
      <xdr:rowOff>33867</xdr:rowOff>
    </xdr:from>
    <xdr:to>
      <xdr:col>16</xdr:col>
      <xdr:colOff>558555</xdr:colOff>
      <xdr:row>45</xdr:row>
      <xdr:rowOff>25400</xdr:rowOff>
    </xdr:to>
    <xdr:pic>
      <xdr:nvPicPr>
        <xdr:cNvPr id="3" name="Picture 2">
          <a:extLst>
            <a:ext uri="{FF2B5EF4-FFF2-40B4-BE49-F238E27FC236}">
              <a16:creationId xmlns:a16="http://schemas.microsoft.com/office/drawing/2014/main" id="{7DBDB848-BAB4-F2E1-2642-08CDBE4BEE18}"/>
            </a:ext>
          </a:extLst>
        </xdr:cNvPr>
        <xdr:cNvPicPr>
          <a:picLocks noChangeAspect="1"/>
        </xdr:cNvPicPr>
      </xdr:nvPicPr>
      <xdr:blipFill>
        <a:blip xmlns:r="http://schemas.openxmlformats.org/officeDocument/2006/relationships" r:embed="rId1"/>
        <a:stretch>
          <a:fillRect/>
        </a:stretch>
      </xdr:blipFill>
      <xdr:spPr>
        <a:xfrm>
          <a:off x="8330418" y="1143000"/>
          <a:ext cx="5283737" cy="5579533"/>
        </a:xfrm>
        <a:prstGeom prst="rect">
          <a:avLst/>
        </a:prstGeom>
      </xdr:spPr>
    </xdr:pic>
    <xdr:clientData/>
  </xdr:twoCellAnchor>
  <xdr:twoCellAnchor>
    <xdr:from>
      <xdr:col>9</xdr:col>
      <xdr:colOff>177800</xdr:colOff>
      <xdr:row>26</xdr:row>
      <xdr:rowOff>110064</xdr:rowOff>
    </xdr:from>
    <xdr:to>
      <xdr:col>12</xdr:col>
      <xdr:colOff>575733</xdr:colOff>
      <xdr:row>26</xdr:row>
      <xdr:rowOff>110064</xdr:rowOff>
    </xdr:to>
    <xdr:cxnSp macro="">
      <xdr:nvCxnSpPr>
        <xdr:cNvPr id="5" name="Straight Arrow Connector 4">
          <a:extLst>
            <a:ext uri="{FF2B5EF4-FFF2-40B4-BE49-F238E27FC236}">
              <a16:creationId xmlns:a16="http://schemas.microsoft.com/office/drawing/2014/main" id="{FED523B8-F52F-B290-592E-4C42802B7982}"/>
            </a:ext>
          </a:extLst>
        </xdr:cNvPr>
        <xdr:cNvCxnSpPr/>
      </xdr:nvCxnSpPr>
      <xdr:spPr>
        <a:xfrm flipH="1">
          <a:off x="8737600" y="4055531"/>
          <a:ext cx="2455333" cy="0"/>
        </a:xfrm>
        <a:prstGeom prst="straightConnector1">
          <a:avLst/>
        </a:prstGeom>
        <a:ln w="2857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592667</xdr:colOff>
      <xdr:row>8</xdr:row>
      <xdr:rowOff>118533</xdr:rowOff>
    </xdr:from>
    <xdr:to>
      <xdr:col>13</xdr:col>
      <xdr:colOff>0</xdr:colOff>
      <xdr:row>26</xdr:row>
      <xdr:rowOff>110066</xdr:rowOff>
    </xdr:to>
    <xdr:cxnSp macro="">
      <xdr:nvCxnSpPr>
        <xdr:cNvPr id="6" name="Straight Arrow Connector 5">
          <a:extLst>
            <a:ext uri="{FF2B5EF4-FFF2-40B4-BE49-F238E27FC236}">
              <a16:creationId xmlns:a16="http://schemas.microsoft.com/office/drawing/2014/main" id="{D9187289-A2C3-4D7F-BA94-A2312D6FD04A}"/>
            </a:ext>
          </a:extLst>
        </xdr:cNvPr>
        <xdr:cNvCxnSpPr/>
      </xdr:nvCxnSpPr>
      <xdr:spPr>
        <a:xfrm flipH="1" flipV="1">
          <a:off x="11209867" y="1371600"/>
          <a:ext cx="16933" cy="2683933"/>
        </a:xfrm>
        <a:prstGeom prst="straightConnector1">
          <a:avLst/>
        </a:prstGeom>
        <a:ln w="2857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editAs="oneCell">
    <xdr:from>
      <xdr:col>7</xdr:col>
      <xdr:colOff>642470</xdr:colOff>
      <xdr:row>20</xdr:row>
      <xdr:rowOff>29882</xdr:rowOff>
    </xdr:from>
    <xdr:to>
      <xdr:col>15</xdr:col>
      <xdr:colOff>592538</xdr:colOff>
      <xdr:row>65</xdr:row>
      <xdr:rowOff>97379</xdr:rowOff>
    </xdr:to>
    <xdr:pic>
      <xdr:nvPicPr>
        <xdr:cNvPr id="2" name="Picture 1">
          <a:extLst>
            <a:ext uri="{FF2B5EF4-FFF2-40B4-BE49-F238E27FC236}">
              <a16:creationId xmlns:a16="http://schemas.microsoft.com/office/drawing/2014/main" id="{D63C774D-4680-4E46-8D94-D90EABAFD618}"/>
            </a:ext>
          </a:extLst>
        </xdr:cNvPr>
        <xdr:cNvPicPr>
          <a:picLocks noChangeAspect="1"/>
        </xdr:cNvPicPr>
      </xdr:nvPicPr>
      <xdr:blipFill>
        <a:blip xmlns:r="http://schemas.openxmlformats.org/officeDocument/2006/relationships" r:embed="rId1"/>
        <a:stretch>
          <a:fillRect/>
        </a:stretch>
      </xdr:blipFill>
      <xdr:spPr>
        <a:xfrm>
          <a:off x="9839810" y="3115982"/>
          <a:ext cx="6564228" cy="6590217"/>
        </a:xfrm>
        <a:prstGeom prst="rect">
          <a:avLst/>
        </a:prstGeom>
      </xdr:spPr>
    </xdr:pic>
    <xdr:clientData/>
  </xdr:twoCellAnchor>
  <xdr:twoCellAnchor>
    <xdr:from>
      <xdr:col>9</xdr:col>
      <xdr:colOff>313765</xdr:colOff>
      <xdr:row>36</xdr:row>
      <xdr:rowOff>67236</xdr:rowOff>
    </xdr:from>
    <xdr:to>
      <xdr:col>12</xdr:col>
      <xdr:colOff>67235</xdr:colOff>
      <xdr:row>36</xdr:row>
      <xdr:rowOff>74706</xdr:rowOff>
    </xdr:to>
    <xdr:cxnSp macro="">
      <xdr:nvCxnSpPr>
        <xdr:cNvPr id="3" name="Straight Arrow Connector 2">
          <a:extLst>
            <a:ext uri="{FF2B5EF4-FFF2-40B4-BE49-F238E27FC236}">
              <a16:creationId xmlns:a16="http://schemas.microsoft.com/office/drawing/2014/main" id="{751C46C6-9BFA-40C5-9778-32B85C597530}"/>
            </a:ext>
          </a:extLst>
        </xdr:cNvPr>
        <xdr:cNvCxnSpPr/>
      </xdr:nvCxnSpPr>
      <xdr:spPr>
        <a:xfrm>
          <a:off x="10638865" y="5477436"/>
          <a:ext cx="3228190" cy="7470"/>
        </a:xfrm>
        <a:prstGeom prst="straightConnector1">
          <a:avLst/>
        </a:prstGeom>
        <a:ln w="28575">
          <a:solidFill>
            <a:srgbClr val="FF0000"/>
          </a:solidFill>
          <a:prstDash val="sysDot"/>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216647</xdr:colOff>
      <xdr:row>26</xdr:row>
      <xdr:rowOff>67236</xdr:rowOff>
    </xdr:from>
    <xdr:to>
      <xdr:col>12</xdr:col>
      <xdr:colOff>224117</xdr:colOff>
      <xdr:row>36</xdr:row>
      <xdr:rowOff>44824</xdr:rowOff>
    </xdr:to>
    <xdr:cxnSp macro="">
      <xdr:nvCxnSpPr>
        <xdr:cNvPr id="4" name="Straight Arrow Connector 3">
          <a:extLst>
            <a:ext uri="{FF2B5EF4-FFF2-40B4-BE49-F238E27FC236}">
              <a16:creationId xmlns:a16="http://schemas.microsoft.com/office/drawing/2014/main" id="{09645EEE-DA49-4CDC-911C-A8DC24FB0E4A}"/>
            </a:ext>
          </a:extLst>
        </xdr:cNvPr>
        <xdr:cNvCxnSpPr/>
      </xdr:nvCxnSpPr>
      <xdr:spPr>
        <a:xfrm>
          <a:off x="14016467" y="4029636"/>
          <a:ext cx="7470" cy="1425388"/>
        </a:xfrm>
        <a:prstGeom prst="straightConnector1">
          <a:avLst/>
        </a:prstGeom>
        <a:ln w="28575">
          <a:solidFill>
            <a:srgbClr val="FF0000"/>
          </a:solidFill>
          <a:prstDash val="sysDot"/>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editAs="oneCell">
    <xdr:from>
      <xdr:col>6</xdr:col>
      <xdr:colOff>0</xdr:colOff>
      <xdr:row>15</xdr:row>
      <xdr:rowOff>0</xdr:rowOff>
    </xdr:from>
    <xdr:to>
      <xdr:col>15</xdr:col>
      <xdr:colOff>171987</xdr:colOff>
      <xdr:row>53</xdr:row>
      <xdr:rowOff>118533</xdr:rowOff>
    </xdr:to>
    <xdr:pic>
      <xdr:nvPicPr>
        <xdr:cNvPr id="2" name="Picture 1">
          <a:extLst>
            <a:ext uri="{FF2B5EF4-FFF2-40B4-BE49-F238E27FC236}">
              <a16:creationId xmlns:a16="http://schemas.microsoft.com/office/drawing/2014/main" id="{2EC9B6CE-F43E-4C09-90AC-A11EA63D3878}"/>
            </a:ext>
          </a:extLst>
        </xdr:cNvPr>
        <xdr:cNvPicPr>
          <a:picLocks noChangeAspect="1"/>
        </xdr:cNvPicPr>
      </xdr:nvPicPr>
      <xdr:blipFill>
        <a:blip xmlns:r="http://schemas.openxmlformats.org/officeDocument/2006/relationships" r:embed="rId1"/>
        <a:stretch>
          <a:fillRect/>
        </a:stretch>
      </xdr:blipFill>
      <xdr:spPr>
        <a:xfrm>
          <a:off x="6134100" y="2316480"/>
          <a:ext cx="5269767" cy="5650653"/>
        </a:xfrm>
        <a:prstGeom prst="rect">
          <a:avLst/>
        </a:prstGeom>
      </xdr:spPr>
    </xdr:pic>
    <xdr:clientData/>
  </xdr:twoCellAnchor>
  <xdr:twoCellAnchor>
    <xdr:from>
      <xdr:col>13</xdr:col>
      <xdr:colOff>365126</xdr:colOff>
      <xdr:row>16</xdr:row>
      <xdr:rowOff>63500</xdr:rowOff>
    </xdr:from>
    <xdr:to>
      <xdr:col>13</xdr:col>
      <xdr:colOff>388938</xdr:colOff>
      <xdr:row>26</xdr:row>
      <xdr:rowOff>71437</xdr:rowOff>
    </xdr:to>
    <xdr:cxnSp macro="">
      <xdr:nvCxnSpPr>
        <xdr:cNvPr id="3" name="Straight Arrow Connector 2">
          <a:extLst>
            <a:ext uri="{FF2B5EF4-FFF2-40B4-BE49-F238E27FC236}">
              <a16:creationId xmlns:a16="http://schemas.microsoft.com/office/drawing/2014/main" id="{8A6EFC21-E62D-445D-A5FF-F0EC1F6621FE}"/>
            </a:ext>
          </a:extLst>
        </xdr:cNvPr>
        <xdr:cNvCxnSpPr/>
      </xdr:nvCxnSpPr>
      <xdr:spPr>
        <a:xfrm flipH="1" flipV="1">
          <a:off x="10377806" y="2532380"/>
          <a:ext cx="23812" cy="1463357"/>
        </a:xfrm>
        <a:prstGeom prst="straightConnector1">
          <a:avLst/>
        </a:prstGeom>
        <a:ln w="2857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388937</xdr:colOff>
      <xdr:row>26</xdr:row>
      <xdr:rowOff>71438</xdr:rowOff>
    </xdr:from>
    <xdr:to>
      <xdr:col>13</xdr:col>
      <xdr:colOff>325437</xdr:colOff>
      <xdr:row>26</xdr:row>
      <xdr:rowOff>103188</xdr:rowOff>
    </xdr:to>
    <xdr:cxnSp macro="">
      <xdr:nvCxnSpPr>
        <xdr:cNvPr id="4" name="Straight Arrow Connector 3">
          <a:extLst>
            <a:ext uri="{FF2B5EF4-FFF2-40B4-BE49-F238E27FC236}">
              <a16:creationId xmlns:a16="http://schemas.microsoft.com/office/drawing/2014/main" id="{ABE9EBC7-36CE-4A0B-84E8-FF9EB0B182BF}"/>
            </a:ext>
          </a:extLst>
        </xdr:cNvPr>
        <xdr:cNvCxnSpPr/>
      </xdr:nvCxnSpPr>
      <xdr:spPr>
        <a:xfrm flipH="1">
          <a:off x="6523037" y="3995738"/>
          <a:ext cx="3815080" cy="31750"/>
        </a:xfrm>
        <a:prstGeom prst="straightConnector1">
          <a:avLst/>
        </a:prstGeom>
        <a:ln w="2857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317500</xdr:colOff>
      <xdr:row>16</xdr:row>
      <xdr:rowOff>111125</xdr:rowOff>
    </xdr:from>
    <xdr:to>
      <xdr:col>12</xdr:col>
      <xdr:colOff>341313</xdr:colOff>
      <xdr:row>32</xdr:row>
      <xdr:rowOff>63500</xdr:rowOff>
    </xdr:to>
    <xdr:cxnSp macro="">
      <xdr:nvCxnSpPr>
        <xdr:cNvPr id="7" name="Straight Arrow Connector 6">
          <a:extLst>
            <a:ext uri="{FF2B5EF4-FFF2-40B4-BE49-F238E27FC236}">
              <a16:creationId xmlns:a16="http://schemas.microsoft.com/office/drawing/2014/main" id="{B9E877F6-9751-4B9A-9B65-C8974197FE45}"/>
            </a:ext>
          </a:extLst>
        </xdr:cNvPr>
        <xdr:cNvCxnSpPr/>
      </xdr:nvCxnSpPr>
      <xdr:spPr>
        <a:xfrm flipH="1" flipV="1">
          <a:off x="9720580" y="2580005"/>
          <a:ext cx="23813" cy="2284095"/>
        </a:xfrm>
        <a:prstGeom prst="straightConnector1">
          <a:avLst/>
        </a:prstGeom>
        <a:ln w="28575">
          <a:solidFill>
            <a:srgbClr val="002060"/>
          </a:solidFill>
          <a:prstDash val="dashDot"/>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357187</xdr:colOff>
      <xdr:row>32</xdr:row>
      <xdr:rowOff>119063</xdr:rowOff>
    </xdr:from>
    <xdr:to>
      <xdr:col>12</xdr:col>
      <xdr:colOff>127000</xdr:colOff>
      <xdr:row>32</xdr:row>
      <xdr:rowOff>119063</xdr:rowOff>
    </xdr:to>
    <xdr:cxnSp macro="">
      <xdr:nvCxnSpPr>
        <xdr:cNvPr id="8" name="Straight Arrow Connector 7">
          <a:extLst>
            <a:ext uri="{FF2B5EF4-FFF2-40B4-BE49-F238E27FC236}">
              <a16:creationId xmlns:a16="http://schemas.microsoft.com/office/drawing/2014/main" id="{A626F1D9-C11A-4FA2-9677-729E96D49E44}"/>
            </a:ext>
          </a:extLst>
        </xdr:cNvPr>
        <xdr:cNvCxnSpPr/>
      </xdr:nvCxnSpPr>
      <xdr:spPr>
        <a:xfrm flipH="1">
          <a:off x="6491287" y="4919663"/>
          <a:ext cx="3038793" cy="0"/>
        </a:xfrm>
        <a:prstGeom prst="straightConnector1">
          <a:avLst/>
        </a:prstGeom>
        <a:ln w="28575">
          <a:solidFill>
            <a:srgbClr val="002060"/>
          </a:solidFill>
          <a:prstDash val="dashDot"/>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8</xdr:col>
      <xdr:colOff>0</xdr:colOff>
      <xdr:row>5</xdr:row>
      <xdr:rowOff>15875</xdr:rowOff>
    </xdr:from>
    <xdr:to>
      <xdr:col>12</xdr:col>
      <xdr:colOff>488238</xdr:colOff>
      <xdr:row>13</xdr:row>
      <xdr:rowOff>120445</xdr:rowOff>
    </xdr:to>
    <xdr:pic>
      <xdr:nvPicPr>
        <xdr:cNvPr id="9" name="Picture 8">
          <a:extLst>
            <a:ext uri="{FF2B5EF4-FFF2-40B4-BE49-F238E27FC236}">
              <a16:creationId xmlns:a16="http://schemas.microsoft.com/office/drawing/2014/main" id="{615E5E5C-6752-48F9-AF13-553422B72DE4}"/>
            </a:ext>
          </a:extLst>
        </xdr:cNvPr>
        <xdr:cNvPicPr>
          <a:picLocks noChangeAspect="1"/>
        </xdr:cNvPicPr>
      </xdr:nvPicPr>
      <xdr:blipFill>
        <a:blip xmlns:r="http://schemas.openxmlformats.org/officeDocument/2006/relationships" r:embed="rId2"/>
        <a:stretch>
          <a:fillRect/>
        </a:stretch>
      </xdr:blipFill>
      <xdr:spPr>
        <a:xfrm>
          <a:off x="7135813" y="809625"/>
          <a:ext cx="2766300" cy="1303133"/>
        </a:xfrm>
        <a:prstGeom prst="rect">
          <a:avLst/>
        </a:prstGeom>
      </xdr:spPr>
    </xdr:pic>
    <xdr:clientData/>
  </xdr:twoCellAnchor>
  <xdr:twoCellAnchor editAs="oneCell">
    <xdr:from>
      <xdr:col>13</xdr:col>
      <xdr:colOff>515938</xdr:colOff>
      <xdr:row>0</xdr:row>
      <xdr:rowOff>23813</xdr:rowOff>
    </xdr:from>
    <xdr:to>
      <xdr:col>22</xdr:col>
      <xdr:colOff>98231</xdr:colOff>
      <xdr:row>15</xdr:row>
      <xdr:rowOff>16073</xdr:rowOff>
    </xdr:to>
    <xdr:pic>
      <xdr:nvPicPr>
        <xdr:cNvPr id="10" name="Picture 9">
          <a:extLst>
            <a:ext uri="{FF2B5EF4-FFF2-40B4-BE49-F238E27FC236}">
              <a16:creationId xmlns:a16="http://schemas.microsoft.com/office/drawing/2014/main" id="{C3A31438-ECBD-4BAF-815C-187EB0212F5B}"/>
            </a:ext>
          </a:extLst>
        </xdr:cNvPr>
        <xdr:cNvPicPr>
          <a:picLocks noChangeAspect="1"/>
        </xdr:cNvPicPr>
      </xdr:nvPicPr>
      <xdr:blipFill>
        <a:blip xmlns:r="http://schemas.openxmlformats.org/officeDocument/2006/relationships" r:embed="rId3"/>
        <a:stretch>
          <a:fillRect/>
        </a:stretch>
      </xdr:blipFill>
      <xdr:spPr>
        <a:xfrm>
          <a:off x="10541001" y="23813"/>
          <a:ext cx="5082980" cy="2286198"/>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18</xdr:col>
      <xdr:colOff>0</xdr:colOff>
      <xdr:row>3</xdr:row>
      <xdr:rowOff>0</xdr:rowOff>
    </xdr:from>
    <xdr:to>
      <xdr:col>22</xdr:col>
      <xdr:colOff>465072</xdr:colOff>
      <xdr:row>9</xdr:row>
      <xdr:rowOff>38183</xdr:rowOff>
    </xdr:to>
    <xdr:pic>
      <xdr:nvPicPr>
        <xdr:cNvPr id="2" name="Picture 1">
          <a:extLst>
            <a:ext uri="{FF2B5EF4-FFF2-40B4-BE49-F238E27FC236}">
              <a16:creationId xmlns:a16="http://schemas.microsoft.com/office/drawing/2014/main" id="{43621AF6-782E-4904-86DB-7E7244A801F5}"/>
            </a:ext>
          </a:extLst>
        </xdr:cNvPr>
        <xdr:cNvPicPr>
          <a:picLocks noChangeAspect="1"/>
        </xdr:cNvPicPr>
      </xdr:nvPicPr>
      <xdr:blipFill>
        <a:blip xmlns:r="http://schemas.openxmlformats.org/officeDocument/2006/relationships" r:embed="rId1"/>
        <a:stretch>
          <a:fillRect/>
        </a:stretch>
      </xdr:blipFill>
      <xdr:spPr>
        <a:xfrm>
          <a:off x="11071860" y="502920"/>
          <a:ext cx="2903472" cy="952583"/>
        </a:xfrm>
        <a:prstGeom prst="rect">
          <a:avLst/>
        </a:prstGeom>
      </xdr:spPr>
    </xdr:pic>
    <xdr:clientData/>
  </xdr:twoCellAnchor>
  <xdr:twoCellAnchor editAs="oneCell">
    <xdr:from>
      <xdr:col>18</xdr:col>
      <xdr:colOff>0</xdr:colOff>
      <xdr:row>10</xdr:row>
      <xdr:rowOff>0</xdr:rowOff>
    </xdr:from>
    <xdr:to>
      <xdr:col>23</xdr:col>
      <xdr:colOff>122195</xdr:colOff>
      <xdr:row>16</xdr:row>
      <xdr:rowOff>68665</xdr:rowOff>
    </xdr:to>
    <xdr:pic>
      <xdr:nvPicPr>
        <xdr:cNvPr id="3" name="Picture 2">
          <a:extLst>
            <a:ext uri="{FF2B5EF4-FFF2-40B4-BE49-F238E27FC236}">
              <a16:creationId xmlns:a16="http://schemas.microsoft.com/office/drawing/2014/main" id="{53F52007-1694-4BF9-8BF6-10975D12A5E2}"/>
            </a:ext>
          </a:extLst>
        </xdr:cNvPr>
        <xdr:cNvPicPr>
          <a:picLocks noChangeAspect="1"/>
        </xdr:cNvPicPr>
      </xdr:nvPicPr>
      <xdr:blipFill>
        <a:blip xmlns:r="http://schemas.openxmlformats.org/officeDocument/2006/relationships" r:embed="rId2"/>
        <a:stretch>
          <a:fillRect/>
        </a:stretch>
      </xdr:blipFill>
      <xdr:spPr>
        <a:xfrm>
          <a:off x="11071860" y="1569720"/>
          <a:ext cx="3170195" cy="975445"/>
        </a:xfrm>
        <a:prstGeom prst="rect">
          <a:avLst/>
        </a:prstGeom>
      </xdr:spPr>
    </xdr:pic>
    <xdr:clientData/>
  </xdr:twoCellAnchor>
  <xdr:twoCellAnchor editAs="oneCell">
    <xdr:from>
      <xdr:col>8</xdr:col>
      <xdr:colOff>0</xdr:colOff>
      <xdr:row>20</xdr:row>
      <xdr:rowOff>0</xdr:rowOff>
    </xdr:from>
    <xdr:to>
      <xdr:col>19</xdr:col>
      <xdr:colOff>236789</xdr:colOff>
      <xdr:row>63</xdr:row>
      <xdr:rowOff>69140</xdr:rowOff>
    </xdr:to>
    <xdr:pic>
      <xdr:nvPicPr>
        <xdr:cNvPr id="4" name="Picture 3">
          <a:extLst>
            <a:ext uri="{FF2B5EF4-FFF2-40B4-BE49-F238E27FC236}">
              <a16:creationId xmlns:a16="http://schemas.microsoft.com/office/drawing/2014/main" id="{E380E665-399E-4296-AECA-8D5394DA974D}"/>
            </a:ext>
          </a:extLst>
        </xdr:cNvPr>
        <xdr:cNvPicPr>
          <a:picLocks noChangeAspect="1"/>
        </xdr:cNvPicPr>
      </xdr:nvPicPr>
      <xdr:blipFill>
        <a:blip xmlns:r="http://schemas.openxmlformats.org/officeDocument/2006/relationships" r:embed="rId3"/>
        <a:stretch>
          <a:fillRect/>
        </a:stretch>
      </xdr:blipFill>
      <xdr:spPr>
        <a:xfrm>
          <a:off x="5349240" y="3063240"/>
          <a:ext cx="6569009" cy="6462320"/>
        </a:xfrm>
        <a:prstGeom prst="rect">
          <a:avLst/>
        </a:prstGeom>
      </xdr:spPr>
    </xdr:pic>
    <xdr:clientData/>
  </xdr:twoCellAnchor>
  <xdr:twoCellAnchor>
    <xdr:from>
      <xdr:col>9</xdr:col>
      <xdr:colOff>220980</xdr:colOff>
      <xdr:row>42</xdr:row>
      <xdr:rowOff>76200</xdr:rowOff>
    </xdr:from>
    <xdr:to>
      <xdr:col>15</xdr:col>
      <xdr:colOff>205740</xdr:colOff>
      <xdr:row>42</xdr:row>
      <xdr:rowOff>83820</xdr:rowOff>
    </xdr:to>
    <xdr:cxnSp macro="">
      <xdr:nvCxnSpPr>
        <xdr:cNvPr id="5" name="Straight Arrow Connector 4">
          <a:extLst>
            <a:ext uri="{FF2B5EF4-FFF2-40B4-BE49-F238E27FC236}">
              <a16:creationId xmlns:a16="http://schemas.microsoft.com/office/drawing/2014/main" id="{246844F8-688E-41C9-8054-5EF7BBD6FAC2}"/>
            </a:ext>
          </a:extLst>
        </xdr:cNvPr>
        <xdr:cNvCxnSpPr/>
      </xdr:nvCxnSpPr>
      <xdr:spPr>
        <a:xfrm flipV="1">
          <a:off x="6179820" y="6324600"/>
          <a:ext cx="3268980" cy="7620"/>
        </a:xfrm>
        <a:prstGeom prst="straightConnector1">
          <a:avLst/>
        </a:prstGeom>
        <a:ln w="38100" cap="flat" cmpd="sng" algn="ctr">
          <a:solidFill>
            <a:schemeClr val="accent2"/>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15</xdr:col>
      <xdr:colOff>304800</xdr:colOff>
      <xdr:row>27</xdr:row>
      <xdr:rowOff>129540</xdr:rowOff>
    </xdr:from>
    <xdr:to>
      <xdr:col>15</xdr:col>
      <xdr:colOff>312420</xdr:colOff>
      <xdr:row>41</xdr:row>
      <xdr:rowOff>121920</xdr:rowOff>
    </xdr:to>
    <xdr:cxnSp macro="">
      <xdr:nvCxnSpPr>
        <xdr:cNvPr id="6" name="Straight Arrow Connector 5">
          <a:extLst>
            <a:ext uri="{FF2B5EF4-FFF2-40B4-BE49-F238E27FC236}">
              <a16:creationId xmlns:a16="http://schemas.microsoft.com/office/drawing/2014/main" id="{6CEA0F16-FED7-46EE-A5C2-1BBA9E923765}"/>
            </a:ext>
          </a:extLst>
        </xdr:cNvPr>
        <xdr:cNvCxnSpPr/>
      </xdr:nvCxnSpPr>
      <xdr:spPr>
        <a:xfrm>
          <a:off x="9547860" y="4206240"/>
          <a:ext cx="7620" cy="2019300"/>
        </a:xfrm>
        <a:prstGeom prst="straightConnector1">
          <a:avLst/>
        </a:prstGeom>
        <a:ln w="28575">
          <a:solidFill>
            <a:srgbClr val="FF0000"/>
          </a:solidFill>
          <a:prstDash val="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441960</xdr:colOff>
      <xdr:row>27</xdr:row>
      <xdr:rowOff>76200</xdr:rowOff>
    </xdr:from>
    <xdr:to>
      <xdr:col>14</xdr:col>
      <xdr:colOff>449580</xdr:colOff>
      <xdr:row>41</xdr:row>
      <xdr:rowOff>68580</xdr:rowOff>
    </xdr:to>
    <xdr:cxnSp macro="">
      <xdr:nvCxnSpPr>
        <xdr:cNvPr id="7" name="Straight Arrow Connector 6">
          <a:extLst>
            <a:ext uri="{FF2B5EF4-FFF2-40B4-BE49-F238E27FC236}">
              <a16:creationId xmlns:a16="http://schemas.microsoft.com/office/drawing/2014/main" id="{EB4A89D3-DF93-4F8F-9E54-A72D711D6280}"/>
            </a:ext>
          </a:extLst>
        </xdr:cNvPr>
        <xdr:cNvCxnSpPr/>
      </xdr:nvCxnSpPr>
      <xdr:spPr>
        <a:xfrm>
          <a:off x="9075420" y="4152900"/>
          <a:ext cx="7620" cy="2019300"/>
        </a:xfrm>
        <a:prstGeom prst="straightConnector1">
          <a:avLst/>
        </a:prstGeom>
        <a:ln w="28575">
          <a:solidFill>
            <a:srgbClr val="FF0000"/>
          </a:solidFill>
          <a:prstDash val="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90156D-B13C-4E7C-B41E-12ED15A0A729}">
  <dimension ref="B1:V23"/>
  <sheetViews>
    <sheetView tabSelected="1" topLeftCell="A8" workbookViewId="0">
      <selection activeCell="B23" sqref="B23"/>
    </sheetView>
  </sheetViews>
  <sheetFormatPr defaultColWidth="8.88671875" defaultRowHeight="11.4" x14ac:dyDescent="0.2"/>
  <cols>
    <col min="1" max="1" width="2" style="1" customWidth="1"/>
    <col min="2" max="2" width="26.6640625" style="1" customWidth="1"/>
    <col min="3" max="3" width="16.109375" style="1" customWidth="1"/>
    <col min="4" max="4" width="9.88671875" style="1" bestFit="1" customWidth="1"/>
    <col min="5" max="5" width="16" style="1" bestFit="1" customWidth="1"/>
    <col min="6" max="6" width="10.88671875" style="1" bestFit="1" customWidth="1"/>
    <col min="7" max="7" width="10" style="1" bestFit="1" customWidth="1"/>
    <col min="8" max="8" width="14.88671875" style="1" bestFit="1" customWidth="1"/>
    <col min="9" max="9" width="6.6640625" style="1" bestFit="1" customWidth="1"/>
    <col min="10" max="10" width="5.6640625" style="1" bestFit="1" customWidth="1"/>
    <col min="11" max="16384" width="8.88671875" style="1"/>
  </cols>
  <sheetData>
    <row r="1" spans="2:22" ht="15.6" x14ac:dyDescent="0.3">
      <c r="B1" s="3" t="s">
        <v>117</v>
      </c>
    </row>
    <row r="2" spans="2:22" ht="12" x14ac:dyDescent="0.25">
      <c r="B2" s="2" t="s">
        <v>118</v>
      </c>
    </row>
    <row r="3" spans="2:22" ht="12" x14ac:dyDescent="0.25">
      <c r="B3" s="2"/>
      <c r="C3" s="46" t="s">
        <v>119</v>
      </c>
      <c r="D3" s="47"/>
      <c r="E3" s="47"/>
      <c r="F3" s="47"/>
      <c r="G3" s="47"/>
      <c r="H3" s="47"/>
      <c r="I3" s="47"/>
      <c r="J3" s="47"/>
      <c r="K3" s="47"/>
      <c r="L3" s="47"/>
      <c r="M3" s="47"/>
      <c r="N3" s="47"/>
      <c r="O3" s="47"/>
      <c r="P3" s="47"/>
      <c r="Q3" s="47"/>
      <c r="R3" s="47"/>
      <c r="S3" s="47"/>
      <c r="T3" s="47"/>
      <c r="U3" s="47"/>
      <c r="V3" s="47"/>
    </row>
    <row r="4" spans="2:22" ht="15" customHeight="1" x14ac:dyDescent="0.25">
      <c r="B4" s="2" t="s">
        <v>2</v>
      </c>
      <c r="C4" s="47"/>
      <c r="D4" s="47"/>
      <c r="E4" s="47"/>
      <c r="F4" s="47"/>
      <c r="G4" s="47"/>
      <c r="H4" s="47"/>
      <c r="I4" s="47"/>
      <c r="J4" s="47"/>
      <c r="K4" s="47"/>
      <c r="L4" s="47"/>
      <c r="M4" s="47"/>
      <c r="N4" s="47"/>
      <c r="O4" s="47"/>
      <c r="P4" s="47"/>
      <c r="Q4" s="47"/>
      <c r="R4" s="47"/>
      <c r="S4" s="47"/>
      <c r="T4" s="47"/>
      <c r="U4" s="47"/>
      <c r="V4" s="47"/>
    </row>
    <row r="5" spans="2:22" ht="12" x14ac:dyDescent="0.25">
      <c r="B5" s="2" t="s">
        <v>120</v>
      </c>
      <c r="C5" s="1" t="s">
        <v>121</v>
      </c>
    </row>
    <row r="6" spans="2:22" ht="12" x14ac:dyDescent="0.25">
      <c r="B6" s="2"/>
    </row>
    <row r="8" spans="2:22" ht="12.6" thickBot="1" x14ac:dyDescent="0.3">
      <c r="B8" s="4"/>
      <c r="C8" s="4" t="s">
        <v>122</v>
      </c>
      <c r="D8" s="4" t="s">
        <v>123</v>
      </c>
      <c r="G8" s="18"/>
      <c r="H8" s="2"/>
      <c r="K8" s="2"/>
      <c r="L8" s="48"/>
      <c r="M8" s="49"/>
      <c r="N8" s="48"/>
      <c r="O8" s="48"/>
    </row>
    <row r="9" spans="2:22" ht="12" x14ac:dyDescent="0.25">
      <c r="B9" s="2" t="s">
        <v>91</v>
      </c>
      <c r="C9" s="50">
        <v>1078</v>
      </c>
      <c r="D9" s="50">
        <v>908.2</v>
      </c>
      <c r="K9" s="2"/>
      <c r="L9" s="48"/>
      <c r="M9" s="51"/>
      <c r="N9" s="48"/>
      <c r="O9" s="48"/>
      <c r="P9" s="48"/>
      <c r="Q9" s="48"/>
      <c r="R9" s="48"/>
      <c r="S9" s="48"/>
    </row>
    <row r="10" spans="2:22" ht="12" x14ac:dyDescent="0.25">
      <c r="B10" s="2" t="s">
        <v>124</v>
      </c>
      <c r="C10" s="50">
        <v>633</v>
      </c>
      <c r="D10" s="50">
        <v>469.8</v>
      </c>
      <c r="K10" s="52"/>
      <c r="L10" s="52"/>
      <c r="M10" s="52"/>
      <c r="N10" s="52"/>
      <c r="O10" s="48"/>
      <c r="P10" s="48"/>
      <c r="Q10" s="48"/>
      <c r="R10" s="48"/>
      <c r="S10" s="48"/>
    </row>
    <row r="11" spans="2:22" ht="12" x14ac:dyDescent="0.25">
      <c r="B11" s="33" t="s">
        <v>125</v>
      </c>
      <c r="C11" s="53">
        <v>24</v>
      </c>
      <c r="D11" s="53">
        <v>21</v>
      </c>
      <c r="L11" s="48"/>
      <c r="M11" s="48"/>
      <c r="N11" s="48"/>
      <c r="O11" s="48"/>
      <c r="P11" s="48"/>
      <c r="Q11" s="48"/>
      <c r="R11" s="48"/>
      <c r="S11" s="48"/>
    </row>
    <row r="12" spans="2:22" ht="12" x14ac:dyDescent="0.25">
      <c r="D12" s="54"/>
      <c r="E12" s="54"/>
      <c r="K12" s="2"/>
      <c r="L12" s="48"/>
      <c r="M12" s="49"/>
      <c r="N12" s="48"/>
      <c r="O12" s="48"/>
      <c r="P12" s="48"/>
      <c r="Q12" s="48"/>
      <c r="R12" s="48"/>
      <c r="S12" s="48"/>
    </row>
    <row r="13" spans="2:22" ht="12" x14ac:dyDescent="0.25">
      <c r="B13" s="28" t="s">
        <v>22</v>
      </c>
      <c r="C13" s="2"/>
      <c r="D13" s="54"/>
      <c r="E13" s="54"/>
      <c r="L13" s="48"/>
      <c r="M13" s="48"/>
      <c r="N13" s="48"/>
      <c r="O13" s="48"/>
      <c r="P13" s="48"/>
      <c r="Q13" s="48"/>
      <c r="R13" s="48"/>
      <c r="S13" s="48"/>
    </row>
    <row r="14" spans="2:22" ht="12" x14ac:dyDescent="0.25">
      <c r="B14" s="1" t="s">
        <v>126</v>
      </c>
      <c r="C14" s="2"/>
      <c r="D14" s="54"/>
      <c r="E14" s="54"/>
      <c r="L14" s="48"/>
      <c r="M14" s="48"/>
      <c r="N14" s="48"/>
      <c r="O14" s="48"/>
      <c r="P14" s="48"/>
      <c r="Q14" s="48"/>
      <c r="R14" s="48"/>
      <c r="S14" s="48"/>
    </row>
    <row r="15" spans="2:22" ht="12" x14ac:dyDescent="0.25">
      <c r="C15" s="2"/>
      <c r="D15" s="54"/>
      <c r="E15" s="54"/>
      <c r="J15" s="2"/>
      <c r="M15" s="2"/>
    </row>
    <row r="16" spans="2:22" ht="12" x14ac:dyDescent="0.25">
      <c r="C16" s="55"/>
      <c r="D16" s="55"/>
      <c r="J16" s="2"/>
    </row>
    <row r="17" spans="2:13" ht="12" x14ac:dyDescent="0.25">
      <c r="B17" s="57" t="s">
        <v>127</v>
      </c>
      <c r="C17" s="57">
        <f>((C11-1)*C10^2+(D11-1)*D10^2)/(C11+D11-2)</f>
        <v>316978.78604651167</v>
      </c>
      <c r="D17" s="56"/>
      <c r="M17" s="2"/>
    </row>
    <row r="18" spans="2:13" x14ac:dyDescent="0.2">
      <c r="B18" s="57" t="s">
        <v>128</v>
      </c>
      <c r="C18" s="57">
        <f>SQRT(C17*(1/C11+1/D11))</f>
        <v>168.23102367156125</v>
      </c>
    </row>
    <row r="19" spans="2:13" ht="12" x14ac:dyDescent="0.25">
      <c r="B19" s="58" t="s">
        <v>113</v>
      </c>
      <c r="C19" s="59">
        <f>(C9-D9)/C18</f>
        <v>1.0093263198083002</v>
      </c>
      <c r="M19" s="2"/>
    </row>
    <row r="20" spans="2:13" x14ac:dyDescent="0.2">
      <c r="B20" s="1" t="s">
        <v>19</v>
      </c>
      <c r="C20" s="60">
        <f>C11+D11-2</f>
        <v>43</v>
      </c>
    </row>
    <row r="21" spans="2:13" ht="12" x14ac:dyDescent="0.25">
      <c r="B21" s="1" t="s">
        <v>129</v>
      </c>
      <c r="C21" s="61">
        <v>0.15907299999999999</v>
      </c>
      <c r="M21" s="2"/>
    </row>
    <row r="22" spans="2:13" ht="91.2" x14ac:dyDescent="0.2">
      <c r="B22" s="62" t="s">
        <v>130</v>
      </c>
    </row>
    <row r="23" spans="2:13" ht="12" x14ac:dyDescent="0.25">
      <c r="M23" s="2"/>
    </row>
  </sheetData>
  <mergeCells count="1">
    <mergeCell ref="C3:V4"/>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K34"/>
  <sheetViews>
    <sheetView topLeftCell="A9" workbookViewId="0">
      <selection activeCell="C34" sqref="C34"/>
    </sheetView>
  </sheetViews>
  <sheetFormatPr defaultRowHeight="11.4" x14ac:dyDescent="0.2"/>
  <cols>
    <col min="1" max="1" width="2" style="1" customWidth="1"/>
    <col min="2" max="2" width="31.88671875" style="1" bestFit="1" customWidth="1"/>
    <col min="3" max="3" width="8.88671875" style="1"/>
    <col min="4" max="4" width="12.33203125" style="1" bestFit="1" customWidth="1"/>
    <col min="5" max="5" width="14" style="1" bestFit="1" customWidth="1"/>
    <col min="6" max="6" width="12.6640625" style="1" bestFit="1" customWidth="1"/>
    <col min="7" max="7" width="32.77734375" style="1" customWidth="1"/>
    <col min="8" max="8" width="7.6640625" style="1" bestFit="1" customWidth="1"/>
    <col min="9" max="9" width="8.5546875" style="1" bestFit="1" customWidth="1"/>
    <col min="10" max="16384" width="8.88671875" style="1"/>
  </cols>
  <sheetData>
    <row r="1" spans="2:11" ht="15.6" x14ac:dyDescent="0.3">
      <c r="B1" s="3" t="s">
        <v>0</v>
      </c>
    </row>
    <row r="3" spans="2:11" ht="12" x14ac:dyDescent="0.25">
      <c r="B3" s="2" t="s">
        <v>2</v>
      </c>
      <c r="C3" s="1" t="s">
        <v>3</v>
      </c>
    </row>
    <row r="4" spans="2:11" ht="12" x14ac:dyDescent="0.25">
      <c r="B4" s="2" t="s">
        <v>4</v>
      </c>
      <c r="C4" s="1" t="s">
        <v>5</v>
      </c>
    </row>
    <row r="5" spans="2:11" ht="12" x14ac:dyDescent="0.25">
      <c r="B5" s="2" t="s">
        <v>6</v>
      </c>
      <c r="C5" s="1" t="s">
        <v>11</v>
      </c>
    </row>
    <row r="6" spans="2:11" ht="12" x14ac:dyDescent="0.25">
      <c r="B6" s="2" t="s">
        <v>7</v>
      </c>
      <c r="C6" s="1" t="s">
        <v>8</v>
      </c>
    </row>
    <row r="7" spans="2:11" ht="12" x14ac:dyDescent="0.25">
      <c r="B7" s="2" t="s">
        <v>9</v>
      </c>
      <c r="C7" s="1" t="s">
        <v>10</v>
      </c>
    </row>
    <row r="8" spans="2:11" ht="12" x14ac:dyDescent="0.25">
      <c r="B8" s="2"/>
    </row>
    <row r="9" spans="2:11" ht="12.6" thickBot="1" x14ac:dyDescent="0.3">
      <c r="B9" s="4" t="s">
        <v>1</v>
      </c>
    </row>
    <row r="10" spans="2:11" ht="12" x14ac:dyDescent="0.25">
      <c r="B10" s="5">
        <v>78000</v>
      </c>
      <c r="C10" s="7"/>
      <c r="D10" s="2"/>
      <c r="I10" s="2"/>
    </row>
    <row r="11" spans="2:11" ht="12" x14ac:dyDescent="0.25">
      <c r="B11" s="5">
        <v>90000</v>
      </c>
      <c r="D11" s="2"/>
    </row>
    <row r="12" spans="2:11" ht="12" x14ac:dyDescent="0.25">
      <c r="B12" s="5">
        <v>75000</v>
      </c>
      <c r="D12" s="2"/>
      <c r="I12" s="7"/>
      <c r="J12" s="7"/>
      <c r="K12" s="7"/>
    </row>
    <row r="13" spans="2:11" ht="12" x14ac:dyDescent="0.25">
      <c r="B13" s="5">
        <v>117000</v>
      </c>
      <c r="C13" s="7"/>
      <c r="I13" s="9"/>
      <c r="J13" s="8"/>
      <c r="K13" s="8"/>
    </row>
    <row r="14" spans="2:11" ht="12" x14ac:dyDescent="0.25">
      <c r="B14" s="5">
        <v>105000</v>
      </c>
      <c r="C14" s="7"/>
      <c r="D14" s="10"/>
    </row>
    <row r="15" spans="2:11" x14ac:dyDescent="0.2">
      <c r="B15" s="5">
        <v>96000</v>
      </c>
    </row>
    <row r="16" spans="2:11" x14ac:dyDescent="0.2">
      <c r="B16" s="5">
        <v>89500</v>
      </c>
      <c r="H16" s="11"/>
    </row>
    <row r="17" spans="2:7" x14ac:dyDescent="0.2">
      <c r="B17" s="5">
        <v>102300</v>
      </c>
    </row>
    <row r="18" spans="2:7" x14ac:dyDescent="0.2">
      <c r="B18" s="6">
        <v>80000</v>
      </c>
    </row>
    <row r="19" spans="2:7" ht="12" x14ac:dyDescent="0.25">
      <c r="C19" s="7"/>
      <c r="D19" s="2"/>
    </row>
    <row r="21" spans="2:7" ht="12" x14ac:dyDescent="0.25">
      <c r="B21" s="16" t="s">
        <v>22</v>
      </c>
    </row>
    <row r="23" spans="2:7" ht="12" x14ac:dyDescent="0.2">
      <c r="C23" s="14" t="s">
        <v>16</v>
      </c>
      <c r="D23" s="14" t="s">
        <v>17</v>
      </c>
    </row>
    <row r="24" spans="2:7" ht="12" x14ac:dyDescent="0.2">
      <c r="B24" s="14" t="s">
        <v>12</v>
      </c>
      <c r="C24" s="12">
        <f>COUNT(B10:B18)</f>
        <v>9</v>
      </c>
      <c r="D24" s="12"/>
      <c r="E24" s="12"/>
      <c r="F24" s="12"/>
      <c r="G24" s="12"/>
    </row>
    <row r="25" spans="2:7" ht="12" x14ac:dyDescent="0.2">
      <c r="B25" s="15" t="s">
        <v>13</v>
      </c>
      <c r="C25" s="12">
        <f>AVERAGE(B10:B18)</f>
        <v>92533.333333333328</v>
      </c>
      <c r="D25" s="12"/>
      <c r="E25" s="12"/>
      <c r="F25" s="12"/>
      <c r="G25" s="12"/>
    </row>
    <row r="26" spans="2:7" ht="12" x14ac:dyDescent="0.2">
      <c r="B26" s="15" t="s">
        <v>14</v>
      </c>
      <c r="C26" s="12">
        <f>_xlfn.STDEV.S(B10:B18)</f>
        <v>13931.887883556916</v>
      </c>
      <c r="D26" s="12" t="s">
        <v>38</v>
      </c>
      <c r="E26" s="12"/>
      <c r="F26" s="12"/>
      <c r="G26" s="12"/>
    </row>
    <row r="27" spans="2:7" ht="12" x14ac:dyDescent="0.2">
      <c r="B27" s="15" t="s">
        <v>15</v>
      </c>
      <c r="C27" s="12">
        <f>C$26/C24^0.5</f>
        <v>4643.9626278523056</v>
      </c>
      <c r="D27" s="12"/>
      <c r="E27" s="12"/>
      <c r="F27" s="12"/>
      <c r="G27" s="12"/>
    </row>
    <row r="28" spans="2:7" ht="12" x14ac:dyDescent="0.2">
      <c r="B28" s="14" t="s">
        <v>19</v>
      </c>
      <c r="C28" s="12">
        <f>C$24-1</f>
        <v>8</v>
      </c>
      <c r="D28" s="12"/>
      <c r="E28" s="12"/>
      <c r="F28" s="12"/>
      <c r="G28" s="12"/>
    </row>
    <row r="29" spans="2:7" ht="12" x14ac:dyDescent="0.2">
      <c r="B29" s="14" t="s">
        <v>20</v>
      </c>
      <c r="C29" s="12">
        <f>1-0.99</f>
        <v>1.0000000000000009E-2</v>
      </c>
      <c r="D29" s="12" t="s">
        <v>39</v>
      </c>
      <c r="E29" s="12"/>
      <c r="F29" s="12"/>
      <c r="G29" s="12"/>
    </row>
    <row r="30" spans="2:7" ht="12" x14ac:dyDescent="0.2">
      <c r="B30" s="14" t="s">
        <v>21</v>
      </c>
      <c r="C30" s="12">
        <f>C29/2</f>
        <v>5.0000000000000044E-3</v>
      </c>
      <c r="D30" s="12"/>
      <c r="E30" s="12"/>
      <c r="F30" s="12"/>
      <c r="G30" s="12"/>
    </row>
    <row r="31" spans="2:7" ht="12" x14ac:dyDescent="0.2">
      <c r="B31" s="14" t="s">
        <v>18</v>
      </c>
      <c r="C31" s="12">
        <v>3.355</v>
      </c>
      <c r="D31" s="12" t="s">
        <v>26</v>
      </c>
      <c r="E31" s="12"/>
      <c r="F31" s="12"/>
      <c r="G31" s="12"/>
    </row>
    <row r="32" spans="2:7" ht="12" x14ac:dyDescent="0.2">
      <c r="B32" s="14" t="s">
        <v>23</v>
      </c>
      <c r="C32" s="12">
        <f>C31*C$27</f>
        <v>15580.494616444485</v>
      </c>
      <c r="D32" s="12"/>
      <c r="E32" s="12"/>
      <c r="F32" s="12"/>
      <c r="G32" s="12"/>
    </row>
    <row r="33" spans="2:7" ht="12" x14ac:dyDescent="0.2">
      <c r="B33" s="14" t="s">
        <v>24</v>
      </c>
      <c r="C33" s="13">
        <f>C$25+C$32</f>
        <v>108113.82794977781</v>
      </c>
      <c r="D33" s="12"/>
      <c r="E33" s="12"/>
      <c r="F33" s="12"/>
      <c r="G33" s="12"/>
    </row>
    <row r="34" spans="2:7" ht="12" x14ac:dyDescent="0.2">
      <c r="B34" s="14" t="s">
        <v>25</v>
      </c>
      <c r="C34" s="13">
        <f>C$25-C$32</f>
        <v>76952.838716888844</v>
      </c>
      <c r="D34" s="12"/>
      <c r="E34" s="12"/>
      <c r="F34" s="12"/>
      <c r="G34" s="12"/>
    </row>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7C834F-26F3-4FF5-90C6-8551ADF87007}">
  <dimension ref="B1:N55"/>
  <sheetViews>
    <sheetView zoomScale="90" zoomScaleNormal="90" workbookViewId="0">
      <selection activeCell="C49" sqref="C49"/>
    </sheetView>
  </sheetViews>
  <sheetFormatPr defaultRowHeight="11.4" x14ac:dyDescent="0.2"/>
  <cols>
    <col min="1" max="1" width="2" style="1" customWidth="1"/>
    <col min="2" max="2" width="54.21875" style="1" bestFit="1" customWidth="1"/>
    <col min="3" max="3" width="8.88671875" style="1"/>
    <col min="4" max="4" width="13.5546875" style="1" bestFit="1" customWidth="1"/>
    <col min="5" max="5" width="12.21875" style="1" bestFit="1" customWidth="1"/>
    <col min="6" max="7" width="8.88671875" style="1"/>
    <col min="8" max="8" width="4" style="1" customWidth="1"/>
    <col min="9" max="10" width="12.21875" style="1" bestFit="1" customWidth="1"/>
    <col min="11" max="16384" width="8.88671875" style="1"/>
  </cols>
  <sheetData>
    <row r="1" spans="2:14" ht="15.6" x14ac:dyDescent="0.3">
      <c r="B1" s="3" t="s">
        <v>27</v>
      </c>
    </row>
    <row r="2" spans="2:14" ht="12" x14ac:dyDescent="0.25">
      <c r="B2" s="2" t="s">
        <v>28</v>
      </c>
    </row>
    <row r="3" spans="2:14" ht="12" x14ac:dyDescent="0.25">
      <c r="B3" s="2"/>
    </row>
    <row r="4" spans="2:14" ht="12" x14ac:dyDescent="0.25">
      <c r="B4" s="2" t="s">
        <v>2</v>
      </c>
      <c r="C4" s="1" t="s">
        <v>29</v>
      </c>
      <c r="G4" s="21"/>
    </row>
    <row r="5" spans="2:14" ht="12" x14ac:dyDescent="0.25">
      <c r="B5" s="2" t="s">
        <v>4</v>
      </c>
      <c r="C5" s="1" t="s">
        <v>30</v>
      </c>
    </row>
    <row r="6" spans="2:14" ht="12" x14ac:dyDescent="0.25">
      <c r="B6" s="2" t="s">
        <v>6</v>
      </c>
      <c r="C6" s="1" t="s">
        <v>31</v>
      </c>
    </row>
    <row r="7" spans="2:14" ht="12" x14ac:dyDescent="0.25">
      <c r="B7" s="2" t="s">
        <v>7</v>
      </c>
      <c r="C7" s="1" t="s">
        <v>32</v>
      </c>
    </row>
    <row r="10" spans="2:14" ht="15" thickBot="1" x14ac:dyDescent="0.35">
      <c r="B10" s="4" t="s">
        <v>1</v>
      </c>
      <c r="I10"/>
    </row>
    <row r="11" spans="2:14" x14ac:dyDescent="0.2">
      <c r="B11" s="17">
        <v>117313</v>
      </c>
    </row>
    <row r="12" spans="2:14" ht="12" x14ac:dyDescent="0.25">
      <c r="B12" s="17">
        <v>104002</v>
      </c>
      <c r="H12" s="18"/>
    </row>
    <row r="13" spans="2:14" x14ac:dyDescent="0.2">
      <c r="B13" s="17">
        <v>113038</v>
      </c>
    </row>
    <row r="14" spans="2:14" ht="12" x14ac:dyDescent="0.25">
      <c r="B14" s="17">
        <v>101936</v>
      </c>
      <c r="C14" s="7"/>
      <c r="D14" s="2"/>
      <c r="E14" s="19"/>
      <c r="H14" s="7"/>
      <c r="I14" s="7"/>
      <c r="J14" s="7"/>
      <c r="N14" s="11"/>
    </row>
    <row r="15" spans="2:14" ht="12" x14ac:dyDescent="0.25">
      <c r="B15" s="17">
        <v>84560</v>
      </c>
      <c r="D15" s="2"/>
      <c r="E15" s="19"/>
      <c r="H15" s="9"/>
      <c r="I15" s="19"/>
      <c r="J15" s="19"/>
    </row>
    <row r="16" spans="2:14" ht="12" x14ac:dyDescent="0.25">
      <c r="B16" s="17">
        <v>113136</v>
      </c>
      <c r="D16" s="2"/>
      <c r="E16" s="19"/>
      <c r="N16" s="11"/>
    </row>
    <row r="17" spans="2:4" x14ac:dyDescent="0.2">
      <c r="B17" s="17">
        <v>80740</v>
      </c>
    </row>
    <row r="18" spans="2:4" ht="12" x14ac:dyDescent="0.25">
      <c r="B18" s="17">
        <v>100536</v>
      </c>
      <c r="C18" s="7"/>
      <c r="D18" s="2"/>
    </row>
    <row r="19" spans="2:4" ht="12" x14ac:dyDescent="0.25">
      <c r="B19" s="17">
        <v>105052</v>
      </c>
      <c r="D19" s="2"/>
    </row>
    <row r="20" spans="2:4" x14ac:dyDescent="0.2">
      <c r="B20" s="17">
        <v>87201</v>
      </c>
    </row>
    <row r="21" spans="2:4" x14ac:dyDescent="0.2">
      <c r="B21" s="17">
        <v>91986</v>
      </c>
    </row>
    <row r="22" spans="2:4" x14ac:dyDescent="0.2">
      <c r="B22" s="17">
        <v>94868</v>
      </c>
    </row>
    <row r="23" spans="2:4" x14ac:dyDescent="0.2">
      <c r="B23" s="17">
        <v>90745</v>
      </c>
    </row>
    <row r="24" spans="2:4" x14ac:dyDescent="0.2">
      <c r="B24" s="17">
        <v>102848</v>
      </c>
    </row>
    <row r="25" spans="2:4" x14ac:dyDescent="0.2">
      <c r="B25" s="17">
        <v>85927</v>
      </c>
    </row>
    <row r="26" spans="2:4" x14ac:dyDescent="0.2">
      <c r="B26" s="17">
        <v>112276</v>
      </c>
    </row>
    <row r="27" spans="2:4" x14ac:dyDescent="0.2">
      <c r="B27" s="17">
        <v>108637</v>
      </c>
    </row>
    <row r="28" spans="2:4" x14ac:dyDescent="0.2">
      <c r="B28" s="17">
        <v>96818</v>
      </c>
    </row>
    <row r="29" spans="2:4" x14ac:dyDescent="0.2">
      <c r="B29" s="17">
        <v>92307</v>
      </c>
    </row>
    <row r="30" spans="2:4" x14ac:dyDescent="0.2">
      <c r="B30" s="17">
        <v>114564</v>
      </c>
    </row>
    <row r="31" spans="2:4" x14ac:dyDescent="0.2">
      <c r="B31" s="17">
        <v>109714</v>
      </c>
    </row>
    <row r="32" spans="2:4" x14ac:dyDescent="0.2">
      <c r="B32" s="17">
        <v>108833</v>
      </c>
    </row>
    <row r="33" spans="2:5" x14ac:dyDescent="0.2">
      <c r="B33" s="17">
        <v>115295</v>
      </c>
    </row>
    <row r="34" spans="2:5" x14ac:dyDescent="0.2">
      <c r="B34" s="17">
        <v>89279</v>
      </c>
    </row>
    <row r="35" spans="2:5" x14ac:dyDescent="0.2">
      <c r="B35" s="17">
        <v>81720</v>
      </c>
    </row>
    <row r="36" spans="2:5" x14ac:dyDescent="0.2">
      <c r="B36" s="17">
        <v>89344</v>
      </c>
    </row>
    <row r="37" spans="2:5" x14ac:dyDescent="0.2">
      <c r="B37" s="17">
        <v>114426</v>
      </c>
    </row>
    <row r="38" spans="2:5" x14ac:dyDescent="0.2">
      <c r="B38" s="17">
        <v>90410</v>
      </c>
    </row>
    <row r="39" spans="2:5" x14ac:dyDescent="0.2">
      <c r="B39" s="17">
        <v>95118</v>
      </c>
    </row>
    <row r="40" spans="2:5" x14ac:dyDescent="0.2">
      <c r="B40" s="20">
        <v>113382</v>
      </c>
    </row>
    <row r="43" spans="2:5" ht="12" x14ac:dyDescent="0.25">
      <c r="B43" s="16" t="s">
        <v>22</v>
      </c>
    </row>
    <row r="45" spans="2:5" ht="12" x14ac:dyDescent="0.2">
      <c r="C45" s="14" t="s">
        <v>16</v>
      </c>
      <c r="D45" s="14" t="s">
        <v>17</v>
      </c>
    </row>
    <row r="46" spans="2:5" ht="12" x14ac:dyDescent="0.2">
      <c r="B46" s="14" t="s">
        <v>12</v>
      </c>
      <c r="C46" s="12">
        <f>COUNT(B11:B40)</f>
        <v>30</v>
      </c>
      <c r="D46" s="12"/>
      <c r="E46" s="12"/>
    </row>
    <row r="47" spans="2:5" ht="12" x14ac:dyDescent="0.2">
      <c r="B47" s="15" t="s">
        <v>13</v>
      </c>
      <c r="C47" s="12">
        <f>AVERAGE(B11:B40)</f>
        <v>100200.36666666667</v>
      </c>
      <c r="D47" s="12"/>
      <c r="E47" s="12"/>
    </row>
    <row r="48" spans="2:5" ht="12" x14ac:dyDescent="0.2">
      <c r="B48" s="15" t="s">
        <v>14</v>
      </c>
      <c r="C48" s="12">
        <v>15000</v>
      </c>
      <c r="D48" s="12" t="s">
        <v>37</v>
      </c>
      <c r="E48" s="12"/>
    </row>
    <row r="49" spans="2:5" ht="12" x14ac:dyDescent="0.2">
      <c r="B49" s="15" t="s">
        <v>15</v>
      </c>
      <c r="C49" s="12">
        <f>C$48/C$46^0.5</f>
        <v>2738.6127875258308</v>
      </c>
      <c r="D49" s="12"/>
      <c r="E49" s="12"/>
    </row>
    <row r="50" spans="2:5" ht="12" x14ac:dyDescent="0.2">
      <c r="B50" s="14" t="s">
        <v>20</v>
      </c>
      <c r="C50" s="12">
        <f>1-0.9</f>
        <v>9.9999999999999978E-2</v>
      </c>
      <c r="D50" s="12" t="s">
        <v>39</v>
      </c>
      <c r="E50" s="12"/>
    </row>
    <row r="51" spans="2:5" ht="12" x14ac:dyDescent="0.2">
      <c r="B51" s="14" t="s">
        <v>21</v>
      </c>
      <c r="C51" s="12">
        <f>C50/2</f>
        <v>4.9999999999999989E-2</v>
      </c>
      <c r="D51" s="12"/>
      <c r="E51" s="12"/>
    </row>
    <row r="52" spans="2:5" ht="12" x14ac:dyDescent="0.2">
      <c r="B52" s="14" t="s">
        <v>33</v>
      </c>
      <c r="C52" s="12">
        <v>1.645</v>
      </c>
      <c r="D52" s="12" t="s">
        <v>34</v>
      </c>
      <c r="E52" s="12"/>
    </row>
    <row r="53" spans="2:5" ht="12" x14ac:dyDescent="0.2">
      <c r="B53" s="14" t="s">
        <v>23</v>
      </c>
      <c r="C53" s="12">
        <f>C$52*C$49</f>
        <v>4505.0180354799913</v>
      </c>
      <c r="D53" s="12"/>
      <c r="E53" s="12"/>
    </row>
    <row r="54" spans="2:5" ht="12" x14ac:dyDescent="0.2">
      <c r="B54" s="14" t="s">
        <v>35</v>
      </c>
      <c r="C54" s="12">
        <f>C$47+C$52*C$49</f>
        <v>104705.38470214666</v>
      </c>
      <c r="D54" s="12"/>
      <c r="E54" s="12"/>
    </row>
    <row r="55" spans="2:5" ht="12" x14ac:dyDescent="0.2">
      <c r="B55" s="14" t="s">
        <v>36</v>
      </c>
      <c r="C55" s="12">
        <f>C$47-C$52*C$49</f>
        <v>95695.348631186673</v>
      </c>
      <c r="D55" s="12"/>
      <c r="E55" s="12"/>
    </row>
  </sheetData>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C9A30C-74F1-42AC-9F0C-5ACB62AF59B3}">
  <dimension ref="B1:M40"/>
  <sheetViews>
    <sheetView zoomScale="102" zoomScaleNormal="102" workbookViewId="0">
      <selection activeCell="B41" sqref="B41"/>
    </sheetView>
  </sheetViews>
  <sheetFormatPr defaultRowHeight="11.4" x14ac:dyDescent="0.2"/>
  <cols>
    <col min="1" max="1" width="2" style="1" customWidth="1"/>
    <col min="2" max="2" width="74.44140625" style="1" bestFit="1" customWidth="1"/>
    <col min="3" max="3" width="15.5546875" style="1" customWidth="1"/>
    <col min="4" max="4" width="14.33203125" style="1" customWidth="1"/>
    <col min="5" max="6" width="9.44140625" style="1" customWidth="1"/>
    <col min="7" max="7" width="8.88671875" style="1"/>
    <col min="8" max="8" width="11.109375" style="1" customWidth="1"/>
    <col min="9" max="9" width="5.33203125" style="1" customWidth="1"/>
    <col min="10" max="10" width="33.5546875" style="1" customWidth="1"/>
    <col min="11" max="11" width="11.5546875" style="1" customWidth="1"/>
    <col min="12" max="12" width="5.5546875" style="1" customWidth="1"/>
    <col min="13" max="13" width="11.5546875" style="1" customWidth="1"/>
    <col min="14" max="16384" width="8.88671875" style="1"/>
  </cols>
  <sheetData>
    <row r="1" spans="2:11" ht="15.6" x14ac:dyDescent="0.3">
      <c r="B1" s="3" t="s">
        <v>40</v>
      </c>
      <c r="C1" s="3"/>
    </row>
    <row r="2" spans="2:11" ht="12" x14ac:dyDescent="0.25">
      <c r="B2" s="2" t="s">
        <v>41</v>
      </c>
    </row>
    <row r="4" spans="2:11" ht="12" x14ac:dyDescent="0.25">
      <c r="B4" s="2" t="s">
        <v>2</v>
      </c>
      <c r="C4" s="1" t="s">
        <v>42</v>
      </c>
    </row>
    <row r="5" spans="2:11" ht="12" x14ac:dyDescent="0.25">
      <c r="B5" s="2"/>
      <c r="C5" s="1" t="s">
        <v>43</v>
      </c>
    </row>
    <row r="6" spans="2:11" ht="12" x14ac:dyDescent="0.25">
      <c r="B6" s="2" t="s">
        <v>4</v>
      </c>
      <c r="C6" s="1" t="s">
        <v>44</v>
      </c>
    </row>
    <row r="7" spans="2:11" ht="12" x14ac:dyDescent="0.25">
      <c r="B7" s="2" t="s">
        <v>6</v>
      </c>
      <c r="C7" s="1" t="s">
        <v>45</v>
      </c>
    </row>
    <row r="8" spans="2:11" ht="12" x14ac:dyDescent="0.25">
      <c r="B8" s="2" t="s">
        <v>7</v>
      </c>
      <c r="C8" s="1" t="s">
        <v>46</v>
      </c>
    </row>
    <row r="9" spans="2:11" ht="12" x14ac:dyDescent="0.25">
      <c r="B9" s="2" t="s">
        <v>9</v>
      </c>
      <c r="C9" s="1" t="s">
        <v>47</v>
      </c>
    </row>
    <row r="10" spans="2:11" ht="12" x14ac:dyDescent="0.25">
      <c r="B10" s="2" t="s">
        <v>48</v>
      </c>
      <c r="C10" s="1" t="s">
        <v>49</v>
      </c>
    </row>
    <row r="11" spans="2:11" ht="12" x14ac:dyDescent="0.25">
      <c r="B11" s="2"/>
    </row>
    <row r="12" spans="2:11" ht="12" x14ac:dyDescent="0.25">
      <c r="B12" s="2"/>
    </row>
    <row r="14" spans="2:11" ht="12.6" thickBot="1" x14ac:dyDescent="0.3">
      <c r="B14" s="4" t="s">
        <v>50</v>
      </c>
      <c r="C14" s="4" t="s">
        <v>51</v>
      </c>
      <c r="D14" s="4" t="s">
        <v>52</v>
      </c>
      <c r="E14" s="4" t="s">
        <v>53</v>
      </c>
      <c r="F14" s="7"/>
    </row>
    <row r="15" spans="2:11" ht="12" x14ac:dyDescent="0.25">
      <c r="B15" s="1">
        <v>1</v>
      </c>
      <c r="C15" s="22">
        <v>103.67999991305493</v>
      </c>
      <c r="D15" s="23">
        <v>92.869999922120087</v>
      </c>
      <c r="E15" s="22">
        <f t="shared" ref="E15:E24" si="0">D15-C15</f>
        <v>-10.809999990934841</v>
      </c>
      <c r="F15" s="22"/>
      <c r="G15" s="2"/>
      <c r="H15" s="2"/>
      <c r="I15" s="22"/>
      <c r="K15" s="2"/>
    </row>
    <row r="16" spans="2:11" ht="12" x14ac:dyDescent="0.25">
      <c r="B16" s="1">
        <v>2</v>
      </c>
      <c r="C16" s="22">
        <v>110.67999990718481</v>
      </c>
      <c r="D16" s="23">
        <v>101.57999991481596</v>
      </c>
      <c r="E16" s="22">
        <f t="shared" si="0"/>
        <v>-9.0999999923688506</v>
      </c>
      <c r="F16" s="22"/>
      <c r="H16" s="2"/>
      <c r="I16" s="22"/>
    </row>
    <row r="17" spans="2:13" ht="12" x14ac:dyDescent="0.25">
      <c r="B17" s="1">
        <v>3</v>
      </c>
      <c r="C17" s="22">
        <v>119.04999990016579</v>
      </c>
      <c r="D17" s="23">
        <v>105.65999991139452</v>
      </c>
      <c r="E17" s="22">
        <f t="shared" si="0"/>
        <v>-13.389999988771265</v>
      </c>
      <c r="F17" s="22"/>
      <c r="K17" s="2"/>
      <c r="L17" s="22"/>
    </row>
    <row r="18" spans="2:13" ht="12" x14ac:dyDescent="0.25">
      <c r="B18" s="1">
        <v>4</v>
      </c>
      <c r="C18" s="22">
        <v>101.74999991467341</v>
      </c>
      <c r="D18" s="23">
        <v>96.179999919344354</v>
      </c>
      <c r="E18" s="22">
        <f t="shared" si="0"/>
        <v>-5.5699999953290558</v>
      </c>
      <c r="F18" s="22"/>
      <c r="G18" s="2"/>
      <c r="H18" s="10"/>
    </row>
    <row r="19" spans="2:13" ht="12" x14ac:dyDescent="0.25">
      <c r="B19" s="1">
        <v>5</v>
      </c>
      <c r="C19" s="22">
        <v>91.689999923109625</v>
      </c>
      <c r="D19" s="23">
        <v>86.969999927067775</v>
      </c>
      <c r="E19" s="22">
        <f t="shared" si="0"/>
        <v>-4.7199999960418495</v>
      </c>
      <c r="F19" s="22"/>
      <c r="K19" s="7"/>
      <c r="L19" s="7"/>
      <c r="M19" s="7"/>
    </row>
    <row r="20" spans="2:13" ht="12" x14ac:dyDescent="0.25">
      <c r="B20" s="1">
        <v>6</v>
      </c>
      <c r="C20" s="22">
        <v>112.02999990605269</v>
      </c>
      <c r="D20" s="23">
        <v>105.89999991119326</v>
      </c>
      <c r="E20" s="22">
        <f t="shared" si="0"/>
        <v>-6.1299999948594319</v>
      </c>
      <c r="F20" s="22"/>
      <c r="K20" s="24"/>
      <c r="L20" s="22"/>
      <c r="M20" s="22"/>
    </row>
    <row r="21" spans="2:13" x14ac:dyDescent="0.2">
      <c r="B21" s="1">
        <v>7</v>
      </c>
      <c r="C21" s="22">
        <v>88.839999925499612</v>
      </c>
      <c r="D21" s="23">
        <v>80.559999932443148</v>
      </c>
      <c r="E21" s="22">
        <f t="shared" si="0"/>
        <v>-8.2799999930564638</v>
      </c>
      <c r="F21" s="22"/>
    </row>
    <row r="22" spans="2:13" x14ac:dyDescent="0.2">
      <c r="B22" s="1">
        <v>8</v>
      </c>
      <c r="C22" s="22">
        <v>105.17999991179704</v>
      </c>
      <c r="D22" s="23">
        <v>96.999999918656712</v>
      </c>
      <c r="E22" s="22">
        <f t="shared" si="0"/>
        <v>-8.1799999931403278</v>
      </c>
      <c r="F22" s="22"/>
    </row>
    <row r="23" spans="2:13" ht="12" x14ac:dyDescent="0.25">
      <c r="B23" s="1">
        <v>9</v>
      </c>
      <c r="C23" s="22">
        <v>110.36999990744475</v>
      </c>
      <c r="D23" s="23">
        <v>99.269999916753108</v>
      </c>
      <c r="E23" s="22">
        <f t="shared" si="0"/>
        <v>-11.099999990691643</v>
      </c>
      <c r="F23" s="22"/>
      <c r="K23" s="2"/>
    </row>
    <row r="24" spans="2:13" x14ac:dyDescent="0.2">
      <c r="B24" s="25">
        <v>10</v>
      </c>
      <c r="C24" s="26">
        <v>120.98999989853891</v>
      </c>
      <c r="D24" s="27">
        <v>107.43999990990181</v>
      </c>
      <c r="E24" s="26">
        <f t="shared" si="0"/>
        <v>-13.549999988637097</v>
      </c>
      <c r="F24" s="22"/>
    </row>
    <row r="28" spans="2:13" x14ac:dyDescent="0.2">
      <c r="B28" s="28" t="s">
        <v>22</v>
      </c>
    </row>
    <row r="30" spans="2:13" x14ac:dyDescent="0.2">
      <c r="B30" s="12" t="s">
        <v>54</v>
      </c>
      <c r="C30" s="29">
        <f>AVERAGE(E15:E24)</f>
        <v>-9.0829999923830833</v>
      </c>
      <c r="D30" s="12"/>
      <c r="E30" s="12"/>
      <c r="F30" s="12"/>
      <c r="G30" s="12"/>
    </row>
    <row r="31" spans="2:13" x14ac:dyDescent="0.2">
      <c r="B31" s="12" t="s">
        <v>55</v>
      </c>
      <c r="C31" s="12">
        <f>_xlfn.STDEV.S(E15:E24)</f>
        <v>3.1111414456558117</v>
      </c>
      <c r="D31" s="12"/>
      <c r="E31" s="12"/>
      <c r="F31" s="12"/>
      <c r="G31" s="12"/>
    </row>
    <row r="32" spans="2:13" x14ac:dyDescent="0.2">
      <c r="B32" s="12" t="s">
        <v>16</v>
      </c>
      <c r="C32" s="12">
        <f>COUNT(E15:E24)</f>
        <v>10</v>
      </c>
      <c r="D32" s="12" t="s">
        <v>56</v>
      </c>
      <c r="E32" s="12"/>
      <c r="F32" s="12"/>
      <c r="G32" s="12"/>
    </row>
    <row r="33" spans="2:7" x14ac:dyDescent="0.2">
      <c r="B33" s="30" t="s">
        <v>20</v>
      </c>
      <c r="C33" s="30">
        <f>1-0.95</f>
        <v>5.0000000000000044E-2</v>
      </c>
      <c r="D33" s="30"/>
      <c r="E33" s="30"/>
      <c r="F33" s="30"/>
      <c r="G33" s="30"/>
    </row>
    <row r="34" spans="2:7" x14ac:dyDescent="0.2">
      <c r="B34" s="30" t="s">
        <v>21</v>
      </c>
      <c r="C34" s="30">
        <v>2.5000000000000001E-2</v>
      </c>
      <c r="D34" s="30"/>
      <c r="E34" s="30"/>
      <c r="F34" s="30"/>
      <c r="G34" s="30"/>
    </row>
    <row r="35" spans="2:7" x14ac:dyDescent="0.2">
      <c r="B35" s="30" t="s">
        <v>19</v>
      </c>
      <c r="C35" s="30">
        <f>C32-1</f>
        <v>9</v>
      </c>
      <c r="D35" s="30"/>
      <c r="E35" s="30"/>
      <c r="F35" s="30"/>
      <c r="G35" s="30"/>
    </row>
    <row r="36" spans="2:7" x14ac:dyDescent="0.2">
      <c r="B36" s="30" t="s">
        <v>18</v>
      </c>
      <c r="C36" s="30">
        <v>2.262</v>
      </c>
      <c r="D36" s="30"/>
      <c r="E36" s="30"/>
      <c r="F36" s="30"/>
      <c r="G36" s="30"/>
    </row>
    <row r="37" spans="2:7" x14ac:dyDescent="0.2">
      <c r="B37" s="30" t="s">
        <v>57</v>
      </c>
      <c r="C37" s="30">
        <f>C$30+C$36*C$31/C$35^0.5</f>
        <v>-6.7371993423586005</v>
      </c>
      <c r="D37" s="30"/>
      <c r="E37" s="30"/>
      <c r="F37" s="30"/>
      <c r="G37" s="30"/>
    </row>
    <row r="38" spans="2:7" x14ac:dyDescent="0.2">
      <c r="B38" s="30" t="s">
        <v>58</v>
      </c>
      <c r="C38" s="30">
        <f>C$30-C$36*C$31/C$35^0.5</f>
        <v>-11.428800642407566</v>
      </c>
      <c r="D38" s="30" t="s">
        <v>59</v>
      </c>
      <c r="E38" s="30"/>
      <c r="F38" s="30"/>
      <c r="G38" s="30"/>
    </row>
    <row r="39" spans="2:7" x14ac:dyDescent="0.2">
      <c r="B39" s="30"/>
      <c r="C39" s="30"/>
      <c r="D39" s="30"/>
      <c r="E39" s="30"/>
      <c r="F39" s="30"/>
      <c r="G39" s="30"/>
    </row>
    <row r="40" spans="2:7" x14ac:dyDescent="0.2">
      <c r="B40" s="30" t="s">
        <v>60</v>
      </c>
      <c r="C40" s="30"/>
      <c r="D40" s="30"/>
      <c r="E40" s="30"/>
      <c r="F40" s="30"/>
      <c r="G40" s="30"/>
    </row>
  </sheetData>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232A08-F004-4F12-9DA8-24205B30D6B5}">
  <dimension ref="B1:N41"/>
  <sheetViews>
    <sheetView zoomScale="96" zoomScaleNormal="96" workbookViewId="0">
      <selection activeCell="D35" sqref="D35"/>
    </sheetView>
  </sheetViews>
  <sheetFormatPr defaultRowHeight="11.4" x14ac:dyDescent="0.2"/>
  <cols>
    <col min="1" max="1" width="2" style="1" customWidth="1"/>
    <col min="2" max="2" width="12.21875" style="1" customWidth="1"/>
    <col min="3" max="3" width="44" style="1" bestFit="1" customWidth="1"/>
    <col min="4" max="4" width="11.33203125" style="1" bestFit="1" customWidth="1"/>
    <col min="5" max="5" width="11" style="1" bestFit="1" customWidth="1"/>
    <col min="6" max="7" width="8.88671875" style="1"/>
    <col min="8" max="8" width="5.6640625" style="1" bestFit="1" customWidth="1"/>
    <col min="9" max="9" width="6.44140625" style="1" bestFit="1" customWidth="1"/>
    <col min="10" max="16384" width="8.88671875" style="1"/>
  </cols>
  <sheetData>
    <row r="1" spans="2:14" ht="15.6" x14ac:dyDescent="0.3">
      <c r="B1" s="3" t="s">
        <v>61</v>
      </c>
    </row>
    <row r="2" spans="2:14" ht="12" x14ac:dyDescent="0.25">
      <c r="B2" s="2" t="s">
        <v>62</v>
      </c>
    </row>
    <row r="4" spans="2:14" ht="12" x14ac:dyDescent="0.25">
      <c r="B4" s="2" t="s">
        <v>2</v>
      </c>
      <c r="C4" s="1" t="s">
        <v>63</v>
      </c>
      <c r="M4" s="41"/>
      <c r="N4" s="41"/>
    </row>
    <row r="5" spans="2:14" ht="12" x14ac:dyDescent="0.25">
      <c r="B5" s="2" t="s">
        <v>4</v>
      </c>
      <c r="C5" s="1" t="s">
        <v>64</v>
      </c>
      <c r="M5" s="31"/>
      <c r="N5" s="31"/>
    </row>
    <row r="6" spans="2:14" ht="12" x14ac:dyDescent="0.25">
      <c r="B6" s="2" t="s">
        <v>6</v>
      </c>
      <c r="C6" s="1" t="s">
        <v>65</v>
      </c>
      <c r="M6" s="31"/>
      <c r="N6" s="31"/>
    </row>
    <row r="7" spans="2:14" ht="12" x14ac:dyDescent="0.25">
      <c r="B7" s="2"/>
      <c r="M7" s="31"/>
      <c r="N7" s="31"/>
    </row>
    <row r="8" spans="2:14" x14ac:dyDescent="0.2">
      <c r="M8" s="11"/>
      <c r="N8" s="11"/>
    </row>
    <row r="9" spans="2:14" ht="12.6" thickBot="1" x14ac:dyDescent="0.3">
      <c r="B9" s="4"/>
      <c r="C9" s="4" t="s">
        <v>66</v>
      </c>
      <c r="D9" s="4" t="s">
        <v>67</v>
      </c>
      <c r="E9" s="4" t="s">
        <v>53</v>
      </c>
      <c r="G9" s="2"/>
    </row>
    <row r="10" spans="2:14" ht="12" x14ac:dyDescent="0.25">
      <c r="B10" s="2" t="s">
        <v>68</v>
      </c>
      <c r="C10" s="1">
        <v>100</v>
      </c>
      <c r="D10" s="1">
        <v>70</v>
      </c>
      <c r="E10" s="32" t="s">
        <v>69</v>
      </c>
    </row>
    <row r="11" spans="2:14" ht="12" x14ac:dyDescent="0.25">
      <c r="B11" s="2" t="s">
        <v>70</v>
      </c>
      <c r="C11" s="1">
        <v>58</v>
      </c>
      <c r="D11" s="1">
        <v>65</v>
      </c>
      <c r="E11" s="22">
        <f>C11-D11</f>
        <v>-7</v>
      </c>
      <c r="G11" s="7"/>
      <c r="H11" s="7"/>
      <c r="I11" s="7"/>
    </row>
    <row r="12" spans="2:14" ht="12" x14ac:dyDescent="0.25">
      <c r="B12" s="33" t="s">
        <v>71</v>
      </c>
      <c r="C12" s="25">
        <v>10</v>
      </c>
      <c r="D12" s="25">
        <v>5</v>
      </c>
      <c r="E12" s="26">
        <f>SQRT((C12*C12/C10+D12*D12/D10))</f>
        <v>1.1649647450214351</v>
      </c>
      <c r="G12" s="24"/>
      <c r="H12" s="22"/>
      <c r="I12" s="22"/>
    </row>
    <row r="14" spans="2:14" ht="12" x14ac:dyDescent="0.25">
      <c r="B14" s="2"/>
    </row>
    <row r="15" spans="2:14" ht="12" x14ac:dyDescent="0.25">
      <c r="B15" s="16" t="s">
        <v>72</v>
      </c>
    </row>
    <row r="16" spans="2:14" ht="12" x14ac:dyDescent="0.25">
      <c r="C16" s="12" t="s">
        <v>73</v>
      </c>
      <c r="D16" s="34">
        <v>0.99</v>
      </c>
    </row>
    <row r="17" spans="2:4" x14ac:dyDescent="0.2">
      <c r="C17" s="12" t="s">
        <v>20</v>
      </c>
      <c r="D17" s="30">
        <f>1-D$16</f>
        <v>1.0000000000000009E-2</v>
      </c>
    </row>
    <row r="18" spans="2:4" x14ac:dyDescent="0.2">
      <c r="C18" s="12" t="s">
        <v>21</v>
      </c>
      <c r="D18" s="30">
        <f>D$17/2</f>
        <v>5.0000000000000044E-3</v>
      </c>
    </row>
    <row r="19" spans="2:4" x14ac:dyDescent="0.2">
      <c r="C19" s="12" t="s">
        <v>74</v>
      </c>
      <c r="D19" s="30" t="s">
        <v>75</v>
      </c>
    </row>
    <row r="20" spans="2:4" x14ac:dyDescent="0.2">
      <c r="C20" s="30" t="s">
        <v>76</v>
      </c>
      <c r="D20" s="30">
        <v>2.5750000000000002</v>
      </c>
    </row>
    <row r="21" spans="2:4" x14ac:dyDescent="0.2">
      <c r="C21" s="30" t="s">
        <v>77</v>
      </c>
      <c r="D21" s="30">
        <f>C$12^2/C$10+D$12^2/D$10</f>
        <v>1.3571428571428572</v>
      </c>
    </row>
    <row r="22" spans="2:4" x14ac:dyDescent="0.2">
      <c r="C22" s="30" t="s">
        <v>78</v>
      </c>
      <c r="D22" s="30">
        <f>E$11-D$20*D$21^0.5</f>
        <v>-9.9997842184301966</v>
      </c>
    </row>
    <row r="23" spans="2:4" x14ac:dyDescent="0.2">
      <c r="C23" s="30" t="s">
        <v>79</v>
      </c>
      <c r="D23" s="30">
        <f>E$11+D$20*D$21^0.5</f>
        <v>-4.0002157815698043</v>
      </c>
    </row>
    <row r="24" spans="2:4" x14ac:dyDescent="0.2">
      <c r="C24" s="30"/>
      <c r="D24" s="30"/>
    </row>
    <row r="25" spans="2:4" x14ac:dyDescent="0.2">
      <c r="C25" s="30"/>
      <c r="D25" s="30"/>
    </row>
    <row r="26" spans="2:4" ht="12" x14ac:dyDescent="0.25">
      <c r="B26" s="16" t="s">
        <v>80</v>
      </c>
      <c r="C26" s="30"/>
      <c r="D26" s="30"/>
    </row>
    <row r="27" spans="2:4" ht="12" x14ac:dyDescent="0.25">
      <c r="C27" s="12" t="s">
        <v>73</v>
      </c>
      <c r="D27" s="34">
        <v>0.95</v>
      </c>
    </row>
    <row r="28" spans="2:4" x14ac:dyDescent="0.2">
      <c r="C28" s="12" t="s">
        <v>20</v>
      </c>
      <c r="D28" s="30">
        <f>1-D$27</f>
        <v>5.0000000000000044E-2</v>
      </c>
    </row>
    <row r="29" spans="2:4" x14ac:dyDescent="0.2">
      <c r="C29" s="12" t="s">
        <v>21</v>
      </c>
      <c r="D29" s="30">
        <f>D$28/2</f>
        <v>2.5000000000000022E-2</v>
      </c>
    </row>
    <row r="30" spans="2:4" x14ac:dyDescent="0.2">
      <c r="C30" s="12" t="s">
        <v>74</v>
      </c>
      <c r="D30" s="30" t="s">
        <v>75</v>
      </c>
    </row>
    <row r="31" spans="2:4" x14ac:dyDescent="0.2">
      <c r="C31" s="30" t="s">
        <v>76</v>
      </c>
      <c r="D31" s="30">
        <v>1.96</v>
      </c>
    </row>
    <row r="32" spans="2:4" x14ac:dyDescent="0.2">
      <c r="C32" s="30" t="s">
        <v>77</v>
      </c>
      <c r="D32" s="30">
        <f>C$12^2/C$10+D$12^2/D$10</f>
        <v>1.3571428571428572</v>
      </c>
    </row>
    <row r="33" spans="2:4" x14ac:dyDescent="0.2">
      <c r="C33" s="30" t="s">
        <v>78</v>
      </c>
      <c r="D33" s="30">
        <f>E$11-D$31*D$21^0.5</f>
        <v>-9.2833309002420137</v>
      </c>
    </row>
    <row r="34" spans="2:4" x14ac:dyDescent="0.2">
      <c r="C34" s="30" t="s">
        <v>79</v>
      </c>
      <c r="D34" s="30">
        <f>E$11+D$31*D$21^0.5</f>
        <v>-4.7166690997579872</v>
      </c>
    </row>
    <row r="36" spans="2:4" ht="12" x14ac:dyDescent="0.25">
      <c r="B36" s="16" t="s">
        <v>81</v>
      </c>
    </row>
    <row r="38" spans="2:4" x14ac:dyDescent="0.2">
      <c r="C38" s="1" t="s">
        <v>82</v>
      </c>
      <c r="D38" s="1">
        <f>C$11+1.96*C$12/C$10^0.5</f>
        <v>59.96</v>
      </c>
    </row>
    <row r="39" spans="2:4" x14ac:dyDescent="0.2">
      <c r="C39" s="1" t="s">
        <v>83</v>
      </c>
      <c r="D39" s="1">
        <f>C$11-1.96*C$12/C$10^0.5</f>
        <v>56.04</v>
      </c>
    </row>
    <row r="40" spans="2:4" x14ac:dyDescent="0.2">
      <c r="C40" s="1" t="s">
        <v>109</v>
      </c>
      <c r="D40" s="1">
        <f>D$11+1.96*D$12/D$10^0.5</f>
        <v>66.171324037147713</v>
      </c>
    </row>
    <row r="41" spans="2:4" x14ac:dyDescent="0.2">
      <c r="C41" s="1" t="s">
        <v>110</v>
      </c>
      <c r="D41" s="1">
        <f>D$11-1.96*D$12/D$10^0.5</f>
        <v>63.828675962852294</v>
      </c>
    </row>
  </sheetData>
  <mergeCells count="1">
    <mergeCell ref="M4:N4"/>
  </mergeCell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4CA7A5-8A6A-4CDF-8191-5069EB3D6326}">
  <dimension ref="B1:K59"/>
  <sheetViews>
    <sheetView topLeftCell="A29" workbookViewId="0">
      <selection activeCell="C56" sqref="C56"/>
    </sheetView>
  </sheetViews>
  <sheetFormatPr defaultRowHeight="11.4" x14ac:dyDescent="0.2"/>
  <cols>
    <col min="1" max="1" width="2" style="1" customWidth="1"/>
    <col min="2" max="2" width="23.6640625" style="1" customWidth="1"/>
    <col min="3" max="3" width="51" style="1" bestFit="1" customWidth="1"/>
    <col min="4" max="4" width="8.88671875" style="1"/>
    <col min="5" max="5" width="13.6640625" style="1" bestFit="1" customWidth="1"/>
    <col min="6" max="7" width="6" style="1" bestFit="1" customWidth="1"/>
    <col min="8" max="9" width="8.88671875" style="1"/>
    <col min="10" max="10" width="5.88671875" style="1" bestFit="1" customWidth="1"/>
    <col min="11" max="11" width="6.44140625" style="1" bestFit="1" customWidth="1"/>
    <col min="12" max="16384" width="8.88671875" style="1"/>
  </cols>
  <sheetData>
    <row r="1" spans="2:11" ht="15.6" x14ac:dyDescent="0.3">
      <c r="B1" s="3" t="s">
        <v>84</v>
      </c>
    </row>
    <row r="2" spans="2:11" ht="12" x14ac:dyDescent="0.25">
      <c r="B2" s="2" t="s">
        <v>85</v>
      </c>
    </row>
    <row r="3" spans="2:11" ht="12" x14ac:dyDescent="0.25">
      <c r="B3" s="2"/>
    </row>
    <row r="4" spans="2:11" ht="12" x14ac:dyDescent="0.25">
      <c r="B4" s="2" t="s">
        <v>2</v>
      </c>
      <c r="C4" s="1" t="s">
        <v>86</v>
      </c>
    </row>
    <row r="5" spans="2:11" ht="12" x14ac:dyDescent="0.25">
      <c r="B5" s="2" t="s">
        <v>4</v>
      </c>
      <c r="C5" s="1" t="s">
        <v>87</v>
      </c>
    </row>
    <row r="6" spans="2:11" ht="12" x14ac:dyDescent="0.25">
      <c r="B6" s="2" t="s">
        <v>6</v>
      </c>
      <c r="C6" s="1" t="s">
        <v>88</v>
      </c>
    </row>
    <row r="7" spans="2:11" ht="12" x14ac:dyDescent="0.25">
      <c r="B7" s="2" t="s">
        <v>7</v>
      </c>
      <c r="C7" s="1" t="s">
        <v>111</v>
      </c>
    </row>
    <row r="9" spans="2:11" ht="12.6" thickBot="1" x14ac:dyDescent="0.3">
      <c r="B9" s="4" t="s">
        <v>89</v>
      </c>
      <c r="C9" s="4" t="s">
        <v>90</v>
      </c>
      <c r="E9" s="7"/>
      <c r="F9" s="7"/>
      <c r="G9" s="7"/>
      <c r="I9" s="2"/>
    </row>
    <row r="10" spans="2:11" ht="12" x14ac:dyDescent="0.25">
      <c r="B10" s="35">
        <v>3.8</v>
      </c>
      <c r="C10" s="35">
        <v>3.02</v>
      </c>
      <c r="E10" s="2"/>
      <c r="F10" s="36"/>
      <c r="G10" s="36"/>
    </row>
    <row r="11" spans="2:11" ht="12" x14ac:dyDescent="0.25">
      <c r="B11" s="35">
        <v>3.76</v>
      </c>
      <c r="C11" s="35">
        <v>3.22</v>
      </c>
      <c r="E11" s="2"/>
      <c r="F11" s="36"/>
      <c r="G11" s="36"/>
      <c r="I11" s="7"/>
      <c r="J11" s="7"/>
      <c r="K11" s="7"/>
    </row>
    <row r="12" spans="2:11" ht="12" x14ac:dyDescent="0.25">
      <c r="B12" s="35">
        <v>3.87</v>
      </c>
      <c r="C12" s="35">
        <v>3.24</v>
      </c>
      <c r="E12" s="2"/>
      <c r="I12" s="24"/>
      <c r="J12" s="36"/>
      <c r="K12" s="36"/>
    </row>
    <row r="13" spans="2:11" ht="12" x14ac:dyDescent="0.25">
      <c r="B13" s="35">
        <v>3.99</v>
      </c>
      <c r="C13" s="35">
        <v>3.02</v>
      </c>
      <c r="I13" s="24"/>
      <c r="J13" s="36"/>
      <c r="K13" s="36"/>
    </row>
    <row r="14" spans="2:11" ht="12" x14ac:dyDescent="0.25">
      <c r="B14" s="35">
        <v>4.0199999999999996</v>
      </c>
      <c r="C14" s="35">
        <v>3.06</v>
      </c>
      <c r="E14" s="2"/>
      <c r="F14" s="22"/>
      <c r="I14" s="2"/>
    </row>
    <row r="15" spans="2:11" ht="12" x14ac:dyDescent="0.25">
      <c r="B15" s="35">
        <v>4.25</v>
      </c>
      <c r="C15" s="35">
        <v>3.15</v>
      </c>
      <c r="E15" s="2"/>
      <c r="F15" s="22"/>
    </row>
    <row r="16" spans="2:11" x14ac:dyDescent="0.2">
      <c r="B16" s="35">
        <v>4.13</v>
      </c>
      <c r="C16" s="35">
        <v>3.81</v>
      </c>
    </row>
    <row r="17" spans="2:5" ht="12" x14ac:dyDescent="0.25">
      <c r="B17" s="35">
        <v>3.98</v>
      </c>
      <c r="C17" s="35">
        <v>3.44</v>
      </c>
      <c r="E17" s="2"/>
    </row>
    <row r="18" spans="2:5" x14ac:dyDescent="0.2">
      <c r="B18" s="35">
        <v>3.99</v>
      </c>
      <c r="C18" s="35"/>
    </row>
    <row r="19" spans="2:5" x14ac:dyDescent="0.2">
      <c r="B19" s="37">
        <v>3.62</v>
      </c>
      <c r="C19" s="37"/>
    </row>
    <row r="22" spans="2:5" x14ac:dyDescent="0.2">
      <c r="B22" s="28" t="s">
        <v>22</v>
      </c>
    </row>
    <row r="23" spans="2:5" x14ac:dyDescent="0.2">
      <c r="C23" s="1" t="s">
        <v>89</v>
      </c>
      <c r="D23" s="1" t="s">
        <v>90</v>
      </c>
    </row>
    <row r="24" spans="2:5" x14ac:dyDescent="0.2">
      <c r="B24" s="1" t="s">
        <v>91</v>
      </c>
      <c r="C24" s="38">
        <f>AVERAGE(B10:B19)</f>
        <v>3.9409999999999998</v>
      </c>
      <c r="D24" s="38">
        <f>AVERAGE(C10:C17)</f>
        <v>3.2450000000000001</v>
      </c>
    </row>
    <row r="25" spans="2:5" x14ac:dyDescent="0.2">
      <c r="B25" s="1" t="s">
        <v>92</v>
      </c>
      <c r="C25" s="1">
        <f>_xlfn.VAR.S(B10:B19)</f>
        <v>3.3832222222222229E-2</v>
      </c>
      <c r="D25" s="1">
        <f>_xlfn.VAR.S(C10:C17)</f>
        <v>7.1771428571428583E-2</v>
      </c>
    </row>
    <row r="26" spans="2:5" x14ac:dyDescent="0.2">
      <c r="B26" s="1" t="s">
        <v>93</v>
      </c>
      <c r="C26" s="1">
        <f>_xlfn.STDEV.S(B10:B19)</f>
        <v>0.18393537512458616</v>
      </c>
      <c r="D26" s="1">
        <f>_xlfn.STDEV.S(C10:C17)</f>
        <v>0.26790190102242384</v>
      </c>
    </row>
    <row r="27" spans="2:5" x14ac:dyDescent="0.2">
      <c r="B27" s="1" t="s">
        <v>16</v>
      </c>
      <c r="C27" s="1">
        <f>COUNT(B10:B19)</f>
        <v>10</v>
      </c>
      <c r="D27" s="1">
        <f>COUNT(C10:C19)</f>
        <v>8</v>
      </c>
    </row>
    <row r="28" spans="2:5" x14ac:dyDescent="0.2">
      <c r="B28" s="1" t="s">
        <v>94</v>
      </c>
      <c r="C28" s="38">
        <f>C24-D24</f>
        <v>0.69599999999999973</v>
      </c>
    </row>
    <row r="30" spans="2:5" ht="12" x14ac:dyDescent="0.25">
      <c r="B30" s="21" t="s">
        <v>4</v>
      </c>
    </row>
    <row r="31" spans="2:5" x14ac:dyDescent="0.2">
      <c r="B31" s="1" t="s">
        <v>95</v>
      </c>
      <c r="C31" s="1">
        <v>0.9</v>
      </c>
    </row>
    <row r="32" spans="2:5" x14ac:dyDescent="0.2">
      <c r="B32" s="1" t="s">
        <v>20</v>
      </c>
      <c r="C32" s="1">
        <f>1-C$31</f>
        <v>9.9999999999999978E-2</v>
      </c>
    </row>
    <row r="33" spans="2:8" x14ac:dyDescent="0.2">
      <c r="B33" s="1" t="s">
        <v>21</v>
      </c>
      <c r="C33" s="1">
        <f>C$32/2</f>
        <v>4.9999999999999989E-2</v>
      </c>
    </row>
    <row r="34" spans="2:8" x14ac:dyDescent="0.2">
      <c r="B34" s="1" t="s">
        <v>96</v>
      </c>
      <c r="C34" s="1">
        <f>((C$27-1)*C$25+(D$27-1)*D$25)/(C$27+D$27-2)</f>
        <v>5.0430625000000007E-2</v>
      </c>
    </row>
    <row r="35" spans="2:8" x14ac:dyDescent="0.2">
      <c r="B35" s="1" t="s">
        <v>19</v>
      </c>
      <c r="C35" s="1">
        <f>C$27+D$27-2</f>
        <v>16</v>
      </c>
    </row>
    <row r="36" spans="2:8" x14ac:dyDescent="0.2">
      <c r="B36" s="1" t="s">
        <v>18</v>
      </c>
      <c r="C36" s="1">
        <v>1.7430000000000001</v>
      </c>
    </row>
    <row r="37" spans="2:8" x14ac:dyDescent="0.2">
      <c r="B37" s="1" t="s">
        <v>97</v>
      </c>
      <c r="C37" s="38">
        <f>(C$24-D$24)+C$36*(C$34/C$27+C$34/D$27)^0.5</f>
        <v>0.88166747080840668</v>
      </c>
    </row>
    <row r="38" spans="2:8" x14ac:dyDescent="0.2">
      <c r="B38" s="1" t="s">
        <v>97</v>
      </c>
      <c r="C38" s="38">
        <f>(C$24-D$24)-C$36*(C$34/C$27+C$34/D$27)^0.5</f>
        <v>0.51033252919159278</v>
      </c>
    </row>
    <row r="39" spans="2:8" x14ac:dyDescent="0.2">
      <c r="C39" s="42"/>
      <c r="D39" s="43"/>
      <c r="E39" s="43"/>
      <c r="F39" s="43"/>
      <c r="G39" s="43"/>
      <c r="H39" s="43"/>
    </row>
    <row r="40" spans="2:8" x14ac:dyDescent="0.2">
      <c r="C40" s="43"/>
      <c r="D40" s="43"/>
      <c r="E40" s="43"/>
      <c r="F40" s="43"/>
      <c r="G40" s="43"/>
      <c r="H40" s="43"/>
    </row>
    <row r="41" spans="2:8" x14ac:dyDescent="0.2">
      <c r="C41" s="43"/>
      <c r="D41" s="43"/>
      <c r="E41" s="43"/>
      <c r="F41" s="43"/>
      <c r="G41" s="43"/>
      <c r="H41" s="43"/>
    </row>
    <row r="42" spans="2:8" x14ac:dyDescent="0.2">
      <c r="C42" s="43"/>
      <c r="D42" s="43"/>
      <c r="E42" s="43"/>
      <c r="F42" s="43"/>
      <c r="G42" s="43"/>
      <c r="H42" s="43"/>
    </row>
    <row r="43" spans="2:8" ht="12" x14ac:dyDescent="0.25">
      <c r="B43" s="21" t="s">
        <v>6</v>
      </c>
    </row>
    <row r="44" spans="2:8" x14ac:dyDescent="0.2">
      <c r="B44" s="1" t="s">
        <v>95</v>
      </c>
      <c r="C44" s="1">
        <v>0.95</v>
      </c>
    </row>
    <row r="45" spans="2:8" x14ac:dyDescent="0.2">
      <c r="B45" s="1" t="s">
        <v>20</v>
      </c>
      <c r="C45" s="1">
        <f>1-C$44</f>
        <v>5.0000000000000044E-2</v>
      </c>
    </row>
    <row r="46" spans="2:8" x14ac:dyDescent="0.2">
      <c r="B46" s="1" t="s">
        <v>21</v>
      </c>
      <c r="C46" s="1">
        <f>C$45/2</f>
        <v>2.5000000000000022E-2</v>
      </c>
    </row>
    <row r="47" spans="2:8" x14ac:dyDescent="0.2">
      <c r="B47" s="1" t="s">
        <v>96</v>
      </c>
      <c r="C47" s="1">
        <f>((C$27-1)*C$25+(D$27-1)*D$25)/(C$27+D$27-2)</f>
        <v>5.0430625000000007E-2</v>
      </c>
    </row>
    <row r="48" spans="2:8" x14ac:dyDescent="0.2">
      <c r="B48" s="1" t="s">
        <v>19</v>
      </c>
      <c r="C48" s="1">
        <f>C$27+D$27-2</f>
        <v>16</v>
      </c>
    </row>
    <row r="49" spans="2:8" x14ac:dyDescent="0.2">
      <c r="B49" s="1" t="s">
        <v>18</v>
      </c>
      <c r="C49" s="1">
        <v>2.12</v>
      </c>
    </row>
    <row r="50" spans="2:8" x14ac:dyDescent="0.2">
      <c r="B50" s="1" t="s">
        <v>97</v>
      </c>
      <c r="C50" s="38">
        <f>(C$24-D$24)+C$49*(C$47/C$27+C$47/D$27)^0.5</f>
        <v>0.92182618365681135</v>
      </c>
    </row>
    <row r="51" spans="2:8" x14ac:dyDescent="0.2">
      <c r="B51" s="1" t="s">
        <v>97</v>
      </c>
      <c r="C51" s="38">
        <f>(C$24-D$24)-C$49*(C$47/C$27+C$47/D$27)^0.5</f>
        <v>0.47017381634318811</v>
      </c>
    </row>
    <row r="54" spans="2:8" ht="12" x14ac:dyDescent="0.25">
      <c r="B54" s="21" t="s">
        <v>7</v>
      </c>
      <c r="C54" s="32"/>
    </row>
    <row r="55" spans="2:8" x14ac:dyDescent="0.2">
      <c r="B55" s="44" t="s">
        <v>112</v>
      </c>
      <c r="C55" s="44"/>
      <c r="D55" s="44"/>
      <c r="E55" s="44"/>
      <c r="F55" s="44"/>
      <c r="G55" s="44"/>
      <c r="H55" s="44"/>
    </row>
    <row r="56" spans="2:8" x14ac:dyDescent="0.2">
      <c r="B56" s="44" t="s">
        <v>113</v>
      </c>
      <c r="C56" s="45">
        <f>(C28)/SQRT(C34/C27+C34/D27)</f>
        <v>6.5338747531701165</v>
      </c>
      <c r="D56" s="44"/>
      <c r="E56" s="44"/>
      <c r="F56" s="44"/>
      <c r="G56" s="44"/>
      <c r="H56" s="44"/>
    </row>
    <row r="57" spans="2:8" x14ac:dyDescent="0.2">
      <c r="B57" s="1" t="s">
        <v>19</v>
      </c>
      <c r="C57" s="1">
        <f>C27+D27-2</f>
        <v>16</v>
      </c>
    </row>
    <row r="58" spans="2:8" x14ac:dyDescent="0.2">
      <c r="B58" s="1" t="s">
        <v>114</v>
      </c>
      <c r="C58" s="1" t="s">
        <v>116</v>
      </c>
    </row>
    <row r="59" spans="2:8" ht="22.8" customHeight="1" x14ac:dyDescent="0.2">
      <c r="B59" s="42" t="s">
        <v>115</v>
      </c>
      <c r="C59" s="43"/>
    </row>
  </sheetData>
  <mergeCells count="2">
    <mergeCell ref="C39:H42"/>
    <mergeCell ref="B59:C59"/>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7289F4-5E8E-4146-A697-5B15CBC91CF8}">
  <dimension ref="A3:H15"/>
  <sheetViews>
    <sheetView workbookViewId="0">
      <selection activeCell="C15" sqref="C15"/>
    </sheetView>
  </sheetViews>
  <sheetFormatPr defaultRowHeight="14.4" x14ac:dyDescent="0.3"/>
  <cols>
    <col min="2" max="2" width="16.33203125" bestFit="1" customWidth="1"/>
  </cols>
  <sheetData>
    <row r="3" spans="1:8" x14ac:dyDescent="0.3">
      <c r="B3" s="39" t="s">
        <v>98</v>
      </c>
      <c r="C3" s="39" t="s">
        <v>99</v>
      </c>
      <c r="D3" s="39" t="s">
        <v>100</v>
      </c>
      <c r="E3" s="39" t="s">
        <v>101</v>
      </c>
      <c r="F3" s="39" t="s">
        <v>102</v>
      </c>
      <c r="G3" s="39" t="s">
        <v>103</v>
      </c>
      <c r="H3" s="39" t="s">
        <v>104</v>
      </c>
    </row>
    <row r="4" spans="1:8" x14ac:dyDescent="0.3">
      <c r="B4" s="39" t="s">
        <v>105</v>
      </c>
      <c r="C4" s="39">
        <v>10</v>
      </c>
      <c r="D4" s="39">
        <v>10</v>
      </c>
      <c r="E4" s="39">
        <v>15</v>
      </c>
      <c r="F4" s="39">
        <v>20</v>
      </c>
      <c r="G4" s="39">
        <v>30</v>
      </c>
      <c r="H4" s="39">
        <v>15</v>
      </c>
    </row>
    <row r="5" spans="1:8" x14ac:dyDescent="0.3">
      <c r="B5" s="39" t="s">
        <v>106</v>
      </c>
      <c r="C5" s="39">
        <v>30</v>
      </c>
      <c r="D5" s="39">
        <v>14</v>
      </c>
      <c r="E5" s="39">
        <v>34</v>
      </c>
      <c r="F5" s="39">
        <v>45</v>
      </c>
      <c r="G5" s="39">
        <v>57</v>
      </c>
      <c r="H5" s="39">
        <v>20</v>
      </c>
    </row>
    <row r="8" spans="1:8" x14ac:dyDescent="0.3">
      <c r="A8" s="40"/>
    </row>
    <row r="10" spans="1:8" x14ac:dyDescent="0.3">
      <c r="B10" s="39" t="s">
        <v>98</v>
      </c>
      <c r="C10" s="39" t="s">
        <v>99</v>
      </c>
      <c r="D10" s="39" t="s">
        <v>100</v>
      </c>
      <c r="E10" s="39" t="s">
        <v>101</v>
      </c>
      <c r="F10" s="39" t="s">
        <v>102</v>
      </c>
      <c r="G10" s="39" t="s">
        <v>103</v>
      </c>
      <c r="H10" s="39" t="s">
        <v>104</v>
      </c>
    </row>
    <row r="11" spans="1:8" x14ac:dyDescent="0.3">
      <c r="B11" s="39" t="s">
        <v>105</v>
      </c>
      <c r="C11" s="39">
        <v>10</v>
      </c>
      <c r="D11" s="39">
        <v>10</v>
      </c>
      <c r="E11" s="39">
        <v>15</v>
      </c>
      <c r="F11" s="39">
        <v>20</v>
      </c>
      <c r="G11" s="39">
        <v>30</v>
      </c>
      <c r="H11" s="39">
        <v>15</v>
      </c>
    </row>
    <row r="12" spans="1:8" x14ac:dyDescent="0.3">
      <c r="B12" s="39" t="s">
        <v>107</v>
      </c>
      <c r="C12" s="39">
        <f>100*C5/SUM($C$5:$H$5)</f>
        <v>15</v>
      </c>
      <c r="D12" s="39">
        <f t="shared" ref="D12:H12" si="0">100*D5/SUM($C$5:$H$5)</f>
        <v>7</v>
      </c>
      <c r="E12" s="39">
        <f t="shared" si="0"/>
        <v>17</v>
      </c>
      <c r="F12" s="39">
        <f t="shared" si="0"/>
        <v>22.5</v>
      </c>
      <c r="G12" s="39">
        <f t="shared" si="0"/>
        <v>28.5</v>
      </c>
      <c r="H12" s="39">
        <f t="shared" si="0"/>
        <v>10</v>
      </c>
    </row>
    <row r="14" spans="1:8" x14ac:dyDescent="0.3">
      <c r="B14" s="39" t="s">
        <v>108</v>
      </c>
      <c r="C14">
        <f>(C11-C12)^2+(D11-D12)^2+(E11-E12)^2+(F11-F12)^2+(G11-G12)^2+(H11-H12)^2</f>
        <v>71.5</v>
      </c>
    </row>
    <row r="15" spans="1:8" x14ac:dyDescent="0.3">
      <c r="B15" s="39" t="s">
        <v>19</v>
      </c>
      <c r="C15">
        <f>COUNT(C11:H11)-1</f>
        <v>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Hypothesis testing</vt:lpstr>
      <vt:lpstr>Confidence_Interval for t-dist.</vt:lpstr>
      <vt:lpstr>Confidence_Interval for z-dist.</vt:lpstr>
      <vt:lpstr>Confidence_Interval_dependent</vt:lpstr>
      <vt:lpstr>CI, indep, var kwn</vt:lpstr>
      <vt:lpstr>CI, indep, var unkwn</vt:lpstr>
      <vt:lpstr>Chi-Squared-distribution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Iliya Valchanov</dc:creator>
  <cp:lastModifiedBy>J. H.</cp:lastModifiedBy>
  <dcterms:created xsi:type="dcterms:W3CDTF">2017-04-21T12:34:14Z</dcterms:created>
  <dcterms:modified xsi:type="dcterms:W3CDTF">2023-12-02T02:00:14Z</dcterms:modified>
</cp:coreProperties>
</file>