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defaultThemeVersion="166925"/>
  <mc:AlternateContent xmlns:mc="http://schemas.openxmlformats.org/markup-compatibility/2006">
    <mc:Choice Requires="x15">
      <x15ac:absPath xmlns:x15ac="http://schemas.microsoft.com/office/spreadsheetml/2010/11/ac" url="C:\Users\User\Documents\School\TUM\"/>
    </mc:Choice>
  </mc:AlternateContent>
  <xr:revisionPtr revIDLastSave="13" documentId="13_ncr:1_{90F74619-BE37-4719-83B6-EA9D3B460818}" xr6:coauthVersionLast="47" xr6:coauthVersionMax="47" xr10:uidLastSave="{3E5BF1AF-7B83-4F76-97C1-FB9E87E1640A}"/>
  <bookViews>
    <workbookView xWindow="-108" yWindow="-108" windowWidth="23256" windowHeight="13176" activeTab="1" xr2:uid="{A4E86693-B7D7-4EFE-82D3-1A15164F40B9}"/>
  </bookViews>
  <sheets>
    <sheet name="Sheet2" sheetId="2" r:id="rId1"/>
    <sheet name="Sheet1" sheetId="1" r:id="rId2"/>
    <sheet name="Sheet3"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1" i="3" l="1"/>
  <c r="O50" i="3"/>
  <c r="O49" i="3"/>
  <c r="O48" i="3"/>
  <c r="O47" i="3"/>
  <c r="O46" i="3"/>
  <c r="O45" i="3"/>
  <c r="O44" i="3"/>
  <c r="O43" i="3"/>
  <c r="O42" i="3"/>
  <c r="N51" i="3"/>
  <c r="N50" i="3"/>
  <c r="N49" i="3"/>
  <c r="N48" i="3"/>
  <c r="N47" i="3"/>
  <c r="N46" i="3"/>
  <c r="N45" i="3"/>
  <c r="N44" i="3"/>
  <c r="N43" i="3"/>
  <c r="N42" i="3"/>
  <c r="M51" i="3"/>
  <c r="M50" i="3"/>
  <c r="M49" i="3"/>
  <c r="M48" i="3"/>
  <c r="M47" i="3"/>
  <c r="M46" i="3"/>
  <c r="M45" i="3"/>
  <c r="M44" i="3"/>
  <c r="M43" i="3"/>
  <c r="M42" i="3"/>
  <c r="L51" i="3"/>
  <c r="L50" i="3"/>
  <c r="L49" i="3"/>
  <c r="L48" i="3"/>
  <c r="L47" i="3"/>
  <c r="L46" i="3"/>
  <c r="L45" i="3"/>
  <c r="L44" i="3"/>
  <c r="L43" i="3"/>
  <c r="L42" i="3"/>
  <c r="K51" i="3"/>
  <c r="K50" i="3"/>
  <c r="K49" i="3"/>
  <c r="K48" i="3"/>
  <c r="K47" i="3"/>
  <c r="K46" i="3"/>
  <c r="K45" i="3"/>
  <c r="K44" i="3"/>
  <c r="K43" i="3"/>
  <c r="K42" i="3"/>
  <c r="J51" i="3"/>
  <c r="J50" i="3"/>
  <c r="J49" i="3"/>
  <c r="J48" i="3"/>
  <c r="J47" i="3"/>
  <c r="J46" i="3"/>
  <c r="J45" i="3"/>
  <c r="J44" i="3"/>
  <c r="J43" i="3"/>
  <c r="J42" i="3"/>
  <c r="I51" i="3"/>
  <c r="I50" i="3"/>
  <c r="I49" i="3"/>
  <c r="I48" i="3"/>
  <c r="I47" i="3"/>
  <c r="I46" i="3"/>
  <c r="I45" i="3"/>
  <c r="I44" i="3"/>
  <c r="I43" i="3"/>
  <c r="I42" i="3"/>
  <c r="H51" i="3"/>
  <c r="H50" i="3"/>
  <c r="H49" i="3"/>
  <c r="H48" i="3"/>
  <c r="H47" i="3"/>
  <c r="H46" i="3"/>
  <c r="H45" i="3"/>
  <c r="H44" i="3"/>
  <c r="H43" i="3"/>
  <c r="H42" i="3"/>
  <c r="G46" i="3"/>
  <c r="G51" i="3"/>
  <c r="G50" i="3"/>
  <c r="G49" i="3"/>
  <c r="G48" i="3"/>
  <c r="G47" i="3"/>
  <c r="G45" i="3"/>
  <c r="G44" i="3"/>
  <c r="F51" i="3"/>
  <c r="F50" i="3"/>
  <c r="G43" i="3"/>
  <c r="G42" i="3"/>
  <c r="L53" i="1"/>
  <c r="L52" i="1"/>
  <c r="L51" i="1"/>
  <c r="L50" i="1"/>
  <c r="L49" i="1"/>
  <c r="L48" i="1"/>
  <c r="L47" i="1"/>
  <c r="L46" i="1"/>
  <c r="L45" i="1"/>
  <c r="L44" i="1"/>
  <c r="L43" i="1"/>
  <c r="L42" i="1"/>
  <c r="L41" i="1"/>
  <c r="K53" i="1"/>
  <c r="K52" i="1"/>
  <c r="K51" i="1"/>
  <c r="K50" i="1"/>
  <c r="K49" i="1"/>
  <c r="K48" i="1"/>
  <c r="K47" i="1"/>
  <c r="K46" i="1"/>
  <c r="K44" i="1"/>
  <c r="K43" i="1"/>
  <c r="K42" i="1"/>
  <c r="K41" i="1"/>
  <c r="I53" i="1"/>
  <c r="I52" i="1"/>
  <c r="I51" i="1"/>
  <c r="I50" i="1"/>
  <c r="I49" i="1"/>
  <c r="I48" i="1"/>
  <c r="I47" i="1"/>
  <c r="I46" i="1"/>
  <c r="I45" i="1"/>
  <c r="I44" i="1"/>
  <c r="I43" i="1"/>
  <c r="I42" i="1"/>
  <c r="I41" i="1"/>
  <c r="H53" i="1"/>
  <c r="H52" i="1"/>
  <c r="H51" i="1"/>
  <c r="H50" i="1"/>
  <c r="H49" i="1"/>
  <c r="H48" i="1"/>
  <c r="H47" i="1"/>
  <c r="H46" i="1"/>
  <c r="H45" i="1"/>
  <c r="H44" i="1"/>
  <c r="H43" i="1"/>
  <c r="H42" i="1"/>
  <c r="H41" i="1"/>
  <c r="F53" i="1"/>
  <c r="F52" i="1"/>
  <c r="F51" i="1"/>
  <c r="F50" i="1"/>
  <c r="F49" i="1"/>
  <c r="F48" i="1"/>
  <c r="F47" i="1"/>
  <c r="F46" i="1"/>
  <c r="F45" i="1"/>
  <c r="F44" i="1"/>
  <c r="F43" i="1"/>
  <c r="F42" i="1"/>
  <c r="F41" i="1"/>
  <c r="F33" i="1"/>
  <c r="F32" i="1"/>
  <c r="F31" i="1"/>
  <c r="F30" i="1"/>
  <c r="F29" i="1"/>
  <c r="F28" i="1"/>
  <c r="F26" i="1"/>
  <c r="F25" i="1"/>
  <c r="F24" i="1"/>
  <c r="F23" i="1"/>
  <c r="F22" i="1"/>
  <c r="F21" i="1"/>
  <c r="F27" i="1"/>
</calcChain>
</file>

<file path=xl/sharedStrings.xml><?xml version="1.0" encoding="utf-8"?>
<sst xmlns="http://schemas.openxmlformats.org/spreadsheetml/2006/main" count="197" uniqueCount="79">
  <si>
    <t>Year</t>
  </si>
  <si>
    <t>Precipitation</t>
  </si>
  <si>
    <t>SPEI-10</t>
  </si>
  <si>
    <t>PET</t>
  </si>
  <si>
    <t>Temp</t>
  </si>
  <si>
    <t>NUE</t>
  </si>
  <si>
    <t>Nitrogen Fertilization</t>
  </si>
  <si>
    <t>Crop yield</t>
  </si>
  <si>
    <t>Correlation</t>
  </si>
  <si>
    <t>Anova value</t>
  </si>
  <si>
    <t xml:space="preserve">0.531575 </t>
  </si>
  <si>
    <t xml:space="preserve">-0.3868104 </t>
  </si>
  <si>
    <t xml:space="preserve">-0.4447314 </t>
  </si>
  <si>
    <t>Null hypothesis rejected</t>
  </si>
  <si>
    <t xml:space="preserve">-0.2286313 </t>
  </si>
  <si>
    <t xml:space="preserve">-0.3955681 </t>
  </si>
  <si>
    <t>0.3914545</t>
  </si>
  <si>
    <t>Means of two or more group are not equal</t>
  </si>
  <si>
    <t xml:space="preserve">0.5638001 </t>
  </si>
  <si>
    <t xml:space="preserve">0.3323653 </t>
  </si>
  <si>
    <t xml:space="preserve">-0.2403304 </t>
  </si>
  <si>
    <t xml:space="preserve">0.02850859 </t>
  </si>
  <si>
    <t xml:space="preserve">-0.4377402 </t>
  </si>
  <si>
    <t xml:space="preserve">-0.5715771 </t>
  </si>
  <si>
    <t xml:space="preserve">0.01364648 </t>
  </si>
  <si>
    <t xml:space="preserve">0.04518588 </t>
  </si>
  <si>
    <t xml:space="preserve">-0.7570249 </t>
  </si>
  <si>
    <t xml:space="preserve">0.3712866 </t>
  </si>
  <si>
    <t xml:space="preserve">-0.2497067 </t>
  </si>
  <si>
    <t xml:space="preserve">-0.3859224 </t>
  </si>
  <si>
    <t xml:space="preserve">0.06490609 </t>
  </si>
  <si>
    <t xml:space="preserve">0.509206 </t>
  </si>
  <si>
    <t xml:space="preserve">0.1635781 </t>
  </si>
  <si>
    <t>Scatterplots (Precipitation)</t>
  </si>
  <si>
    <t>2008</t>
  </si>
  <si>
    <t>January</t>
  </si>
  <si>
    <t>Febuary</t>
  </si>
  <si>
    <t>March</t>
  </si>
  <si>
    <t>April</t>
  </si>
  <si>
    <t>May</t>
  </si>
  <si>
    <t>June</t>
  </si>
  <si>
    <t>July</t>
  </si>
  <si>
    <t>August</t>
  </si>
  <si>
    <t>September</t>
  </si>
  <si>
    <t>October</t>
  </si>
  <si>
    <t>November</t>
  </si>
  <si>
    <t>December</t>
  </si>
  <si>
    <t>Month</t>
  </si>
  <si>
    <t>mm/month</t>
  </si>
  <si>
    <t>Okt 07</t>
  </si>
  <si>
    <t>16,2</t>
  </si>
  <si>
    <t>October to end of July</t>
  </si>
  <si>
    <t>Have a look at the unit</t>
  </si>
  <si>
    <t>Celcius</t>
  </si>
  <si>
    <t>T</t>
  </si>
  <si>
    <t>If we want to suppress the effects of nitrogen fertilizer when investigating the effects of drought on crop yield, it would make more sense if we check the relationihp between NUE and drought indices.</t>
  </si>
  <si>
    <t>mm/year</t>
  </si>
  <si>
    <t>W/m^2/year</t>
  </si>
  <si>
    <t>Severe drought in this year, but the crop yield was maintained by giving more fertilizer to the soil.</t>
  </si>
  <si>
    <t>Do ANOVA and correlation test</t>
  </si>
  <si>
    <t>Correlation test</t>
  </si>
  <si>
    <t>logged value</t>
  </si>
  <si>
    <t>SPEI</t>
  </si>
  <si>
    <t>2007-2008</t>
  </si>
  <si>
    <t>2008-2009</t>
  </si>
  <si>
    <t>2009-2010</t>
  </si>
  <si>
    <t>2010-2011</t>
  </si>
  <si>
    <t>2011-2012</t>
  </si>
  <si>
    <t>2012-2013</t>
  </si>
  <si>
    <t>2013-2014</t>
  </si>
  <si>
    <t>2014-2015</t>
  </si>
  <si>
    <t>2015-2016</t>
  </si>
  <si>
    <t>2016-2017</t>
  </si>
  <si>
    <t>2017-2018</t>
  </si>
  <si>
    <t>2018-2019</t>
  </si>
  <si>
    <t>2019-2020</t>
  </si>
  <si>
    <t>2020-2021</t>
  </si>
  <si>
    <t>February</t>
  </si>
  <si>
    <t>Temperature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</si>
</sst>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0.0"/>
    <numFmt numFmtId="165" formatCode="_-* #,##0.00_-;\-* #,##0.00_-;_-* &quot;-&quot;_-;_-@_-"/>
  </numFmts>
  <fonts count="6">
    <font>
      <sz val="11"/>
      <color theme="1"/>
      <name val="Calibri"/>
      <family val="2"/>
      <scheme val="minor"/>
    </font>
    <font>
      <b/>
      <sz val="11"/>
      <color theme="1"/>
      <name val="Calibri"/>
      <family val="2"/>
      <scheme val="minor"/>
    </font>
    <font>
      <sz val="8"/>
      <name val="Calibri"/>
      <family val="2"/>
      <scheme val="minor"/>
    </font>
    <font>
      <sz val="12"/>
      <color rgb="FF000000"/>
      <name val="Calibri"/>
      <family val="2"/>
      <scheme val="minor"/>
    </font>
    <font>
      <sz val="12"/>
      <color rgb="FF000000"/>
      <name val="Calibri"/>
      <charset val="134"/>
      <scheme val="minor"/>
    </font>
    <font>
      <sz val="11"/>
      <color theme="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1"/>
        <bgColor indexed="64"/>
      </patternFill>
    </fill>
    <fill>
      <patternFill patternType="solid">
        <fgColor rgb="FF92D050"/>
        <bgColor indexed="64"/>
      </patternFill>
    </fill>
  </fills>
  <borders count="1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thin">
        <color rgb="FF000000"/>
      </bottom>
      <diagonal/>
    </border>
    <border>
      <left/>
      <right style="thin">
        <color rgb="FFABABAB"/>
      </right>
      <top style="thin">
        <color rgb="FFABABAB"/>
      </top>
      <bottom/>
      <diagonal/>
    </border>
    <border>
      <left/>
      <right style="thin">
        <color rgb="FFABABAB"/>
      </right>
      <top/>
      <bottom/>
      <diagonal/>
    </border>
    <border>
      <left style="thin">
        <color rgb="FFABABAB"/>
      </left>
      <right/>
      <top style="thin">
        <color rgb="FFABABAB"/>
      </top>
      <bottom/>
      <diagonal/>
    </border>
    <border>
      <left style="thin">
        <color rgb="FFABABAB"/>
      </left>
      <right/>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41" fontId="5" fillId="0" borderId="0" applyFont="0" applyFill="0" applyBorder="0" applyAlignment="0" applyProtection="0"/>
  </cellStyleXfs>
  <cellXfs count="64">
    <xf numFmtId="0" fontId="0" fillId="0" borderId="0" xfId="0"/>
    <xf numFmtId="0" fontId="1" fillId="0" borderId="1" xfId="0" applyFont="1" applyBorder="1"/>
    <xf numFmtId="0" fontId="1" fillId="0" borderId="2" xfId="0" applyFont="1" applyBorder="1"/>
    <xf numFmtId="49" fontId="1" fillId="0" borderId="2" xfId="0" quotePrefix="1" applyNumberFormat="1" applyFont="1" applyBorder="1"/>
    <xf numFmtId="0" fontId="1" fillId="0" borderId="3" xfId="0" applyFont="1" applyBorder="1"/>
    <xf numFmtId="0" fontId="0" fillId="0" borderId="4" xfId="0" applyBorder="1"/>
    <xf numFmtId="0" fontId="0" fillId="0" borderId="5" xfId="0" applyBorder="1"/>
    <xf numFmtId="0" fontId="0" fillId="2" borderId="5" xfId="0" applyFill="1" applyBorder="1"/>
    <xf numFmtId="1" fontId="0" fillId="2" borderId="5" xfId="0" quotePrefix="1" applyNumberFormat="1" applyFill="1" applyBorder="1"/>
    <xf numFmtId="1" fontId="0" fillId="2" borderId="5" xfId="0" applyNumberFormat="1" applyFill="1" applyBorder="1"/>
    <xf numFmtId="1" fontId="0" fillId="0" borderId="5" xfId="0" quotePrefix="1" applyNumberFormat="1" applyBorder="1"/>
    <xf numFmtId="0" fontId="0" fillId="3" borderId="5" xfId="0" applyFill="1" applyBorder="1"/>
    <xf numFmtId="0" fontId="0" fillId="3" borderId="0" xfId="0" quotePrefix="1" applyFill="1"/>
    <xf numFmtId="1" fontId="0" fillId="3" borderId="5" xfId="0" applyNumberFormat="1" applyFill="1" applyBorder="1"/>
    <xf numFmtId="1" fontId="0" fillId="3" borderId="5" xfId="0" quotePrefix="1" applyNumberFormat="1" applyFill="1" applyBorder="1"/>
    <xf numFmtId="0" fontId="0" fillId="3" borderId="0" xfId="0" applyFill="1"/>
    <xf numFmtId="0" fontId="1" fillId="0" borderId="0" xfId="0" applyFont="1"/>
    <xf numFmtId="164" fontId="0" fillId="0" borderId="4" xfId="0" applyNumberFormat="1" applyBorder="1"/>
    <xf numFmtId="164" fontId="0" fillId="0" borderId="0" xfId="0" applyNumberFormat="1"/>
    <xf numFmtId="164" fontId="0" fillId="0" borderId="5" xfId="0" applyNumberFormat="1" applyBorder="1"/>
    <xf numFmtId="164" fontId="0" fillId="2" borderId="5" xfId="0" applyNumberFormat="1" applyFill="1" applyBorder="1"/>
    <xf numFmtId="164" fontId="0" fillId="2" borderId="5" xfId="0" quotePrefix="1" applyNumberFormat="1" applyFill="1" applyBorder="1"/>
    <xf numFmtId="164" fontId="0" fillId="0" borderId="5" xfId="0" quotePrefix="1" applyNumberFormat="1" applyBorder="1"/>
    <xf numFmtId="164" fontId="0" fillId="3" borderId="0" xfId="0" applyNumberFormat="1" applyFill="1"/>
    <xf numFmtId="164" fontId="0" fillId="3" borderId="0" xfId="0" quotePrefix="1" applyNumberFormat="1" applyFill="1"/>
    <xf numFmtId="164" fontId="0" fillId="3" borderId="5" xfId="0" applyNumberFormat="1" applyFill="1" applyBorder="1"/>
    <xf numFmtId="164" fontId="0" fillId="3" borderId="5" xfId="0" quotePrefix="1" applyNumberFormat="1" applyFill="1" applyBorder="1"/>
    <xf numFmtId="1" fontId="0" fillId="0" borderId="0" xfId="0" applyNumberFormat="1"/>
    <xf numFmtId="2" fontId="1" fillId="4" borderId="6" xfId="0" applyNumberFormat="1" applyFont="1" applyFill="1" applyBorder="1"/>
    <xf numFmtId="2" fontId="1" fillId="4" borderId="7" xfId="0" applyNumberFormat="1" applyFont="1" applyFill="1" applyBorder="1"/>
    <xf numFmtId="2" fontId="1" fillId="4" borderId="6" xfId="0" quotePrefix="1" applyNumberFormat="1" applyFont="1" applyFill="1" applyBorder="1"/>
    <xf numFmtId="2" fontId="1" fillId="4" borderId="8" xfId="0" quotePrefix="1" applyNumberFormat="1" applyFont="1" applyFill="1" applyBorder="1"/>
    <xf numFmtId="1" fontId="0" fillId="0" borderId="5" xfId="0" applyNumberFormat="1" applyBorder="1"/>
    <xf numFmtId="0" fontId="3" fillId="0" borderId="0" xfId="0" applyFont="1" applyAlignment="1">
      <alignment vertical="center"/>
    </xf>
    <xf numFmtId="0" fontId="3" fillId="0" borderId="9"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0" fillId="0" borderId="5" xfId="0" quotePrefix="1" applyBorder="1"/>
    <xf numFmtId="165" fontId="0" fillId="0" borderId="0" xfId="1" applyNumberFormat="1" applyFont="1"/>
    <xf numFmtId="165" fontId="0" fillId="0" borderId="5" xfId="1" applyNumberFormat="1" applyFont="1" applyBorder="1"/>
    <xf numFmtId="165" fontId="0" fillId="0" borderId="5" xfId="1" quotePrefix="1" applyNumberFormat="1" applyFont="1" applyBorder="1"/>
    <xf numFmtId="0" fontId="0" fillId="5" borderId="5" xfId="0" applyFill="1" applyBorder="1"/>
    <xf numFmtId="165" fontId="0" fillId="5" borderId="5" xfId="1" applyNumberFormat="1" applyFont="1" applyFill="1" applyBorder="1"/>
    <xf numFmtId="11" fontId="0" fillId="0" borderId="0" xfId="0" applyNumberFormat="1"/>
    <xf numFmtId="2" fontId="1" fillId="3" borderId="6" xfId="0" quotePrefix="1" applyNumberFormat="1" applyFont="1" applyFill="1" applyBorder="1"/>
    <xf numFmtId="165" fontId="0" fillId="3" borderId="0" xfId="1" applyNumberFormat="1" applyFont="1" applyFill="1"/>
    <xf numFmtId="0" fontId="3" fillId="3" borderId="0" xfId="0" applyFont="1" applyFill="1" applyAlignment="1">
      <alignment vertical="center"/>
    </xf>
    <xf numFmtId="0" fontId="4" fillId="3" borderId="13" xfId="0" applyFont="1" applyFill="1" applyBorder="1" applyAlignment="1">
      <alignment vertical="center"/>
    </xf>
    <xf numFmtId="0" fontId="4" fillId="3" borderId="11" xfId="0" applyFont="1" applyFill="1" applyBorder="1" applyAlignment="1">
      <alignment vertical="center"/>
    </xf>
    <xf numFmtId="0" fontId="0" fillId="6" borderId="0" xfId="0" applyFill="1"/>
    <xf numFmtId="0" fontId="0" fillId="3" borderId="5" xfId="0" quotePrefix="1" applyFill="1" applyBorder="1"/>
    <xf numFmtId="2" fontId="0" fillId="0" borderId="4" xfId="0" quotePrefix="1" applyNumberFormat="1" applyBorder="1"/>
    <xf numFmtId="2" fontId="0" fillId="0" borderId="0" xfId="0" quotePrefix="1" applyNumberFormat="1"/>
    <xf numFmtId="2" fontId="0" fillId="0" borderId="0" xfId="0" applyNumberFormat="1"/>
    <xf numFmtId="2" fontId="0" fillId="3" borderId="0" xfId="0" quotePrefix="1" applyNumberFormat="1" applyFill="1"/>
    <xf numFmtId="0" fontId="0" fillId="0" borderId="0" xfId="0" quotePrefix="1"/>
    <xf numFmtId="0" fontId="0" fillId="0" borderId="4" xfId="0" quotePrefix="1" applyBorder="1"/>
    <xf numFmtId="2" fontId="0" fillId="0" borderId="5" xfId="0" applyNumberFormat="1" applyBorder="1"/>
    <xf numFmtId="2" fontId="0" fillId="3" borderId="5" xfId="0" applyNumberFormat="1" applyFill="1" applyBorder="1"/>
    <xf numFmtId="17" fontId="0" fillId="0" borderId="14" xfId="0" applyNumberFormat="1" applyBorder="1"/>
    <xf numFmtId="17" fontId="0" fillId="0" borderId="15" xfId="0" applyNumberFormat="1" applyBorder="1"/>
    <xf numFmtId="1" fontId="0" fillId="2" borderId="16" xfId="0" applyNumberFormat="1" applyFill="1" applyBorder="1"/>
  </cellXfs>
  <cellStyles count="2">
    <cellStyle name="Comma [0]" xfId="1" builtinId="6"/>
    <cellStyle name="Normal" xfId="0" builtinId="0"/>
  </cellStyles>
  <dxfs count="2">
    <dxf>
      <numFmt numFmtId="22" formatCode="mmm\ yy"/>
      <border diagonalUp="0" diagonalDown="0">
        <left/>
        <right style="thin">
          <color indexed="64"/>
        </right>
        <top/>
        <bottom style="thin">
          <color indexed="64"/>
        </bottom>
        <vertical/>
        <horizontal/>
      </border>
    </dxf>
    <dxf>
      <border outline="0">
        <left style="thin">
          <color indexed="64"/>
        </left>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Precipitation</a:t>
            </a:r>
            <a:r>
              <a:rPr lang="en-US" baseline="0"/>
              <a:t> chart</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Sheet1!$B$19:$B$182</c:f>
              <c:numCache>
                <c:formatCode>mmm\-yy</c:formatCode>
                <c:ptCount val="164"/>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numCache>
            </c:numRef>
          </c:cat>
          <c:val>
            <c:numRef>
              <c:f>Sheet1!$C$19:$C$182</c:f>
              <c:numCache>
                <c:formatCode>General</c:formatCode>
                <c:ptCount val="164"/>
                <c:pt idx="0">
                  <c:v>120.9</c:v>
                </c:pt>
                <c:pt idx="1">
                  <c:v>82.6</c:v>
                </c:pt>
                <c:pt idx="2">
                  <c:v>185.6</c:v>
                </c:pt>
                <c:pt idx="3">
                  <c:v>252.3</c:v>
                </c:pt>
                <c:pt idx="4">
                  <c:v>102.2</c:v>
                </c:pt>
                <c:pt idx="5">
                  <c:v>219.1</c:v>
                </c:pt>
                <c:pt idx="6">
                  <c:v>272.60000000000002</c:v>
                </c:pt>
                <c:pt idx="7" formatCode="0">
                  <c:v>219.3</c:v>
                </c:pt>
                <c:pt idx="8" formatCode="0">
                  <c:v>118.2</c:v>
                </c:pt>
                <c:pt idx="9">
                  <c:v>120.6</c:v>
                </c:pt>
                <c:pt idx="10">
                  <c:v>114.6</c:v>
                </c:pt>
                <c:pt idx="11">
                  <c:v>135.6</c:v>
                </c:pt>
                <c:pt idx="12">
                  <c:v>74.5</c:v>
                </c:pt>
                <c:pt idx="13">
                  <c:v>128.69999999999999</c:v>
                </c:pt>
                <c:pt idx="14">
                  <c:v>120.3</c:v>
                </c:pt>
                <c:pt idx="15">
                  <c:v>76.599999999999994</c:v>
                </c:pt>
                <c:pt idx="16">
                  <c:v>239.6</c:v>
                </c:pt>
                <c:pt idx="17">
                  <c:v>321.8</c:v>
                </c:pt>
                <c:pt idx="18">
                  <c:v>285.39999999999998</c:v>
                </c:pt>
                <c:pt idx="19" formatCode="0">
                  <c:v>141.5</c:v>
                </c:pt>
                <c:pt idx="20">
                  <c:v>97.4</c:v>
                </c:pt>
                <c:pt idx="21" formatCode="0">
                  <c:v>160.1</c:v>
                </c:pt>
                <c:pt idx="22">
                  <c:v>138.1</c:v>
                </c:pt>
                <c:pt idx="23">
                  <c:v>200.3</c:v>
                </c:pt>
                <c:pt idx="24">
                  <c:v>114.3</c:v>
                </c:pt>
                <c:pt idx="25">
                  <c:v>116.2</c:v>
                </c:pt>
                <c:pt idx="26">
                  <c:v>92.4</c:v>
                </c:pt>
                <c:pt idx="27">
                  <c:v>60</c:v>
                </c:pt>
                <c:pt idx="28">
                  <c:v>303.2</c:v>
                </c:pt>
                <c:pt idx="29">
                  <c:v>270.8</c:v>
                </c:pt>
                <c:pt idx="30">
                  <c:v>292.39999999999998</c:v>
                </c:pt>
                <c:pt idx="31" formatCode="0">
                  <c:v>364.1</c:v>
                </c:pt>
                <c:pt idx="32">
                  <c:v>115.6</c:v>
                </c:pt>
                <c:pt idx="33" formatCode="0">
                  <c:v>74.2</c:v>
                </c:pt>
                <c:pt idx="34">
                  <c:v>138.30000000000001</c:v>
                </c:pt>
                <c:pt idx="35">
                  <c:v>270.2</c:v>
                </c:pt>
                <c:pt idx="36">
                  <c:v>160.1</c:v>
                </c:pt>
                <c:pt idx="37">
                  <c:v>24.3</c:v>
                </c:pt>
                <c:pt idx="38">
                  <c:v>106.7</c:v>
                </c:pt>
                <c:pt idx="39">
                  <c:v>53.4</c:v>
                </c:pt>
                <c:pt idx="40">
                  <c:v>209.2</c:v>
                </c:pt>
                <c:pt idx="41">
                  <c:v>260.7</c:v>
                </c:pt>
                <c:pt idx="42">
                  <c:v>311.5</c:v>
                </c:pt>
                <c:pt idx="43" formatCode="0">
                  <c:v>196.2</c:v>
                </c:pt>
                <c:pt idx="44">
                  <c:v>175.6</c:v>
                </c:pt>
                <c:pt idx="45" formatCode="0">
                  <c:v>131.6</c:v>
                </c:pt>
                <c:pt idx="46">
                  <c:v>1.7</c:v>
                </c:pt>
                <c:pt idx="47">
                  <c:v>284.60000000000002</c:v>
                </c:pt>
                <c:pt idx="48">
                  <c:v>297.39999999999998</c:v>
                </c:pt>
                <c:pt idx="49">
                  <c:v>72.900000000000006</c:v>
                </c:pt>
                <c:pt idx="50">
                  <c:v>45.6</c:v>
                </c:pt>
                <c:pt idx="51">
                  <c:v>113</c:v>
                </c:pt>
                <c:pt idx="52">
                  <c:v>147.69999999999999</c:v>
                </c:pt>
                <c:pt idx="53">
                  <c:v>302.60000000000002</c:v>
                </c:pt>
                <c:pt idx="54">
                  <c:v>189.7</c:v>
                </c:pt>
                <c:pt idx="55" formatCode="0">
                  <c:v>332.3</c:v>
                </c:pt>
                <c:pt idx="56">
                  <c:v>129.6</c:v>
                </c:pt>
                <c:pt idx="57" formatCode="0">
                  <c:v>130</c:v>
                </c:pt>
                <c:pt idx="58">
                  <c:v>158.1</c:v>
                </c:pt>
                <c:pt idx="59">
                  <c:v>246.9</c:v>
                </c:pt>
                <c:pt idx="60">
                  <c:v>232</c:v>
                </c:pt>
                <c:pt idx="61">
                  <c:v>202.7</c:v>
                </c:pt>
                <c:pt idx="62">
                  <c:v>87.3</c:v>
                </c:pt>
                <c:pt idx="63">
                  <c:v>89.2</c:v>
                </c:pt>
                <c:pt idx="64">
                  <c:v>324.7</c:v>
                </c:pt>
                <c:pt idx="65">
                  <c:v>335.5</c:v>
                </c:pt>
                <c:pt idx="66">
                  <c:v>60.4</c:v>
                </c:pt>
                <c:pt idx="67" formatCode="0">
                  <c:v>216.6</c:v>
                </c:pt>
                <c:pt idx="68">
                  <c:v>226.4</c:v>
                </c:pt>
                <c:pt idx="69" formatCode="0">
                  <c:v>165.7</c:v>
                </c:pt>
                <c:pt idx="70">
                  <c:v>162.9</c:v>
                </c:pt>
                <c:pt idx="71">
                  <c:v>32</c:v>
                </c:pt>
                <c:pt idx="72">
                  <c:v>152</c:v>
                </c:pt>
                <c:pt idx="73">
                  <c:v>52.7</c:v>
                </c:pt>
                <c:pt idx="74">
                  <c:v>14</c:v>
                </c:pt>
                <c:pt idx="75">
                  <c:v>81.599999999999994</c:v>
                </c:pt>
                <c:pt idx="76">
                  <c:v>228</c:v>
                </c:pt>
                <c:pt idx="77">
                  <c:v>112.8</c:v>
                </c:pt>
                <c:pt idx="78">
                  <c:v>319</c:v>
                </c:pt>
                <c:pt idx="79" formatCode="0">
                  <c:v>270.39999999999998</c:v>
                </c:pt>
                <c:pt idx="80">
                  <c:v>156.5</c:v>
                </c:pt>
                <c:pt idx="81" formatCode="0">
                  <c:v>200.3</c:v>
                </c:pt>
                <c:pt idx="82">
                  <c:v>90.1</c:v>
                </c:pt>
                <c:pt idx="83">
                  <c:v>150.4</c:v>
                </c:pt>
                <c:pt idx="84">
                  <c:v>244.1</c:v>
                </c:pt>
                <c:pt idx="85">
                  <c:v>46.4</c:v>
                </c:pt>
                <c:pt idx="86">
                  <c:v>117.9</c:v>
                </c:pt>
                <c:pt idx="87">
                  <c:v>130.9</c:v>
                </c:pt>
                <c:pt idx="88">
                  <c:v>279.2</c:v>
                </c:pt>
                <c:pt idx="89">
                  <c:v>215.7</c:v>
                </c:pt>
                <c:pt idx="90">
                  <c:v>96.6</c:v>
                </c:pt>
                <c:pt idx="91" formatCode="0">
                  <c:v>116</c:v>
                </c:pt>
                <c:pt idx="92">
                  <c:v>114.5</c:v>
                </c:pt>
                <c:pt idx="93" formatCode="0">
                  <c:v>139.80000000000001</c:v>
                </c:pt>
                <c:pt idx="94">
                  <c:v>164.2</c:v>
                </c:pt>
                <c:pt idx="95">
                  <c:v>58</c:v>
                </c:pt>
                <c:pt idx="96">
                  <c:v>264</c:v>
                </c:pt>
                <c:pt idx="97">
                  <c:v>197.4</c:v>
                </c:pt>
                <c:pt idx="98">
                  <c:v>100.5</c:v>
                </c:pt>
                <c:pt idx="99">
                  <c:v>126.3</c:v>
                </c:pt>
                <c:pt idx="100">
                  <c:v>254</c:v>
                </c:pt>
                <c:pt idx="101">
                  <c:v>283.2</c:v>
                </c:pt>
                <c:pt idx="102">
                  <c:v>267.7</c:v>
                </c:pt>
                <c:pt idx="103" formatCode="0">
                  <c:v>173</c:v>
                </c:pt>
                <c:pt idx="104">
                  <c:v>183.4</c:v>
                </c:pt>
                <c:pt idx="105" formatCode="0">
                  <c:v>99.1</c:v>
                </c:pt>
                <c:pt idx="106">
                  <c:v>166.4</c:v>
                </c:pt>
                <c:pt idx="107">
                  <c:v>19.3</c:v>
                </c:pt>
                <c:pt idx="108">
                  <c:v>111.5</c:v>
                </c:pt>
                <c:pt idx="109">
                  <c:v>98.7</c:v>
                </c:pt>
                <c:pt idx="110">
                  <c:v>137.30000000000001</c:v>
                </c:pt>
                <c:pt idx="111">
                  <c:v>189.1</c:v>
                </c:pt>
                <c:pt idx="112">
                  <c:v>153</c:v>
                </c:pt>
                <c:pt idx="113">
                  <c:v>159.30000000000001</c:v>
                </c:pt>
                <c:pt idx="114">
                  <c:v>260.3</c:v>
                </c:pt>
                <c:pt idx="115" formatCode="0">
                  <c:v>274</c:v>
                </c:pt>
                <c:pt idx="116">
                  <c:v>152.4</c:v>
                </c:pt>
                <c:pt idx="117" formatCode="0">
                  <c:v>147.6</c:v>
                </c:pt>
                <c:pt idx="118">
                  <c:v>160.4</c:v>
                </c:pt>
                <c:pt idx="119">
                  <c:v>186.2</c:v>
                </c:pt>
                <c:pt idx="120">
                  <c:v>292.8</c:v>
                </c:pt>
                <c:pt idx="121">
                  <c:v>86.6</c:v>
                </c:pt>
                <c:pt idx="122">
                  <c:v>93.3</c:v>
                </c:pt>
                <c:pt idx="123">
                  <c:v>33.299999999999997</c:v>
                </c:pt>
                <c:pt idx="124">
                  <c:v>171.1</c:v>
                </c:pt>
                <c:pt idx="125">
                  <c:v>229.4</c:v>
                </c:pt>
                <c:pt idx="126">
                  <c:v>174.6</c:v>
                </c:pt>
                <c:pt idx="127" formatCode="0">
                  <c:v>181.5</c:v>
                </c:pt>
                <c:pt idx="128">
                  <c:v>168.3</c:v>
                </c:pt>
                <c:pt idx="129" formatCode="0">
                  <c:v>113.5</c:v>
                </c:pt>
                <c:pt idx="130">
                  <c:v>59.5</c:v>
                </c:pt>
                <c:pt idx="131">
                  <c:v>292.39999999999998</c:v>
                </c:pt>
                <c:pt idx="132">
                  <c:v>236.8</c:v>
                </c:pt>
                <c:pt idx="133">
                  <c:v>100.6</c:v>
                </c:pt>
                <c:pt idx="134">
                  <c:v>130.80000000000001</c:v>
                </c:pt>
                <c:pt idx="135">
                  <c:v>41.1</c:v>
                </c:pt>
                <c:pt idx="136">
                  <c:v>291.39999999999998</c:v>
                </c:pt>
                <c:pt idx="137">
                  <c:v>129.30000000000001</c:v>
                </c:pt>
                <c:pt idx="138">
                  <c:v>189.8</c:v>
                </c:pt>
                <c:pt idx="139" formatCode="0">
                  <c:v>239.5</c:v>
                </c:pt>
                <c:pt idx="140">
                  <c:v>130.6</c:v>
                </c:pt>
                <c:pt idx="141" formatCode="0">
                  <c:v>156.80000000000001</c:v>
                </c:pt>
                <c:pt idx="142">
                  <c:v>123.1</c:v>
                </c:pt>
                <c:pt idx="143">
                  <c:v>139.30000000000001</c:v>
                </c:pt>
                <c:pt idx="144">
                  <c:v>68.099999999999994</c:v>
                </c:pt>
                <c:pt idx="145">
                  <c:v>304.2</c:v>
                </c:pt>
                <c:pt idx="146">
                  <c:v>123.9</c:v>
                </c:pt>
                <c:pt idx="147">
                  <c:v>69.2</c:v>
                </c:pt>
                <c:pt idx="148">
                  <c:v>110.9</c:v>
                </c:pt>
                <c:pt idx="149">
                  <c:v>344.5</c:v>
                </c:pt>
                <c:pt idx="150">
                  <c:v>186.4</c:v>
                </c:pt>
                <c:pt idx="151">
                  <c:v>284.3</c:v>
                </c:pt>
                <c:pt idx="152">
                  <c:v>160.4</c:v>
                </c:pt>
                <c:pt idx="153" formatCode="0">
                  <c:v>185.3</c:v>
                </c:pt>
                <c:pt idx="154">
                  <c:v>42.3</c:v>
                </c:pt>
                <c:pt idx="155">
                  <c:v>124.1</c:v>
                </c:pt>
                <c:pt idx="156">
                  <c:v>192.7</c:v>
                </c:pt>
                <c:pt idx="157">
                  <c:v>127.7</c:v>
                </c:pt>
                <c:pt idx="158">
                  <c:v>93</c:v>
                </c:pt>
                <c:pt idx="159">
                  <c:v>67.5</c:v>
                </c:pt>
                <c:pt idx="160">
                  <c:v>274.2</c:v>
                </c:pt>
                <c:pt idx="161">
                  <c:v>289.39999999999998</c:v>
                </c:pt>
                <c:pt idx="162">
                  <c:v>334.9</c:v>
                </c:pt>
                <c:pt idx="163" formatCode="0">
                  <c:v>317.3</c:v>
                </c:pt>
              </c:numCache>
            </c:numRef>
          </c:val>
          <c:smooth val="0"/>
          <c:extLst>
            <c:ext xmlns:c16="http://schemas.microsoft.com/office/drawing/2014/chart" uri="{C3380CC4-5D6E-409C-BE32-E72D297353CC}">
              <c16:uniqueId val="{00000000-0890-4DB5-A0AB-48F2F85A46A1}"/>
            </c:ext>
          </c:extLst>
        </c:ser>
        <c:dLbls>
          <c:showLegendKey val="0"/>
          <c:showVal val="0"/>
          <c:showCatName val="0"/>
          <c:showSerName val="0"/>
          <c:showPercent val="0"/>
          <c:showBubbleSize val="0"/>
        </c:dLbls>
        <c:marker val="1"/>
        <c:smooth val="0"/>
        <c:axId val="1241031664"/>
        <c:axId val="1526473312"/>
      </c:lineChart>
      <c:dateAx>
        <c:axId val="12410316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473312"/>
        <c:crosses val="autoZero"/>
        <c:auto val="1"/>
        <c:lblOffset val="100"/>
        <c:baseTimeUnit val="months"/>
      </c:dateAx>
      <c:valAx>
        <c:axId val="152647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03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Years vs Temperature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spPr>
            <a:solidFill>
              <a:schemeClr val="accent2">
                <a:lumMod val="75000"/>
                <a:alpha val="80000"/>
              </a:schemeClr>
            </a:solidFill>
            <a:ln w="25400">
              <a:noFill/>
            </a:ln>
            <a:effectLst/>
          </c:spPr>
          <c:cat>
            <c:numRef>
              <c:f>Sheet1!$E$21:$E$33</c:f>
              <c:numCache>
                <c:formatCode>General</c:formatCode>
                <c:ptCount val="13"/>
                <c:pt idx="0">
                  <c:v>2008</c:v>
                </c:pt>
                <c:pt idx="1">
                  <c:v>2009</c:v>
                </c:pt>
                <c:pt idx="2">
                  <c:v>2010</c:v>
                </c:pt>
                <c:pt idx="3">
                  <c:v>2011</c:v>
                </c:pt>
                <c:pt idx="4">
                  <c:v>2012</c:v>
                </c:pt>
                <c:pt idx="5">
                  <c:v>2013</c:v>
                </c:pt>
                <c:pt idx="6">
                  <c:v>2014</c:v>
                </c:pt>
                <c:pt idx="7">
                  <c:v>2015</c:v>
                </c:pt>
                <c:pt idx="8">
                  <c:v>2017</c:v>
                </c:pt>
                <c:pt idx="9">
                  <c:v>2018</c:v>
                </c:pt>
                <c:pt idx="10">
                  <c:v>2019</c:v>
                </c:pt>
                <c:pt idx="11">
                  <c:v>2020</c:v>
                </c:pt>
                <c:pt idx="12">
                  <c:v>2021</c:v>
                </c:pt>
              </c:numCache>
            </c:numRef>
          </c:cat>
          <c:val>
            <c:numRef>
              <c:f>Sheet1!$I$21:$I$33</c:f>
              <c:numCache>
                <c:formatCode>_-* #,##0.00_-;\-* #,##0.00_-;_-* "-"_-;_-@_-</c:formatCode>
                <c:ptCount val="13"/>
                <c:pt idx="0">
                  <c:v>7.45</c:v>
                </c:pt>
                <c:pt idx="1">
                  <c:v>7.05</c:v>
                </c:pt>
                <c:pt idx="2">
                  <c:v>6.61</c:v>
                </c:pt>
                <c:pt idx="3">
                  <c:v>6.57</c:v>
                </c:pt>
                <c:pt idx="4">
                  <c:v>6.78</c:v>
                </c:pt>
                <c:pt idx="5">
                  <c:v>6.22</c:v>
                </c:pt>
                <c:pt idx="6">
                  <c:v>8.1199999999999992</c:v>
                </c:pt>
                <c:pt idx="7">
                  <c:v>7.97</c:v>
                </c:pt>
                <c:pt idx="8">
                  <c:v>7.1</c:v>
                </c:pt>
                <c:pt idx="9">
                  <c:v>8.44</c:v>
                </c:pt>
                <c:pt idx="10">
                  <c:v>8.34</c:v>
                </c:pt>
                <c:pt idx="11">
                  <c:v>8.5</c:v>
                </c:pt>
                <c:pt idx="12">
                  <c:v>7.24</c:v>
                </c:pt>
              </c:numCache>
            </c:numRef>
          </c:val>
          <c:extLst>
            <c:ext xmlns:c16="http://schemas.microsoft.com/office/drawing/2014/chart" uri="{C3380CC4-5D6E-409C-BE32-E72D297353CC}">
              <c16:uniqueId val="{00000000-DAA2-4217-B9C4-BC5F286BA736}"/>
            </c:ext>
          </c:extLst>
        </c:ser>
        <c:dLbls>
          <c:showLegendKey val="0"/>
          <c:showVal val="0"/>
          <c:showCatName val="0"/>
          <c:showSerName val="0"/>
          <c:showPercent val="0"/>
          <c:showBubbleSize val="0"/>
        </c:dLbls>
        <c:axId val="310229952"/>
        <c:axId val="219136592"/>
      </c:areaChart>
      <c:catAx>
        <c:axId val="310229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9136592"/>
        <c:crosses val="autoZero"/>
        <c:auto val="1"/>
        <c:lblAlgn val="ctr"/>
        <c:lblOffset val="100"/>
        <c:noMultiLvlLbl val="0"/>
      </c:catAx>
      <c:valAx>
        <c:axId val="219136592"/>
        <c:scaling>
          <c:orientation val="minMax"/>
          <c:max val="9"/>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Celcius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 #,##0.0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29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Sheet1!$E$20</c:f>
              <c:strCache>
                <c:ptCount val="1"/>
                <c:pt idx="0">
                  <c:v>Year</c:v>
                </c:pt>
              </c:strCache>
            </c:strRef>
          </c:tx>
          <c:spPr>
            <a:solidFill>
              <a:schemeClr val="accent1"/>
            </a:solidFill>
            <a:ln>
              <a:noFill/>
            </a:ln>
            <a:effectLst/>
          </c:spPr>
          <c:val>
            <c:numRef>
              <c:f>Sheet1!$E$21:$E$33</c:f>
              <c:numCache>
                <c:formatCode>General</c:formatCode>
                <c:ptCount val="13"/>
                <c:pt idx="0">
                  <c:v>2008</c:v>
                </c:pt>
                <c:pt idx="1">
                  <c:v>2009</c:v>
                </c:pt>
                <c:pt idx="2">
                  <c:v>2010</c:v>
                </c:pt>
                <c:pt idx="3">
                  <c:v>2011</c:v>
                </c:pt>
                <c:pt idx="4">
                  <c:v>2012</c:v>
                </c:pt>
                <c:pt idx="5">
                  <c:v>2013</c:v>
                </c:pt>
                <c:pt idx="6">
                  <c:v>2014</c:v>
                </c:pt>
                <c:pt idx="7">
                  <c:v>2015</c:v>
                </c:pt>
                <c:pt idx="8">
                  <c:v>2017</c:v>
                </c:pt>
                <c:pt idx="9">
                  <c:v>2018</c:v>
                </c:pt>
                <c:pt idx="10">
                  <c:v>2019</c:v>
                </c:pt>
                <c:pt idx="11">
                  <c:v>2020</c:v>
                </c:pt>
                <c:pt idx="12">
                  <c:v>2021</c:v>
                </c:pt>
              </c:numCache>
            </c:numRef>
          </c:val>
          <c:extLst>
            <c:ext xmlns:c16="http://schemas.microsoft.com/office/drawing/2014/chart" uri="{C3380CC4-5D6E-409C-BE32-E72D297353CC}">
              <c16:uniqueId val="{00000001-77E5-4276-9313-30C3995DAE3B}"/>
            </c:ext>
          </c:extLst>
        </c:ser>
        <c:ser>
          <c:idx val="1"/>
          <c:order val="1"/>
          <c:tx>
            <c:strRef>
              <c:f>Sheet1!$G$20</c:f>
              <c:strCache>
                <c:ptCount val="1"/>
                <c:pt idx="0">
                  <c:v>SPEI-10</c:v>
                </c:pt>
              </c:strCache>
            </c:strRef>
          </c:tx>
          <c:spPr>
            <a:solidFill>
              <a:schemeClr val="accent2"/>
            </a:solidFill>
            <a:ln>
              <a:noFill/>
            </a:ln>
            <a:effectLst/>
          </c:spPr>
          <c:val>
            <c:numRef>
              <c:f>Sheet1!$G$21:$G$33</c:f>
              <c:numCache>
                <c:formatCode>0.00</c:formatCode>
                <c:ptCount val="13"/>
                <c:pt idx="0">
                  <c:v>-0.67</c:v>
                </c:pt>
                <c:pt idx="1">
                  <c:v>-0.61</c:v>
                </c:pt>
                <c:pt idx="2">
                  <c:v>0.32</c:v>
                </c:pt>
                <c:pt idx="3">
                  <c:v>-1.03</c:v>
                </c:pt>
                <c:pt idx="4">
                  <c:v>-0.77</c:v>
                </c:pt>
                <c:pt idx="5">
                  <c:v>0.2</c:v>
                </c:pt>
                <c:pt idx="6">
                  <c:v>-0.83</c:v>
                </c:pt>
                <c:pt idx="7">
                  <c:v>-1.56</c:v>
                </c:pt>
                <c:pt idx="8">
                  <c:v>-0.67</c:v>
                </c:pt>
                <c:pt idx="9">
                  <c:v>-1.03</c:v>
                </c:pt>
                <c:pt idx="10">
                  <c:v>-0.43</c:v>
                </c:pt>
                <c:pt idx="11">
                  <c:v>-0.36</c:v>
                </c:pt>
                <c:pt idx="12">
                  <c:v>0.32</c:v>
                </c:pt>
              </c:numCache>
            </c:numRef>
          </c:val>
          <c:extLst>
            <c:ext xmlns:c16="http://schemas.microsoft.com/office/drawing/2014/chart" uri="{C3380CC4-5D6E-409C-BE32-E72D297353CC}">
              <c16:uniqueId val="{00000003-77E5-4276-9313-30C3995DAE3B}"/>
            </c:ext>
          </c:extLst>
        </c:ser>
        <c:dLbls>
          <c:showLegendKey val="0"/>
          <c:showVal val="0"/>
          <c:showCatName val="0"/>
          <c:showSerName val="0"/>
          <c:showPercent val="0"/>
          <c:showBubbleSize val="0"/>
        </c:dLbls>
        <c:axId val="387922952"/>
        <c:axId val="387933192"/>
      </c:areaChart>
      <c:catAx>
        <c:axId val="387922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33192"/>
        <c:crosses val="autoZero"/>
        <c:auto val="1"/>
        <c:lblAlgn val="ctr"/>
        <c:lblOffset val="100"/>
        <c:noMultiLvlLbl val="0"/>
      </c:catAx>
      <c:valAx>
        <c:axId val="387933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22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Sheet3!$B$35:$O$35</c:f>
              <c:numCache>
                <c:formatCode>0.0</c:formatCode>
                <c:ptCount val="14"/>
                <c:pt idx="0">
                  <c:v>19387.900000000001</c:v>
                </c:pt>
                <c:pt idx="1">
                  <c:v>28025.599999999999</c:v>
                </c:pt>
                <c:pt idx="2">
                  <c:v>23898.3</c:v>
                </c:pt>
                <c:pt idx="3">
                  <c:v>32026.5</c:v>
                </c:pt>
                <c:pt idx="4">
                  <c:v>20287.3</c:v>
                </c:pt>
                <c:pt idx="5">
                  <c:v>17665.7</c:v>
                </c:pt>
                <c:pt idx="6">
                  <c:v>25999.9</c:v>
                </c:pt>
                <c:pt idx="7">
                  <c:v>31308.1</c:v>
                </c:pt>
                <c:pt idx="8">
                  <c:v>26725.200000000001</c:v>
                </c:pt>
                <c:pt idx="9">
                  <c:v>20035.2</c:v>
                </c:pt>
                <c:pt idx="10">
                  <c:v>32781.599999999999</c:v>
                </c:pt>
                <c:pt idx="11">
                  <c:v>31980.5</c:v>
                </c:pt>
                <c:pt idx="12">
                  <c:v>36234.1</c:v>
                </c:pt>
                <c:pt idx="13">
                  <c:v>25605.7</c:v>
                </c:pt>
              </c:numCache>
            </c:numRef>
          </c:xVal>
          <c:yVal>
            <c:numRef>
              <c:f>Sheet3!$B$55:$O$55</c:f>
              <c:numCache>
                <c:formatCode>General</c:formatCode>
                <c:ptCount val="14"/>
                <c:pt idx="0">
                  <c:v>70.94</c:v>
                </c:pt>
                <c:pt idx="1">
                  <c:v>64.14</c:v>
                </c:pt>
                <c:pt idx="2">
                  <c:v>62.11</c:v>
                </c:pt>
                <c:pt idx="3">
                  <c:v>82.34</c:v>
                </c:pt>
                <c:pt idx="4">
                  <c:v>80.430000000000007</c:v>
                </c:pt>
                <c:pt idx="5">
                  <c:v>89.79</c:v>
                </c:pt>
                <c:pt idx="6">
                  <c:v>89.41</c:v>
                </c:pt>
                <c:pt idx="7">
                  <c:v>84.75</c:v>
                </c:pt>
                <c:pt idx="8">
                  <c:v>#N/A</c:v>
                </c:pt>
                <c:pt idx="9">
                  <c:v>71.8</c:v>
                </c:pt>
                <c:pt idx="10">
                  <c:v>72.53</c:v>
                </c:pt>
                <c:pt idx="11">
                  <c:v>71.900000000000006</c:v>
                </c:pt>
                <c:pt idx="12">
                  <c:v>81.81</c:v>
                </c:pt>
                <c:pt idx="13">
                  <c:v>75.33</c:v>
                </c:pt>
              </c:numCache>
            </c:numRef>
          </c:yVal>
          <c:smooth val="0"/>
          <c:extLst>
            <c:ext xmlns:c16="http://schemas.microsoft.com/office/drawing/2014/chart" uri="{C3380CC4-5D6E-409C-BE32-E72D297353CC}">
              <c16:uniqueId val="{00000000-2421-4C74-B6B5-D1DA135B09F7}"/>
            </c:ext>
          </c:extLst>
        </c:ser>
        <c:dLbls>
          <c:showLegendKey val="0"/>
          <c:showVal val="0"/>
          <c:showCatName val="0"/>
          <c:showSerName val="0"/>
          <c:showPercent val="0"/>
          <c:showBubbleSize val="0"/>
        </c:dLbls>
        <c:axId val="886022448"/>
        <c:axId val="886955264"/>
      </c:scatterChart>
      <c:valAx>
        <c:axId val="88602244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55264"/>
        <c:crosses val="autoZero"/>
        <c:crossBetween val="midCat"/>
      </c:valAx>
      <c:valAx>
        <c:axId val="88695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022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7620</xdr:colOff>
      <xdr:row>29</xdr:row>
      <xdr:rowOff>114300</xdr:rowOff>
    </xdr:from>
    <xdr:to>
      <xdr:col>2</xdr:col>
      <xdr:colOff>1124385</xdr:colOff>
      <xdr:row>45</xdr:row>
      <xdr:rowOff>160020</xdr:rowOff>
    </xdr:to>
    <xdr:pic>
      <xdr:nvPicPr>
        <xdr:cNvPr id="3" name="Picture 2">
          <a:extLst>
            <a:ext uri="{FF2B5EF4-FFF2-40B4-BE49-F238E27FC236}">
              <a16:creationId xmlns:a16="http://schemas.microsoft.com/office/drawing/2014/main" id="{F8A266F6-0B7F-EC89-C782-F7B1E3D29721}"/>
            </a:ext>
          </a:extLst>
        </xdr:cNvPr>
        <xdr:cNvPicPr>
          <a:picLocks noChangeAspect="1"/>
        </xdr:cNvPicPr>
      </xdr:nvPicPr>
      <xdr:blipFill>
        <a:blip xmlns:r="http://schemas.openxmlformats.org/officeDocument/2006/relationships" r:embed="rId1"/>
        <a:stretch>
          <a:fillRect/>
        </a:stretch>
      </xdr:blipFill>
      <xdr:spPr>
        <a:xfrm>
          <a:off x="7620" y="5715000"/>
          <a:ext cx="3707565" cy="2971800"/>
        </a:xfrm>
        <a:prstGeom prst="rect">
          <a:avLst/>
        </a:prstGeom>
      </xdr:spPr>
    </xdr:pic>
    <xdr:clientData/>
  </xdr:twoCellAnchor>
  <xdr:twoCellAnchor editAs="oneCell">
    <xdr:from>
      <xdr:col>2</xdr:col>
      <xdr:colOff>1188720</xdr:colOff>
      <xdr:row>29</xdr:row>
      <xdr:rowOff>30480</xdr:rowOff>
    </xdr:from>
    <xdr:to>
      <xdr:col>5</xdr:col>
      <xdr:colOff>1246764</xdr:colOff>
      <xdr:row>46</xdr:row>
      <xdr:rowOff>60960</xdr:rowOff>
    </xdr:to>
    <xdr:pic>
      <xdr:nvPicPr>
        <xdr:cNvPr id="4" name="Picture 3">
          <a:extLst>
            <a:ext uri="{FF2B5EF4-FFF2-40B4-BE49-F238E27FC236}">
              <a16:creationId xmlns:a16="http://schemas.microsoft.com/office/drawing/2014/main" id="{56AA62C0-04F3-C588-117A-CE018EFD7D76}"/>
            </a:ext>
          </a:extLst>
        </xdr:cNvPr>
        <xdr:cNvPicPr>
          <a:picLocks noChangeAspect="1"/>
        </xdr:cNvPicPr>
      </xdr:nvPicPr>
      <xdr:blipFill>
        <a:blip xmlns:r="http://schemas.openxmlformats.org/officeDocument/2006/relationships" r:embed="rId2"/>
        <a:stretch>
          <a:fillRect/>
        </a:stretch>
      </xdr:blipFill>
      <xdr:spPr>
        <a:xfrm>
          <a:off x="3779520" y="5631180"/>
          <a:ext cx="3746124" cy="3139440"/>
        </a:xfrm>
        <a:prstGeom prst="rect">
          <a:avLst/>
        </a:prstGeom>
      </xdr:spPr>
    </xdr:pic>
    <xdr:clientData/>
  </xdr:twoCellAnchor>
  <xdr:twoCellAnchor editAs="oneCell">
    <xdr:from>
      <xdr:col>6</xdr:col>
      <xdr:colOff>0</xdr:colOff>
      <xdr:row>29</xdr:row>
      <xdr:rowOff>0</xdr:rowOff>
    </xdr:from>
    <xdr:to>
      <xdr:col>11</xdr:col>
      <xdr:colOff>259035</xdr:colOff>
      <xdr:row>46</xdr:row>
      <xdr:rowOff>60960</xdr:rowOff>
    </xdr:to>
    <xdr:pic>
      <xdr:nvPicPr>
        <xdr:cNvPr id="5" name="Picture 4">
          <a:extLst>
            <a:ext uri="{FF2B5EF4-FFF2-40B4-BE49-F238E27FC236}">
              <a16:creationId xmlns:a16="http://schemas.microsoft.com/office/drawing/2014/main" id="{F8152629-64B3-1D34-EC4C-5C25C15628A7}"/>
            </a:ext>
          </a:extLst>
        </xdr:cNvPr>
        <xdr:cNvPicPr>
          <a:picLocks noChangeAspect="1"/>
        </xdr:cNvPicPr>
      </xdr:nvPicPr>
      <xdr:blipFill>
        <a:blip xmlns:r="http://schemas.openxmlformats.org/officeDocument/2006/relationships" r:embed="rId3"/>
        <a:stretch>
          <a:fillRect/>
        </a:stretch>
      </xdr:blipFill>
      <xdr:spPr>
        <a:xfrm>
          <a:off x="7620000" y="5600700"/>
          <a:ext cx="3954735" cy="3169920"/>
        </a:xfrm>
        <a:prstGeom prst="rect">
          <a:avLst/>
        </a:prstGeom>
      </xdr:spPr>
    </xdr:pic>
    <xdr:clientData/>
  </xdr:twoCellAnchor>
  <xdr:twoCellAnchor editAs="oneCell">
    <xdr:from>
      <xdr:col>0</xdr:col>
      <xdr:colOff>0</xdr:colOff>
      <xdr:row>47</xdr:row>
      <xdr:rowOff>0</xdr:rowOff>
    </xdr:from>
    <xdr:to>
      <xdr:col>2</xdr:col>
      <xdr:colOff>1196647</xdr:colOff>
      <xdr:row>64</xdr:row>
      <xdr:rowOff>15240</xdr:rowOff>
    </xdr:to>
    <xdr:pic>
      <xdr:nvPicPr>
        <xdr:cNvPr id="6" name="Picture 5">
          <a:extLst>
            <a:ext uri="{FF2B5EF4-FFF2-40B4-BE49-F238E27FC236}">
              <a16:creationId xmlns:a16="http://schemas.microsoft.com/office/drawing/2014/main" id="{5D00810F-307D-9490-A323-ED493556971D}"/>
            </a:ext>
          </a:extLst>
        </xdr:cNvPr>
        <xdr:cNvPicPr>
          <a:picLocks noChangeAspect="1"/>
        </xdr:cNvPicPr>
      </xdr:nvPicPr>
      <xdr:blipFill>
        <a:blip xmlns:r="http://schemas.openxmlformats.org/officeDocument/2006/relationships" r:embed="rId4"/>
        <a:stretch>
          <a:fillRect/>
        </a:stretch>
      </xdr:blipFill>
      <xdr:spPr>
        <a:xfrm>
          <a:off x="0" y="8892540"/>
          <a:ext cx="3806497" cy="3124200"/>
        </a:xfrm>
        <a:prstGeom prst="rect">
          <a:avLst/>
        </a:prstGeom>
      </xdr:spPr>
    </xdr:pic>
    <xdr:clientData/>
  </xdr:twoCellAnchor>
  <xdr:twoCellAnchor editAs="oneCell">
    <xdr:from>
      <xdr:col>6</xdr:col>
      <xdr:colOff>434341</xdr:colOff>
      <xdr:row>46</xdr:row>
      <xdr:rowOff>68580</xdr:rowOff>
    </xdr:from>
    <xdr:to>
      <xdr:col>12</xdr:col>
      <xdr:colOff>91441</xdr:colOff>
      <xdr:row>63</xdr:row>
      <xdr:rowOff>134462</xdr:rowOff>
    </xdr:to>
    <xdr:pic>
      <xdr:nvPicPr>
        <xdr:cNvPr id="7" name="Picture 6">
          <a:extLst>
            <a:ext uri="{FF2B5EF4-FFF2-40B4-BE49-F238E27FC236}">
              <a16:creationId xmlns:a16="http://schemas.microsoft.com/office/drawing/2014/main" id="{53B31BC2-3683-3102-87FA-0682380F6A5D}"/>
            </a:ext>
          </a:extLst>
        </xdr:cNvPr>
        <xdr:cNvPicPr>
          <a:picLocks noChangeAspect="1"/>
        </xdr:cNvPicPr>
      </xdr:nvPicPr>
      <xdr:blipFill>
        <a:blip xmlns:r="http://schemas.openxmlformats.org/officeDocument/2006/relationships" r:embed="rId5"/>
        <a:stretch>
          <a:fillRect/>
        </a:stretch>
      </xdr:blipFill>
      <xdr:spPr>
        <a:xfrm>
          <a:off x="8054341" y="8778240"/>
          <a:ext cx="3962400" cy="3174842"/>
        </a:xfrm>
        <a:prstGeom prst="rect">
          <a:avLst/>
        </a:prstGeom>
      </xdr:spPr>
    </xdr:pic>
    <xdr:clientData/>
  </xdr:twoCellAnchor>
  <xdr:twoCellAnchor editAs="oneCell">
    <xdr:from>
      <xdr:col>0</xdr:col>
      <xdr:colOff>358140</xdr:colOff>
      <xdr:row>66</xdr:row>
      <xdr:rowOff>53340</xdr:rowOff>
    </xdr:from>
    <xdr:to>
      <xdr:col>3</xdr:col>
      <xdr:colOff>426823</xdr:colOff>
      <xdr:row>83</xdr:row>
      <xdr:rowOff>106680</xdr:rowOff>
    </xdr:to>
    <xdr:pic>
      <xdr:nvPicPr>
        <xdr:cNvPr id="9" name="Picture 8">
          <a:extLst>
            <a:ext uri="{FF2B5EF4-FFF2-40B4-BE49-F238E27FC236}">
              <a16:creationId xmlns:a16="http://schemas.microsoft.com/office/drawing/2014/main" id="{F4ECDB0D-F9B5-C4AB-E0AF-763FB1F1F78B}"/>
            </a:ext>
          </a:extLst>
        </xdr:cNvPr>
        <xdr:cNvPicPr>
          <a:picLocks noChangeAspect="1"/>
        </xdr:cNvPicPr>
      </xdr:nvPicPr>
      <xdr:blipFill>
        <a:blip xmlns:r="http://schemas.openxmlformats.org/officeDocument/2006/relationships" r:embed="rId6"/>
        <a:stretch>
          <a:fillRect/>
        </a:stretch>
      </xdr:blipFill>
      <xdr:spPr>
        <a:xfrm>
          <a:off x="358140" y="12420600"/>
          <a:ext cx="3893923" cy="3162300"/>
        </a:xfrm>
        <a:prstGeom prst="rect">
          <a:avLst/>
        </a:prstGeom>
      </xdr:spPr>
    </xdr:pic>
    <xdr:clientData/>
  </xdr:twoCellAnchor>
  <xdr:twoCellAnchor editAs="oneCell">
    <xdr:from>
      <xdr:col>3</xdr:col>
      <xdr:colOff>739140</xdr:colOff>
      <xdr:row>66</xdr:row>
      <xdr:rowOff>7621</xdr:rowOff>
    </xdr:from>
    <xdr:to>
      <xdr:col>6</xdr:col>
      <xdr:colOff>935730</xdr:colOff>
      <xdr:row>83</xdr:row>
      <xdr:rowOff>22861</xdr:rowOff>
    </xdr:to>
    <xdr:pic>
      <xdr:nvPicPr>
        <xdr:cNvPr id="10" name="Picture 9">
          <a:extLst>
            <a:ext uri="{FF2B5EF4-FFF2-40B4-BE49-F238E27FC236}">
              <a16:creationId xmlns:a16="http://schemas.microsoft.com/office/drawing/2014/main" id="{13D0C114-B278-310F-192C-B02DB8FB6A66}"/>
            </a:ext>
          </a:extLst>
        </xdr:cNvPr>
        <xdr:cNvPicPr>
          <a:picLocks noChangeAspect="1"/>
        </xdr:cNvPicPr>
      </xdr:nvPicPr>
      <xdr:blipFill>
        <a:blip xmlns:r="http://schemas.openxmlformats.org/officeDocument/2006/relationships" r:embed="rId7"/>
        <a:stretch>
          <a:fillRect/>
        </a:stretch>
      </xdr:blipFill>
      <xdr:spPr>
        <a:xfrm>
          <a:off x="4564380" y="12374881"/>
          <a:ext cx="3991350" cy="3124200"/>
        </a:xfrm>
        <a:prstGeom prst="rect">
          <a:avLst/>
        </a:prstGeom>
      </xdr:spPr>
    </xdr:pic>
    <xdr:clientData/>
  </xdr:twoCellAnchor>
  <xdr:twoCellAnchor editAs="oneCell">
    <xdr:from>
      <xdr:col>6</xdr:col>
      <xdr:colOff>1066801</xdr:colOff>
      <xdr:row>66</xdr:row>
      <xdr:rowOff>30481</xdr:rowOff>
    </xdr:from>
    <xdr:to>
      <xdr:col>12</xdr:col>
      <xdr:colOff>533401</xdr:colOff>
      <xdr:row>83</xdr:row>
      <xdr:rowOff>8713</xdr:rowOff>
    </xdr:to>
    <xdr:pic>
      <xdr:nvPicPr>
        <xdr:cNvPr id="11" name="Picture 10">
          <a:extLst>
            <a:ext uri="{FF2B5EF4-FFF2-40B4-BE49-F238E27FC236}">
              <a16:creationId xmlns:a16="http://schemas.microsoft.com/office/drawing/2014/main" id="{4EBD7CF4-094B-ED26-5419-8B7C2B5FA370}"/>
            </a:ext>
          </a:extLst>
        </xdr:cNvPr>
        <xdr:cNvPicPr>
          <a:picLocks noChangeAspect="1"/>
        </xdr:cNvPicPr>
      </xdr:nvPicPr>
      <xdr:blipFill>
        <a:blip xmlns:r="http://schemas.openxmlformats.org/officeDocument/2006/relationships" r:embed="rId8"/>
        <a:stretch>
          <a:fillRect/>
        </a:stretch>
      </xdr:blipFill>
      <xdr:spPr>
        <a:xfrm>
          <a:off x="8686801" y="12397741"/>
          <a:ext cx="3771900" cy="3087192"/>
        </a:xfrm>
        <a:prstGeom prst="rect">
          <a:avLst/>
        </a:prstGeom>
      </xdr:spPr>
    </xdr:pic>
    <xdr:clientData/>
  </xdr:twoCellAnchor>
  <xdr:twoCellAnchor editAs="oneCell">
    <xdr:from>
      <xdr:col>3</xdr:col>
      <xdr:colOff>236220</xdr:colOff>
      <xdr:row>47</xdr:row>
      <xdr:rowOff>105048</xdr:rowOff>
    </xdr:from>
    <xdr:to>
      <xdr:col>6</xdr:col>
      <xdr:colOff>335280</xdr:colOff>
      <xdr:row>64</xdr:row>
      <xdr:rowOff>129540</xdr:rowOff>
    </xdr:to>
    <xdr:pic>
      <xdr:nvPicPr>
        <xdr:cNvPr id="12" name="Picture 11">
          <a:extLst>
            <a:ext uri="{FF2B5EF4-FFF2-40B4-BE49-F238E27FC236}">
              <a16:creationId xmlns:a16="http://schemas.microsoft.com/office/drawing/2014/main" id="{6B6EBA48-9AAC-E788-20D1-CF76B2BEB3D2}"/>
            </a:ext>
          </a:extLst>
        </xdr:cNvPr>
        <xdr:cNvPicPr>
          <a:picLocks noChangeAspect="1"/>
        </xdr:cNvPicPr>
      </xdr:nvPicPr>
      <xdr:blipFill>
        <a:blip xmlns:r="http://schemas.openxmlformats.org/officeDocument/2006/relationships" r:embed="rId9"/>
        <a:stretch>
          <a:fillRect/>
        </a:stretch>
      </xdr:blipFill>
      <xdr:spPr>
        <a:xfrm>
          <a:off x="4061460" y="8997588"/>
          <a:ext cx="3893820" cy="3133452"/>
        </a:xfrm>
        <a:prstGeom prst="rect">
          <a:avLst/>
        </a:prstGeom>
      </xdr:spPr>
    </xdr:pic>
    <xdr:clientData/>
  </xdr:twoCellAnchor>
  <xdr:twoCellAnchor editAs="oneCell">
    <xdr:from>
      <xdr:col>3</xdr:col>
      <xdr:colOff>891540</xdr:colOff>
      <xdr:row>84</xdr:row>
      <xdr:rowOff>76201</xdr:rowOff>
    </xdr:from>
    <xdr:to>
      <xdr:col>6</xdr:col>
      <xdr:colOff>999078</xdr:colOff>
      <xdr:row>101</xdr:row>
      <xdr:rowOff>38101</xdr:rowOff>
    </xdr:to>
    <xdr:pic>
      <xdr:nvPicPr>
        <xdr:cNvPr id="13" name="Picture 12">
          <a:extLst>
            <a:ext uri="{FF2B5EF4-FFF2-40B4-BE49-F238E27FC236}">
              <a16:creationId xmlns:a16="http://schemas.microsoft.com/office/drawing/2014/main" id="{DEA83D4F-1CBD-46AF-1B2B-ECB3C1868A23}"/>
            </a:ext>
          </a:extLst>
        </xdr:cNvPr>
        <xdr:cNvPicPr>
          <a:picLocks noChangeAspect="1"/>
        </xdr:cNvPicPr>
      </xdr:nvPicPr>
      <xdr:blipFill>
        <a:blip xmlns:r="http://schemas.openxmlformats.org/officeDocument/2006/relationships" r:embed="rId10"/>
        <a:stretch>
          <a:fillRect/>
        </a:stretch>
      </xdr:blipFill>
      <xdr:spPr>
        <a:xfrm>
          <a:off x="4716780" y="15735301"/>
          <a:ext cx="3902298" cy="3070860"/>
        </a:xfrm>
        <a:prstGeom prst="rect">
          <a:avLst/>
        </a:prstGeom>
      </xdr:spPr>
    </xdr:pic>
    <xdr:clientData/>
  </xdr:twoCellAnchor>
  <xdr:twoCellAnchor editAs="oneCell">
    <xdr:from>
      <xdr:col>0</xdr:col>
      <xdr:colOff>493234</xdr:colOff>
      <xdr:row>84</xdr:row>
      <xdr:rowOff>45719</xdr:rowOff>
    </xdr:from>
    <xdr:to>
      <xdr:col>3</xdr:col>
      <xdr:colOff>646183</xdr:colOff>
      <xdr:row>101</xdr:row>
      <xdr:rowOff>106680</xdr:rowOff>
    </xdr:to>
    <xdr:pic>
      <xdr:nvPicPr>
        <xdr:cNvPr id="14" name="Picture 13">
          <a:extLst>
            <a:ext uri="{FF2B5EF4-FFF2-40B4-BE49-F238E27FC236}">
              <a16:creationId xmlns:a16="http://schemas.microsoft.com/office/drawing/2014/main" id="{DE7C8943-AEE5-AE6C-DE4D-F6ADB29EF3A5}"/>
            </a:ext>
          </a:extLst>
        </xdr:cNvPr>
        <xdr:cNvPicPr>
          <a:picLocks noChangeAspect="1"/>
        </xdr:cNvPicPr>
      </xdr:nvPicPr>
      <xdr:blipFill>
        <a:blip xmlns:r="http://schemas.openxmlformats.org/officeDocument/2006/relationships" r:embed="rId11"/>
        <a:stretch>
          <a:fillRect/>
        </a:stretch>
      </xdr:blipFill>
      <xdr:spPr>
        <a:xfrm>
          <a:off x="493234" y="15704819"/>
          <a:ext cx="3978189" cy="3169921"/>
        </a:xfrm>
        <a:prstGeom prst="rect">
          <a:avLst/>
        </a:prstGeom>
      </xdr:spPr>
    </xdr:pic>
    <xdr:clientData/>
  </xdr:twoCellAnchor>
  <xdr:twoCellAnchor editAs="oneCell">
    <xdr:from>
      <xdr:col>0</xdr:col>
      <xdr:colOff>381000</xdr:colOff>
      <xdr:row>102</xdr:row>
      <xdr:rowOff>152401</xdr:rowOff>
    </xdr:from>
    <xdr:to>
      <xdr:col>3</xdr:col>
      <xdr:colOff>598769</xdr:colOff>
      <xdr:row>119</xdr:row>
      <xdr:rowOff>91441</xdr:rowOff>
    </xdr:to>
    <xdr:pic>
      <xdr:nvPicPr>
        <xdr:cNvPr id="15" name="Picture 14">
          <a:extLst>
            <a:ext uri="{FF2B5EF4-FFF2-40B4-BE49-F238E27FC236}">
              <a16:creationId xmlns:a16="http://schemas.microsoft.com/office/drawing/2014/main" id="{EB3BCB82-A443-E255-E58A-FCC369770437}"/>
            </a:ext>
          </a:extLst>
        </xdr:cNvPr>
        <xdr:cNvPicPr>
          <a:picLocks noChangeAspect="1"/>
        </xdr:cNvPicPr>
      </xdr:nvPicPr>
      <xdr:blipFill>
        <a:blip xmlns:r="http://schemas.openxmlformats.org/officeDocument/2006/relationships" r:embed="rId12"/>
        <a:stretch>
          <a:fillRect/>
        </a:stretch>
      </xdr:blipFill>
      <xdr:spPr>
        <a:xfrm>
          <a:off x="381000" y="19103341"/>
          <a:ext cx="4043009" cy="3048000"/>
        </a:xfrm>
        <a:prstGeom prst="rect">
          <a:avLst/>
        </a:prstGeom>
      </xdr:spPr>
    </xdr:pic>
    <xdr:clientData/>
  </xdr:twoCellAnchor>
  <xdr:twoCellAnchor editAs="oneCell">
    <xdr:from>
      <xdr:col>3</xdr:col>
      <xdr:colOff>830580</xdr:colOff>
      <xdr:row>102</xdr:row>
      <xdr:rowOff>137160</xdr:rowOff>
    </xdr:from>
    <xdr:to>
      <xdr:col>6</xdr:col>
      <xdr:colOff>810449</xdr:colOff>
      <xdr:row>119</xdr:row>
      <xdr:rowOff>60960</xdr:rowOff>
    </xdr:to>
    <xdr:pic>
      <xdr:nvPicPr>
        <xdr:cNvPr id="16" name="Picture 15">
          <a:extLst>
            <a:ext uri="{FF2B5EF4-FFF2-40B4-BE49-F238E27FC236}">
              <a16:creationId xmlns:a16="http://schemas.microsoft.com/office/drawing/2014/main" id="{5ABBE5FB-1BC2-28FB-0D08-2FA05190BDC5}"/>
            </a:ext>
          </a:extLst>
        </xdr:cNvPr>
        <xdr:cNvPicPr>
          <a:picLocks noChangeAspect="1"/>
        </xdr:cNvPicPr>
      </xdr:nvPicPr>
      <xdr:blipFill>
        <a:blip xmlns:r="http://schemas.openxmlformats.org/officeDocument/2006/relationships" r:embed="rId13"/>
        <a:stretch>
          <a:fillRect/>
        </a:stretch>
      </xdr:blipFill>
      <xdr:spPr>
        <a:xfrm>
          <a:off x="4655820" y="19088100"/>
          <a:ext cx="3774629" cy="3032760"/>
        </a:xfrm>
        <a:prstGeom prst="rect">
          <a:avLst/>
        </a:prstGeom>
      </xdr:spPr>
    </xdr:pic>
    <xdr:clientData/>
  </xdr:twoCellAnchor>
  <xdr:twoCellAnchor editAs="oneCell">
    <xdr:from>
      <xdr:col>6</xdr:col>
      <xdr:colOff>1059181</xdr:colOff>
      <xdr:row>103</xdr:row>
      <xdr:rowOff>1</xdr:rowOff>
    </xdr:from>
    <xdr:to>
      <xdr:col>13</xdr:col>
      <xdr:colOff>34457</xdr:colOff>
      <xdr:row>120</xdr:row>
      <xdr:rowOff>30481</xdr:rowOff>
    </xdr:to>
    <xdr:pic>
      <xdr:nvPicPr>
        <xdr:cNvPr id="17" name="Picture 16">
          <a:extLst>
            <a:ext uri="{FF2B5EF4-FFF2-40B4-BE49-F238E27FC236}">
              <a16:creationId xmlns:a16="http://schemas.microsoft.com/office/drawing/2014/main" id="{0B1E0ADB-3BF5-66E9-64EC-A60920AD860B}"/>
            </a:ext>
          </a:extLst>
        </xdr:cNvPr>
        <xdr:cNvPicPr>
          <a:picLocks noChangeAspect="1"/>
        </xdr:cNvPicPr>
      </xdr:nvPicPr>
      <xdr:blipFill>
        <a:blip xmlns:r="http://schemas.openxmlformats.org/officeDocument/2006/relationships" r:embed="rId14"/>
        <a:stretch>
          <a:fillRect/>
        </a:stretch>
      </xdr:blipFill>
      <xdr:spPr>
        <a:xfrm>
          <a:off x="8679181" y="19133821"/>
          <a:ext cx="3890176" cy="3139440"/>
        </a:xfrm>
        <a:prstGeom prst="rect">
          <a:avLst/>
        </a:prstGeom>
      </xdr:spPr>
    </xdr:pic>
    <xdr:clientData/>
  </xdr:twoCellAnchor>
  <xdr:twoCellAnchor editAs="oneCell">
    <xdr:from>
      <xdr:col>0</xdr:col>
      <xdr:colOff>487680</xdr:colOff>
      <xdr:row>120</xdr:row>
      <xdr:rowOff>106680</xdr:rowOff>
    </xdr:from>
    <xdr:to>
      <xdr:col>3</xdr:col>
      <xdr:colOff>678180</xdr:colOff>
      <xdr:row>138</xdr:row>
      <xdr:rowOff>42681</xdr:rowOff>
    </xdr:to>
    <xdr:pic>
      <xdr:nvPicPr>
        <xdr:cNvPr id="18" name="Picture 17">
          <a:extLst>
            <a:ext uri="{FF2B5EF4-FFF2-40B4-BE49-F238E27FC236}">
              <a16:creationId xmlns:a16="http://schemas.microsoft.com/office/drawing/2014/main" id="{29EB5D06-2637-9CE5-2463-E386AD39B97C}"/>
            </a:ext>
          </a:extLst>
        </xdr:cNvPr>
        <xdr:cNvPicPr>
          <a:picLocks noChangeAspect="1"/>
        </xdr:cNvPicPr>
      </xdr:nvPicPr>
      <xdr:blipFill>
        <a:blip xmlns:r="http://schemas.openxmlformats.org/officeDocument/2006/relationships" r:embed="rId15"/>
        <a:stretch>
          <a:fillRect/>
        </a:stretch>
      </xdr:blipFill>
      <xdr:spPr>
        <a:xfrm>
          <a:off x="487680" y="22349460"/>
          <a:ext cx="4015740" cy="3227841"/>
        </a:xfrm>
        <a:prstGeom prst="rect">
          <a:avLst/>
        </a:prstGeom>
      </xdr:spPr>
    </xdr:pic>
    <xdr:clientData/>
  </xdr:twoCellAnchor>
  <xdr:twoCellAnchor editAs="oneCell">
    <xdr:from>
      <xdr:col>0</xdr:col>
      <xdr:colOff>689611</xdr:colOff>
      <xdr:row>139</xdr:row>
      <xdr:rowOff>179070</xdr:rowOff>
    </xdr:from>
    <xdr:to>
      <xdr:col>3</xdr:col>
      <xdr:colOff>240031</xdr:colOff>
      <xdr:row>154</xdr:row>
      <xdr:rowOff>137460</xdr:rowOff>
    </xdr:to>
    <xdr:pic>
      <xdr:nvPicPr>
        <xdr:cNvPr id="19" name="Picture 18">
          <a:extLst>
            <a:ext uri="{FF2B5EF4-FFF2-40B4-BE49-F238E27FC236}">
              <a16:creationId xmlns:a16="http://schemas.microsoft.com/office/drawing/2014/main" id="{0D4D3EB6-F633-9F60-645C-707468CBC272}"/>
            </a:ext>
            <a:ext uri="{147F2762-F138-4A5C-976F-8EAC2B608ADB}">
              <a16:predDERef xmlns:a16="http://schemas.microsoft.com/office/drawing/2014/main" pred="{29EB5D06-2637-9CE5-2463-E386AD39B97C}"/>
            </a:ext>
          </a:extLst>
        </xdr:cNvPr>
        <xdr:cNvPicPr>
          <a:picLocks noChangeAspect="1"/>
        </xdr:cNvPicPr>
      </xdr:nvPicPr>
      <xdr:blipFill>
        <a:blip xmlns:r="http://schemas.openxmlformats.org/officeDocument/2006/relationships" r:embed="rId16"/>
        <a:stretch>
          <a:fillRect/>
        </a:stretch>
      </xdr:blipFill>
      <xdr:spPr>
        <a:xfrm>
          <a:off x="689611" y="25582245"/>
          <a:ext cx="3265170" cy="2673015"/>
        </a:xfrm>
        <a:prstGeom prst="rect">
          <a:avLst/>
        </a:prstGeom>
      </xdr:spPr>
    </xdr:pic>
    <xdr:clientData/>
  </xdr:twoCellAnchor>
  <xdr:twoCellAnchor editAs="oneCell">
    <xdr:from>
      <xdr:col>6</xdr:col>
      <xdr:colOff>152400</xdr:colOff>
      <xdr:row>139</xdr:row>
      <xdr:rowOff>83820</xdr:rowOff>
    </xdr:from>
    <xdr:to>
      <xdr:col>10</xdr:col>
      <xdr:colOff>599375</xdr:colOff>
      <xdr:row>155</xdr:row>
      <xdr:rowOff>30480</xdr:rowOff>
    </xdr:to>
    <xdr:pic>
      <xdr:nvPicPr>
        <xdr:cNvPr id="20" name="Picture 19">
          <a:extLst>
            <a:ext uri="{FF2B5EF4-FFF2-40B4-BE49-F238E27FC236}">
              <a16:creationId xmlns:a16="http://schemas.microsoft.com/office/drawing/2014/main" id="{C4E77BD5-F370-6583-0B71-77E3C0FFEE18}"/>
            </a:ext>
          </a:extLst>
        </xdr:cNvPr>
        <xdr:cNvPicPr>
          <a:picLocks noChangeAspect="1"/>
        </xdr:cNvPicPr>
      </xdr:nvPicPr>
      <xdr:blipFill>
        <a:blip xmlns:r="http://schemas.openxmlformats.org/officeDocument/2006/relationships" r:embed="rId17"/>
        <a:stretch>
          <a:fillRect/>
        </a:stretch>
      </xdr:blipFill>
      <xdr:spPr>
        <a:xfrm>
          <a:off x="7772400" y="25801320"/>
          <a:ext cx="3533075" cy="2872740"/>
        </a:xfrm>
        <a:prstGeom prst="rect">
          <a:avLst/>
        </a:prstGeom>
      </xdr:spPr>
    </xdr:pic>
    <xdr:clientData/>
  </xdr:twoCellAnchor>
  <xdr:twoCellAnchor editAs="oneCell">
    <xdr:from>
      <xdr:col>3</xdr:col>
      <xdr:colOff>213361</xdr:colOff>
      <xdr:row>139</xdr:row>
      <xdr:rowOff>7620</xdr:rowOff>
    </xdr:from>
    <xdr:to>
      <xdr:col>5</xdr:col>
      <xdr:colOff>1300321</xdr:colOff>
      <xdr:row>154</xdr:row>
      <xdr:rowOff>148829</xdr:rowOff>
    </xdr:to>
    <xdr:pic>
      <xdr:nvPicPr>
        <xdr:cNvPr id="21" name="Picture 20">
          <a:extLst>
            <a:ext uri="{FF2B5EF4-FFF2-40B4-BE49-F238E27FC236}">
              <a16:creationId xmlns:a16="http://schemas.microsoft.com/office/drawing/2014/main" id="{A6689D3A-6CF3-C7A1-029A-378FDF0E912E}"/>
            </a:ext>
          </a:extLst>
        </xdr:cNvPr>
        <xdr:cNvPicPr>
          <a:picLocks noChangeAspect="1"/>
        </xdr:cNvPicPr>
      </xdr:nvPicPr>
      <xdr:blipFill>
        <a:blip xmlns:r="http://schemas.openxmlformats.org/officeDocument/2006/relationships" r:embed="rId18"/>
        <a:stretch>
          <a:fillRect/>
        </a:stretch>
      </xdr:blipFill>
      <xdr:spPr>
        <a:xfrm>
          <a:off x="4038601" y="25725120"/>
          <a:ext cx="3578700" cy="2884409"/>
        </a:xfrm>
        <a:prstGeom prst="rect">
          <a:avLst/>
        </a:prstGeom>
      </xdr:spPr>
    </xdr:pic>
    <xdr:clientData/>
  </xdr:twoCellAnchor>
  <xdr:twoCellAnchor editAs="oneCell">
    <xdr:from>
      <xdr:col>0</xdr:col>
      <xdr:colOff>289560</xdr:colOff>
      <xdr:row>155</xdr:row>
      <xdr:rowOff>137161</xdr:rowOff>
    </xdr:from>
    <xdr:to>
      <xdr:col>3</xdr:col>
      <xdr:colOff>580305</xdr:colOff>
      <xdr:row>174</xdr:row>
      <xdr:rowOff>15240</xdr:rowOff>
    </xdr:to>
    <xdr:pic>
      <xdr:nvPicPr>
        <xdr:cNvPr id="22" name="Picture 21">
          <a:extLst>
            <a:ext uri="{FF2B5EF4-FFF2-40B4-BE49-F238E27FC236}">
              <a16:creationId xmlns:a16="http://schemas.microsoft.com/office/drawing/2014/main" id="{4B88F199-F75F-659D-C2C0-EFBD7D9DD3FC}"/>
            </a:ext>
          </a:extLst>
        </xdr:cNvPr>
        <xdr:cNvPicPr>
          <a:picLocks noChangeAspect="1"/>
        </xdr:cNvPicPr>
      </xdr:nvPicPr>
      <xdr:blipFill>
        <a:blip xmlns:r="http://schemas.openxmlformats.org/officeDocument/2006/relationships" r:embed="rId19"/>
        <a:stretch>
          <a:fillRect/>
        </a:stretch>
      </xdr:blipFill>
      <xdr:spPr>
        <a:xfrm>
          <a:off x="289560" y="28780741"/>
          <a:ext cx="4115985" cy="3352799"/>
        </a:xfrm>
        <a:prstGeom prst="rect">
          <a:avLst/>
        </a:prstGeom>
      </xdr:spPr>
    </xdr:pic>
    <xdr:clientData/>
  </xdr:twoCellAnchor>
  <xdr:twoCellAnchor editAs="oneCell">
    <xdr:from>
      <xdr:col>3</xdr:col>
      <xdr:colOff>914400</xdr:colOff>
      <xdr:row>156</xdr:row>
      <xdr:rowOff>38101</xdr:rowOff>
    </xdr:from>
    <xdr:to>
      <xdr:col>7</xdr:col>
      <xdr:colOff>173176</xdr:colOff>
      <xdr:row>175</xdr:row>
      <xdr:rowOff>22861</xdr:rowOff>
    </xdr:to>
    <xdr:pic>
      <xdr:nvPicPr>
        <xdr:cNvPr id="23" name="Picture 22">
          <a:extLst>
            <a:ext uri="{FF2B5EF4-FFF2-40B4-BE49-F238E27FC236}">
              <a16:creationId xmlns:a16="http://schemas.microsoft.com/office/drawing/2014/main" id="{23F4D6E6-2374-2600-FC42-562437FD0089}"/>
            </a:ext>
          </a:extLst>
        </xdr:cNvPr>
        <xdr:cNvPicPr>
          <a:picLocks noChangeAspect="1"/>
        </xdr:cNvPicPr>
      </xdr:nvPicPr>
      <xdr:blipFill>
        <a:blip xmlns:r="http://schemas.openxmlformats.org/officeDocument/2006/relationships" r:embed="rId20"/>
        <a:stretch>
          <a:fillRect/>
        </a:stretch>
      </xdr:blipFill>
      <xdr:spPr>
        <a:xfrm>
          <a:off x="4739640" y="28864561"/>
          <a:ext cx="4310836" cy="3459480"/>
        </a:xfrm>
        <a:prstGeom prst="rect">
          <a:avLst/>
        </a:prstGeom>
      </xdr:spPr>
    </xdr:pic>
    <xdr:clientData/>
  </xdr:twoCellAnchor>
  <xdr:twoCellAnchor editAs="oneCell">
    <xdr:from>
      <xdr:col>0</xdr:col>
      <xdr:colOff>388673</xdr:colOff>
      <xdr:row>176</xdr:row>
      <xdr:rowOff>62864</xdr:rowOff>
    </xdr:from>
    <xdr:to>
      <xdr:col>4</xdr:col>
      <xdr:colOff>604604</xdr:colOff>
      <xdr:row>200</xdr:row>
      <xdr:rowOff>1905</xdr:rowOff>
    </xdr:to>
    <xdr:pic>
      <xdr:nvPicPr>
        <xdr:cNvPr id="24" name="Picture 23">
          <a:extLst>
            <a:ext uri="{FF2B5EF4-FFF2-40B4-BE49-F238E27FC236}">
              <a16:creationId xmlns:a16="http://schemas.microsoft.com/office/drawing/2014/main" id="{CC3E10D5-5D21-FCEA-AE99-CE45301C9043}"/>
            </a:ext>
            <a:ext uri="{147F2762-F138-4A5C-976F-8EAC2B608ADB}">
              <a16:predDERef xmlns:a16="http://schemas.microsoft.com/office/drawing/2014/main" pred="{23F4D6E6-2374-2600-FC42-562437FD0089}"/>
            </a:ext>
          </a:extLst>
        </xdr:cNvPr>
        <xdr:cNvPicPr>
          <a:picLocks noChangeAspect="1"/>
        </xdr:cNvPicPr>
      </xdr:nvPicPr>
      <xdr:blipFill>
        <a:blip xmlns:r="http://schemas.openxmlformats.org/officeDocument/2006/relationships" r:embed="rId21"/>
        <a:stretch>
          <a:fillRect/>
        </a:stretch>
      </xdr:blipFill>
      <xdr:spPr>
        <a:xfrm>
          <a:off x="388673" y="32162114"/>
          <a:ext cx="5121306" cy="4282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251460</xdr:colOff>
      <xdr:row>117</xdr:row>
      <xdr:rowOff>3810</xdr:rowOff>
    </xdr:from>
    <xdr:to>
      <xdr:col>19</xdr:col>
      <xdr:colOff>320040</xdr:colOff>
      <xdr:row>132</xdr:row>
      <xdr:rowOff>3810</xdr:rowOff>
    </xdr:to>
    <xdr:graphicFrame macro="">
      <xdr:nvGraphicFramePr>
        <xdr:cNvPr id="2" name="Chart 1">
          <a:extLst>
            <a:ext uri="{FF2B5EF4-FFF2-40B4-BE49-F238E27FC236}">
              <a16:creationId xmlns:a16="http://schemas.microsoft.com/office/drawing/2014/main" id="{CAF33444-4690-4E5C-308D-FCB17F955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55245</xdr:colOff>
      <xdr:row>51</xdr:row>
      <xdr:rowOff>5715</xdr:rowOff>
    </xdr:from>
    <xdr:to>
      <xdr:col>20</xdr:col>
      <xdr:colOff>321945</xdr:colOff>
      <xdr:row>66</xdr:row>
      <xdr:rowOff>5715</xdr:rowOff>
    </xdr:to>
    <xdr:graphicFrame macro="">
      <xdr:nvGraphicFramePr>
        <xdr:cNvPr id="7" name="Chart 6">
          <a:extLst>
            <a:ext uri="{FF2B5EF4-FFF2-40B4-BE49-F238E27FC236}">
              <a16:creationId xmlns:a16="http://schemas.microsoft.com/office/drawing/2014/main" id="{8CDF874D-403B-17D7-EA3F-D3602091C28F}"/>
            </a:ext>
            <a:ext uri="{147F2762-F138-4A5C-976F-8EAC2B608ADB}">
              <a16:predDERef xmlns:a16="http://schemas.microsoft.com/office/drawing/2014/main" pred="{CAF33444-4690-4E5C-308D-FCB17F955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114300</xdr:colOff>
      <xdr:row>21</xdr:row>
      <xdr:rowOff>142875</xdr:rowOff>
    </xdr:from>
    <xdr:to>
      <xdr:col>14</xdr:col>
      <xdr:colOff>419100</xdr:colOff>
      <xdr:row>35</xdr:row>
      <xdr:rowOff>123825</xdr:rowOff>
    </xdr:to>
    <xdr:graphicFrame macro="">
      <xdr:nvGraphicFramePr>
        <xdr:cNvPr id="5" name="Chart 4">
          <a:extLst>
            <a:ext uri="{FF2B5EF4-FFF2-40B4-BE49-F238E27FC236}">
              <a16:creationId xmlns:a16="http://schemas.microsoft.com/office/drawing/2014/main" id="{E49B20A0-FAF1-A877-733A-68741CD7A76F}"/>
            </a:ext>
            <a:ext uri="{147F2762-F138-4A5C-976F-8EAC2B608ADB}">
              <a16:predDERef xmlns:a16="http://schemas.microsoft.com/office/drawing/2014/main" pred="{8CDF874D-403B-17D7-EA3F-D3602091C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10</xdr:col>
      <xdr:colOff>53340</xdr:colOff>
      <xdr:row>43</xdr:row>
      <xdr:rowOff>19050</xdr:rowOff>
    </xdr:from>
    <xdr:ext cx="65" cy="172227"/>
    <xdr:sp macro="" textlink="">
      <xdr:nvSpPr>
        <xdr:cNvPr id="2" name="TextBox 1">
          <a:extLst>
            <a:ext uri="{FF2B5EF4-FFF2-40B4-BE49-F238E27FC236}">
              <a16:creationId xmlns:a16="http://schemas.microsoft.com/office/drawing/2014/main" id="{4114A2F4-4F69-2EB7-B1B0-455F1902C0DD}"/>
            </a:ext>
          </a:extLst>
        </xdr:cNvPr>
        <xdr:cNvSpPr txBox="1"/>
      </xdr:nvSpPr>
      <xdr:spPr>
        <a:xfrm>
          <a:off x="6629400" y="78828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twoCellAnchor>
    <xdr:from>
      <xdr:col>7</xdr:col>
      <xdr:colOff>243840</xdr:colOff>
      <xdr:row>57</xdr:row>
      <xdr:rowOff>171450</xdr:rowOff>
    </xdr:from>
    <xdr:to>
      <xdr:col>14</xdr:col>
      <xdr:colOff>175260</xdr:colOff>
      <xdr:row>72</xdr:row>
      <xdr:rowOff>171450</xdr:rowOff>
    </xdr:to>
    <xdr:graphicFrame macro="">
      <xdr:nvGraphicFramePr>
        <xdr:cNvPr id="3" name="Chart 2">
          <a:extLst>
            <a:ext uri="{FF2B5EF4-FFF2-40B4-BE49-F238E27FC236}">
              <a16:creationId xmlns:a16="http://schemas.microsoft.com/office/drawing/2014/main" id="{CA3BD693-B5F6-BBDC-AC84-326F400DB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734094-724D-4AEB-891C-311FC2F72947}" name="Table1" displayName="Table1" ref="B16:C182" totalsRowShown="0" tableBorderDxfId="1">
  <autoFilter ref="B16:C182" xr:uid="{1A734094-724D-4AEB-891C-311FC2F72947}"/>
  <tableColumns count="2">
    <tableColumn id="1" xr3:uid="{E7859A49-7FA6-4E5C-998E-74E801FD292A}" name="Okt 07" dataDxfId="0"/>
    <tableColumn id="2" xr3:uid="{4DF2140F-9E99-47A3-9C0F-41242EF1FC70}" name="16,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8FF12-390B-45CC-BF42-21951D0CD779}">
  <dimension ref="A3:J30"/>
  <sheetViews>
    <sheetView workbookViewId="0">
      <selection activeCell="G194" sqref="G194"/>
    </sheetView>
  </sheetViews>
  <sheetFormatPr defaultRowHeight="14.45"/>
  <cols>
    <col min="1" max="2" width="18.85546875" bestFit="1" customWidth="1"/>
    <col min="3" max="3" width="18" bestFit="1" customWidth="1"/>
    <col min="4" max="4" width="17.85546875" bestFit="1" customWidth="1"/>
    <col min="5" max="5" width="17.85546875" style="40" bestFit="1" customWidth="1"/>
    <col min="6" max="6" width="19.5703125" bestFit="1" customWidth="1"/>
    <col min="7" max="7" width="18.28515625" bestFit="1" customWidth="1"/>
  </cols>
  <sheetData>
    <row r="3" spans="1:8">
      <c r="A3" t="s">
        <v>0</v>
      </c>
      <c r="B3" t="s">
        <v>1</v>
      </c>
      <c r="C3" t="s">
        <v>2</v>
      </c>
      <c r="D3" t="s">
        <v>3</v>
      </c>
      <c r="E3" s="40" t="s">
        <v>4</v>
      </c>
      <c r="F3" t="s">
        <v>5</v>
      </c>
      <c r="G3" t="s">
        <v>6</v>
      </c>
      <c r="H3" t="s">
        <v>7</v>
      </c>
    </row>
    <row r="4" spans="1:8" ht="16.149999999999999" thickBot="1">
      <c r="A4">
        <v>2008</v>
      </c>
      <c r="B4">
        <v>1603.1</v>
      </c>
      <c r="C4" s="31">
        <v>-0.67</v>
      </c>
      <c r="D4" s="22">
        <v>221524.69999999998</v>
      </c>
      <c r="E4" s="41">
        <v>7.45</v>
      </c>
      <c r="F4" s="33">
        <v>0.54</v>
      </c>
      <c r="G4" s="37">
        <v>130.31</v>
      </c>
      <c r="H4" s="35">
        <v>70.94</v>
      </c>
    </row>
    <row r="5" spans="1:8" ht="16.149999999999999" thickBot="1">
      <c r="A5">
        <v>2009</v>
      </c>
      <c r="B5">
        <v>1617.6999999999998</v>
      </c>
      <c r="C5" s="30">
        <v>-0.61</v>
      </c>
      <c r="D5">
        <v>215025.40000000002</v>
      </c>
      <c r="E5" s="40">
        <v>7.05</v>
      </c>
      <c r="F5" s="33">
        <v>0.41</v>
      </c>
      <c r="G5" s="38">
        <v>157.58000000000001</v>
      </c>
      <c r="H5" s="36">
        <v>64.14</v>
      </c>
    </row>
    <row r="6" spans="1:8" ht="16.149999999999999" thickBot="1">
      <c r="A6">
        <v>2010</v>
      </c>
      <c r="B6" s="27">
        <v>1747.7999999999997</v>
      </c>
      <c r="C6" s="28">
        <v>0.32</v>
      </c>
      <c r="D6">
        <v>182838.09999999998</v>
      </c>
      <c r="E6" s="40">
        <v>6.61</v>
      </c>
      <c r="F6" s="33">
        <v>0.38</v>
      </c>
      <c r="G6" s="38">
        <v>162.53</v>
      </c>
      <c r="H6" s="36">
        <v>62.11</v>
      </c>
    </row>
    <row r="7" spans="1:8" ht="16.149999999999999" thickBot="1">
      <c r="A7">
        <v>2011</v>
      </c>
      <c r="B7" s="27">
        <v>1608.6</v>
      </c>
      <c r="C7" s="30">
        <v>-1.03</v>
      </c>
      <c r="D7">
        <v>220572.09999999998</v>
      </c>
      <c r="E7" s="40">
        <v>6.57</v>
      </c>
      <c r="F7" s="33">
        <v>0.42</v>
      </c>
      <c r="G7" s="38">
        <v>197.54</v>
      </c>
      <c r="H7" s="36">
        <v>82.34</v>
      </c>
    </row>
    <row r="8" spans="1:8" ht="16.149999999999999" thickBot="1">
      <c r="A8">
        <v>2012</v>
      </c>
      <c r="B8" s="27">
        <v>1586.8</v>
      </c>
      <c r="C8" s="30">
        <v>-0.77</v>
      </c>
      <c r="D8">
        <v>159719.29999999999</v>
      </c>
      <c r="E8" s="40">
        <v>6.78</v>
      </c>
      <c r="F8" s="33">
        <v>0.49</v>
      </c>
      <c r="G8" s="38">
        <v>161.33000000000001</v>
      </c>
      <c r="H8" s="36">
        <v>79.45</v>
      </c>
    </row>
    <row r="9" spans="1:8" ht="16.149999999999999" thickBot="1">
      <c r="A9">
        <v>2013</v>
      </c>
      <c r="B9" s="27">
        <v>1866.8000000000002</v>
      </c>
      <c r="C9" s="28">
        <v>0.2</v>
      </c>
      <c r="D9">
        <v>144529.60000000001</v>
      </c>
      <c r="E9" s="40">
        <v>6.22</v>
      </c>
      <c r="F9" s="33">
        <v>0.6</v>
      </c>
      <c r="G9" s="38">
        <v>150.66999999999999</v>
      </c>
      <c r="H9" s="36">
        <v>89.79</v>
      </c>
    </row>
    <row r="10" spans="1:8" ht="16.149999999999999" thickBot="1">
      <c r="A10">
        <v>2014</v>
      </c>
      <c r="B10">
        <v>1827.8</v>
      </c>
      <c r="C10" s="30">
        <v>-0.83</v>
      </c>
      <c r="D10">
        <v>176065.40000000002</v>
      </c>
      <c r="E10" s="40">
        <v>8.1199999999999992</v>
      </c>
      <c r="F10" s="33">
        <v>0.51</v>
      </c>
      <c r="G10" s="38">
        <v>175.71</v>
      </c>
      <c r="H10" s="36">
        <v>89.41</v>
      </c>
    </row>
    <row r="11" spans="1:8" ht="16.149999999999999" thickBot="1">
      <c r="A11">
        <v>2015</v>
      </c>
      <c r="B11" s="18">
        <v>1571.6</v>
      </c>
      <c r="C11" s="30">
        <v>-1.56</v>
      </c>
      <c r="D11">
        <v>198183.5</v>
      </c>
      <c r="E11" s="40">
        <v>7.97</v>
      </c>
      <c r="F11" s="48">
        <v>0.39</v>
      </c>
      <c r="G11" s="49">
        <v>220</v>
      </c>
      <c r="H11" s="50">
        <v>84.75</v>
      </c>
    </row>
    <row r="12" spans="1:8" ht="16.149999999999999" thickBot="1">
      <c r="A12">
        <v>2017</v>
      </c>
      <c r="B12" s="18">
        <v>1394</v>
      </c>
      <c r="C12" s="30">
        <v>-0.67</v>
      </c>
      <c r="D12">
        <v>170795.69999999998</v>
      </c>
      <c r="E12" s="40">
        <v>7.1</v>
      </c>
      <c r="F12" s="33">
        <v>0.35</v>
      </c>
      <c r="G12" s="38">
        <v>205</v>
      </c>
      <c r="H12" s="36">
        <v>71.8</v>
      </c>
    </row>
    <row r="13" spans="1:8" ht="16.149999999999999" thickBot="1">
      <c r="A13">
        <v>2018</v>
      </c>
      <c r="B13" s="18">
        <v>1575.3</v>
      </c>
      <c r="C13" s="30">
        <v>-1.03</v>
      </c>
      <c r="D13">
        <v>203282.59999999998</v>
      </c>
      <c r="E13" s="40">
        <v>8.44</v>
      </c>
      <c r="F13" s="33">
        <v>0.45</v>
      </c>
      <c r="G13" s="38">
        <v>162.65</v>
      </c>
      <c r="H13" s="36">
        <v>72.53</v>
      </c>
    </row>
    <row r="14" spans="1:8" ht="16.149999999999999" thickBot="1">
      <c r="A14">
        <v>2019</v>
      </c>
      <c r="B14" s="18">
        <v>1585.2</v>
      </c>
      <c r="C14" s="30">
        <v>-0.43</v>
      </c>
      <c r="D14">
        <v>204913.8</v>
      </c>
      <c r="E14" s="40">
        <v>8.34</v>
      </c>
      <c r="F14" s="33">
        <v>0.37</v>
      </c>
      <c r="G14" s="38">
        <v>194</v>
      </c>
      <c r="H14" s="36">
        <v>71.900000000000006</v>
      </c>
    </row>
    <row r="15" spans="1:8" ht="16.149999999999999" thickBot="1">
      <c r="A15">
        <v>2020</v>
      </c>
      <c r="B15" s="18">
        <v>1626.4</v>
      </c>
      <c r="C15" s="30">
        <v>-0.36</v>
      </c>
      <c r="D15">
        <v>201393.30000000002</v>
      </c>
      <c r="E15" s="40">
        <v>8.5</v>
      </c>
      <c r="F15" s="33">
        <v>0.6</v>
      </c>
      <c r="G15" s="38">
        <v>135.88</v>
      </c>
      <c r="H15" s="36">
        <v>81.81</v>
      </c>
    </row>
    <row r="16" spans="1:8" ht="16.149999999999999" thickBot="1">
      <c r="A16">
        <v>2021</v>
      </c>
      <c r="B16" s="27">
        <v>1731.1000000000004</v>
      </c>
      <c r="C16" s="29">
        <v>0.32</v>
      </c>
      <c r="D16">
        <v>173711.9</v>
      </c>
      <c r="E16" s="40">
        <v>7.24</v>
      </c>
      <c r="F16" s="34">
        <v>0.51</v>
      </c>
      <c r="G16" s="38">
        <v>148</v>
      </c>
      <c r="H16" s="36">
        <v>75.33</v>
      </c>
    </row>
    <row r="18" spans="1:10">
      <c r="A18" t="s">
        <v>8</v>
      </c>
    </row>
    <row r="19" spans="1:10">
      <c r="A19" s="6"/>
      <c r="B19" t="s">
        <v>1</v>
      </c>
      <c r="C19" t="s">
        <v>2</v>
      </c>
      <c r="D19" t="s">
        <v>3</v>
      </c>
      <c r="E19" s="40" t="s">
        <v>4</v>
      </c>
      <c r="F19" t="s">
        <v>5</v>
      </c>
      <c r="G19" t="s">
        <v>6</v>
      </c>
      <c r="H19" t="s">
        <v>7</v>
      </c>
    </row>
    <row r="20" spans="1:10">
      <c r="A20" t="s">
        <v>1</v>
      </c>
      <c r="B20" s="43"/>
      <c r="C20" s="6"/>
      <c r="D20" s="39"/>
      <c r="E20" s="42"/>
      <c r="F20" s="6"/>
      <c r="G20" s="6"/>
      <c r="H20" s="6"/>
      <c r="J20" s="16" t="s">
        <v>9</v>
      </c>
    </row>
    <row r="21" spans="1:10">
      <c r="A21" t="s">
        <v>2</v>
      </c>
      <c r="B21" s="6" t="s">
        <v>10</v>
      </c>
      <c r="C21" s="43"/>
      <c r="D21" s="6"/>
      <c r="E21" s="41"/>
      <c r="F21" s="6"/>
      <c r="G21" s="6"/>
      <c r="H21" s="6"/>
      <c r="J21" s="45">
        <v>2E-16</v>
      </c>
    </row>
    <row r="22" spans="1:10">
      <c r="A22" t="s">
        <v>3</v>
      </c>
      <c r="B22" s="39" t="s">
        <v>11</v>
      </c>
      <c r="C22" s="39" t="s">
        <v>12</v>
      </c>
      <c r="D22" s="43"/>
      <c r="E22" s="41"/>
      <c r="F22" s="6"/>
      <c r="G22" s="6"/>
      <c r="H22" s="6"/>
      <c r="J22" t="s">
        <v>13</v>
      </c>
    </row>
    <row r="23" spans="1:10">
      <c r="A23" s="40" t="s">
        <v>4</v>
      </c>
      <c r="B23" s="39" t="s">
        <v>14</v>
      </c>
      <c r="C23" s="39" t="s">
        <v>15</v>
      </c>
      <c r="D23" s="6" t="s">
        <v>16</v>
      </c>
      <c r="E23" s="44"/>
      <c r="F23" s="6"/>
      <c r="G23" s="6"/>
      <c r="H23" s="6"/>
      <c r="J23" t="s">
        <v>17</v>
      </c>
    </row>
    <row r="24" spans="1:10">
      <c r="A24" t="s">
        <v>5</v>
      </c>
      <c r="B24" s="6" t="s">
        <v>18</v>
      </c>
      <c r="C24" s="6" t="s">
        <v>19</v>
      </c>
      <c r="D24" s="39" t="s">
        <v>20</v>
      </c>
      <c r="E24" s="41" t="s">
        <v>21</v>
      </c>
      <c r="F24" s="43"/>
      <c r="G24" s="6"/>
      <c r="H24" s="6"/>
    </row>
    <row r="25" spans="1:10">
      <c r="A25" t="s">
        <v>6</v>
      </c>
      <c r="B25" s="39" t="s">
        <v>22</v>
      </c>
      <c r="C25" s="39" t="s">
        <v>23</v>
      </c>
      <c r="D25" s="6" t="s">
        <v>24</v>
      </c>
      <c r="E25" s="41" t="s">
        <v>25</v>
      </c>
      <c r="F25" s="39" t="s">
        <v>26</v>
      </c>
      <c r="G25" s="43"/>
      <c r="H25" s="6"/>
    </row>
    <row r="26" spans="1:10">
      <c r="A26" t="s">
        <v>7</v>
      </c>
      <c r="B26" s="6" t="s">
        <v>27</v>
      </c>
      <c r="C26" s="39" t="s">
        <v>28</v>
      </c>
      <c r="D26" s="39" t="s">
        <v>29</v>
      </c>
      <c r="E26" s="41" t="s">
        <v>30</v>
      </c>
      <c r="F26" s="6" t="s">
        <v>31</v>
      </c>
      <c r="G26" s="6" t="s">
        <v>32</v>
      </c>
      <c r="H26" s="43"/>
    </row>
    <row r="28" spans="1:10">
      <c r="B28" s="15"/>
    </row>
    <row r="29" spans="1:10">
      <c r="A29" t="s">
        <v>33</v>
      </c>
    </row>
    <row r="30" spans="1:10">
      <c r="A30" s="1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24C8C-A0A0-496C-9D23-6113426876DF}">
  <dimension ref="A1:T186"/>
  <sheetViews>
    <sheetView tabSelected="1" workbookViewId="0">
      <selection activeCell="Z31" sqref="Z31"/>
    </sheetView>
  </sheetViews>
  <sheetFormatPr defaultRowHeight="14.45"/>
  <cols>
    <col min="2" max="2" width="9.28515625" bestFit="1" customWidth="1"/>
    <col min="8" max="8" width="19.5703125" bestFit="1" customWidth="1"/>
    <col min="11" max="11" width="18.28515625" bestFit="1" customWidth="1"/>
  </cols>
  <sheetData>
    <row r="1" spans="1:16">
      <c r="A1" s="1" t="s">
        <v>0</v>
      </c>
      <c r="B1" s="2">
        <v>2007</v>
      </c>
      <c r="C1" s="3" t="s">
        <v>34</v>
      </c>
      <c r="D1" s="2">
        <v>2009</v>
      </c>
      <c r="E1" s="2">
        <v>2010</v>
      </c>
      <c r="F1" s="2">
        <v>2011</v>
      </c>
      <c r="G1" s="2">
        <v>2012</v>
      </c>
      <c r="H1" s="2">
        <v>2013</v>
      </c>
      <c r="I1" s="2">
        <v>2014</v>
      </c>
      <c r="J1" s="2">
        <v>2015</v>
      </c>
      <c r="K1" s="2">
        <v>2016</v>
      </c>
      <c r="L1" s="2">
        <v>2017</v>
      </c>
      <c r="M1" s="2">
        <v>2018</v>
      </c>
      <c r="N1" s="2">
        <v>2019</v>
      </c>
      <c r="O1" s="2">
        <v>2020</v>
      </c>
      <c r="P1" s="4">
        <v>2021</v>
      </c>
    </row>
    <row r="2" spans="1:16">
      <c r="A2" s="5" t="s">
        <v>35</v>
      </c>
      <c r="B2" s="17"/>
      <c r="C2" s="18">
        <v>120.9</v>
      </c>
      <c r="D2" s="18">
        <v>74.5</v>
      </c>
      <c r="E2" s="18">
        <v>114.3</v>
      </c>
      <c r="F2" s="18">
        <v>160.1</v>
      </c>
      <c r="G2" s="18">
        <v>297.39999999999998</v>
      </c>
      <c r="H2" s="18">
        <v>232</v>
      </c>
      <c r="I2" s="18">
        <v>152</v>
      </c>
      <c r="J2" s="18">
        <v>244.1</v>
      </c>
      <c r="K2" s="18">
        <v>264</v>
      </c>
      <c r="L2" s="18">
        <v>111.5</v>
      </c>
      <c r="M2" s="18">
        <v>292.8</v>
      </c>
      <c r="N2" s="18">
        <v>236.8</v>
      </c>
      <c r="O2" s="18">
        <v>68.099999999999994</v>
      </c>
      <c r="P2" s="18">
        <v>192.7</v>
      </c>
    </row>
    <row r="3" spans="1:16">
      <c r="A3" s="6" t="s">
        <v>36</v>
      </c>
      <c r="B3" s="19"/>
      <c r="C3" s="18">
        <v>82.6</v>
      </c>
      <c r="D3" s="18">
        <v>128.69999999999999</v>
      </c>
      <c r="E3" s="18">
        <v>116.2</v>
      </c>
      <c r="F3" s="18">
        <v>24.3</v>
      </c>
      <c r="G3" s="18">
        <v>72.900000000000006</v>
      </c>
      <c r="H3" s="18">
        <v>202.7</v>
      </c>
      <c r="I3" s="18">
        <v>52.7</v>
      </c>
      <c r="J3" s="18">
        <v>46.4</v>
      </c>
      <c r="K3" s="18">
        <v>197.4</v>
      </c>
      <c r="L3" s="18">
        <v>98.7</v>
      </c>
      <c r="M3" s="18">
        <v>86.6</v>
      </c>
      <c r="N3" s="18">
        <v>100.6</v>
      </c>
      <c r="O3" s="18">
        <v>304.2</v>
      </c>
      <c r="P3" s="18">
        <v>127.7</v>
      </c>
    </row>
    <row r="4" spans="1:16">
      <c r="A4" s="6" t="s">
        <v>37</v>
      </c>
      <c r="B4" s="19"/>
      <c r="C4" s="18">
        <v>185.6</v>
      </c>
      <c r="D4" s="18">
        <v>120.3</v>
      </c>
      <c r="E4" s="18">
        <v>92.4</v>
      </c>
      <c r="F4" s="18">
        <v>106.7</v>
      </c>
      <c r="G4" s="18">
        <v>45.6</v>
      </c>
      <c r="H4" s="18">
        <v>87.3</v>
      </c>
      <c r="I4" s="18">
        <v>14</v>
      </c>
      <c r="J4" s="18">
        <v>117.9</v>
      </c>
      <c r="K4" s="18">
        <v>100.5</v>
      </c>
      <c r="L4" s="18">
        <v>137.30000000000001</v>
      </c>
      <c r="M4" s="18">
        <v>93.3</v>
      </c>
      <c r="N4" s="18">
        <v>130.80000000000001</v>
      </c>
      <c r="O4" s="18">
        <v>123.9</v>
      </c>
      <c r="P4" s="18">
        <v>93</v>
      </c>
    </row>
    <row r="5" spans="1:16">
      <c r="A5" s="6" t="s">
        <v>38</v>
      </c>
      <c r="B5" s="19"/>
      <c r="C5" s="18">
        <v>252.3</v>
      </c>
      <c r="D5" s="18">
        <v>76.599999999999994</v>
      </c>
      <c r="E5" s="18">
        <v>60</v>
      </c>
      <c r="F5" s="18">
        <v>53.4</v>
      </c>
      <c r="G5" s="18">
        <v>113</v>
      </c>
      <c r="H5" s="18">
        <v>89.2</v>
      </c>
      <c r="I5" s="18">
        <v>81.599999999999994</v>
      </c>
      <c r="J5" s="18">
        <v>130.9</v>
      </c>
      <c r="K5" s="18">
        <v>126.3</v>
      </c>
      <c r="L5" s="18">
        <v>189.1</v>
      </c>
      <c r="M5" s="18">
        <v>33.299999999999997</v>
      </c>
      <c r="N5" s="18">
        <v>41.1</v>
      </c>
      <c r="O5" s="18">
        <v>69.2</v>
      </c>
      <c r="P5" s="18">
        <v>67.5</v>
      </c>
    </row>
    <row r="6" spans="1:16">
      <c r="A6" s="6" t="s">
        <v>39</v>
      </c>
      <c r="B6" s="19"/>
      <c r="C6" s="18">
        <v>102.2</v>
      </c>
      <c r="D6" s="18">
        <v>239.6</v>
      </c>
      <c r="E6" s="18">
        <v>303.2</v>
      </c>
      <c r="F6" s="18">
        <v>209.2</v>
      </c>
      <c r="G6" s="18">
        <v>147.69999999999999</v>
      </c>
      <c r="H6" s="18">
        <v>324.7</v>
      </c>
      <c r="I6" s="18">
        <v>228</v>
      </c>
      <c r="J6" s="18">
        <v>279.2</v>
      </c>
      <c r="K6" s="18">
        <v>254</v>
      </c>
      <c r="L6" s="18">
        <v>153</v>
      </c>
      <c r="M6" s="18">
        <v>171.1</v>
      </c>
      <c r="N6" s="18">
        <v>291.39999999999998</v>
      </c>
      <c r="O6" s="18">
        <v>110.9</v>
      </c>
      <c r="P6" s="18">
        <v>274.2</v>
      </c>
    </row>
    <row r="7" spans="1:16">
      <c r="A7" s="6" t="s">
        <v>40</v>
      </c>
      <c r="B7" s="19"/>
      <c r="C7" s="18">
        <v>219.1</v>
      </c>
      <c r="D7" s="18">
        <v>321.8</v>
      </c>
      <c r="E7" s="18">
        <v>270.8</v>
      </c>
      <c r="F7" s="18">
        <v>260.7</v>
      </c>
      <c r="G7" s="18">
        <v>302.60000000000002</v>
      </c>
      <c r="H7" s="18">
        <v>335.5</v>
      </c>
      <c r="I7" s="18">
        <v>112.8</v>
      </c>
      <c r="J7" s="18">
        <v>215.7</v>
      </c>
      <c r="K7" s="18">
        <v>283.2</v>
      </c>
      <c r="L7" s="18">
        <v>159.30000000000001</v>
      </c>
      <c r="M7" s="18">
        <v>229.4</v>
      </c>
      <c r="N7" s="18">
        <v>129.30000000000001</v>
      </c>
      <c r="O7" s="18">
        <v>344.5</v>
      </c>
      <c r="P7" s="18">
        <v>289.39999999999998</v>
      </c>
    </row>
    <row r="8" spans="1:16">
      <c r="A8" s="6" t="s">
        <v>41</v>
      </c>
      <c r="B8" s="19"/>
      <c r="C8" s="18">
        <v>272.60000000000002</v>
      </c>
      <c r="D8" s="18">
        <v>285.39999999999998</v>
      </c>
      <c r="E8" s="18">
        <v>292.39999999999998</v>
      </c>
      <c r="F8" s="18">
        <v>311.5</v>
      </c>
      <c r="G8" s="18">
        <v>189.7</v>
      </c>
      <c r="H8" s="18">
        <v>60.4</v>
      </c>
      <c r="I8" s="18">
        <v>319</v>
      </c>
      <c r="J8" s="18">
        <v>96.6</v>
      </c>
      <c r="K8" s="18">
        <v>267.7</v>
      </c>
      <c r="L8" s="18">
        <v>260.3</v>
      </c>
      <c r="M8" s="18">
        <v>174.6</v>
      </c>
      <c r="N8" s="18">
        <v>189.8</v>
      </c>
      <c r="O8" s="18">
        <v>186.4</v>
      </c>
      <c r="P8" s="18">
        <v>334.9</v>
      </c>
    </row>
    <row r="9" spans="1:16">
      <c r="A9" s="7" t="s">
        <v>42</v>
      </c>
      <c r="B9" s="20"/>
      <c r="C9" s="21">
        <v>219.3</v>
      </c>
      <c r="D9" s="21">
        <v>141.5</v>
      </c>
      <c r="E9" s="20">
        <v>364.1</v>
      </c>
      <c r="F9" s="21">
        <v>196.2</v>
      </c>
      <c r="G9" s="20">
        <v>332.3</v>
      </c>
      <c r="H9" s="21">
        <v>216.6</v>
      </c>
      <c r="I9" s="20">
        <v>270.39999999999998</v>
      </c>
      <c r="J9" s="21">
        <v>116</v>
      </c>
      <c r="K9" s="20">
        <v>173</v>
      </c>
      <c r="L9" s="20">
        <v>274</v>
      </c>
      <c r="M9" s="21">
        <v>181.5</v>
      </c>
      <c r="N9" s="21">
        <v>239.5</v>
      </c>
      <c r="O9" s="20">
        <v>284.3</v>
      </c>
      <c r="P9" s="20">
        <v>317.3</v>
      </c>
    </row>
    <row r="10" spans="1:16">
      <c r="A10" s="6" t="s">
        <v>43</v>
      </c>
      <c r="B10" s="19"/>
      <c r="C10" s="22">
        <v>118.2</v>
      </c>
      <c r="D10" s="18">
        <v>97.4</v>
      </c>
      <c r="E10" s="18">
        <v>115.6</v>
      </c>
      <c r="F10" s="18">
        <v>175.6</v>
      </c>
      <c r="G10" s="18">
        <v>129.6</v>
      </c>
      <c r="H10" s="18">
        <v>226.4</v>
      </c>
      <c r="I10" s="18">
        <v>156.5</v>
      </c>
      <c r="J10" s="18">
        <v>114.5</v>
      </c>
      <c r="K10" s="18">
        <v>183.4</v>
      </c>
      <c r="L10" s="18">
        <v>152.4</v>
      </c>
      <c r="M10" s="18">
        <v>168.3</v>
      </c>
      <c r="N10" s="18">
        <v>130.6</v>
      </c>
      <c r="O10" s="18">
        <v>160.4</v>
      </c>
      <c r="P10" s="19"/>
    </row>
    <row r="11" spans="1:16">
      <c r="A11" s="11" t="s">
        <v>44</v>
      </c>
      <c r="B11" s="23">
        <v>16.2</v>
      </c>
      <c r="C11" s="24">
        <v>120.6</v>
      </c>
      <c r="D11" s="25">
        <v>160.1</v>
      </c>
      <c r="E11" s="26">
        <v>74.2</v>
      </c>
      <c r="F11" s="25">
        <v>131.6</v>
      </c>
      <c r="G11" s="25">
        <v>130</v>
      </c>
      <c r="H11" s="25">
        <v>165.7</v>
      </c>
      <c r="I11" s="25">
        <v>200.3</v>
      </c>
      <c r="J11" s="25">
        <v>139.80000000000001</v>
      </c>
      <c r="K11" s="25">
        <v>99.1</v>
      </c>
      <c r="L11" s="25">
        <v>147.6</v>
      </c>
      <c r="M11" s="25">
        <v>113.5</v>
      </c>
      <c r="N11" s="25">
        <v>156.80000000000001</v>
      </c>
      <c r="O11" s="25">
        <v>185.3</v>
      </c>
      <c r="P11" s="25"/>
    </row>
    <row r="12" spans="1:16">
      <c r="A12" s="6" t="s">
        <v>45</v>
      </c>
      <c r="B12" s="18">
        <v>219.1</v>
      </c>
      <c r="C12" s="18">
        <v>114.6</v>
      </c>
      <c r="D12" s="18">
        <v>138.1</v>
      </c>
      <c r="E12" s="18">
        <v>138.30000000000001</v>
      </c>
      <c r="F12" s="18">
        <v>1.7</v>
      </c>
      <c r="G12" s="18">
        <v>158.1</v>
      </c>
      <c r="H12" s="18">
        <v>162.9</v>
      </c>
      <c r="I12" s="18">
        <v>90.1</v>
      </c>
      <c r="J12" s="18">
        <v>164.2</v>
      </c>
      <c r="K12" s="18">
        <v>166.4</v>
      </c>
      <c r="L12" s="18">
        <v>160.4</v>
      </c>
      <c r="M12" s="18">
        <v>59.5</v>
      </c>
      <c r="N12" s="18">
        <v>123.1</v>
      </c>
      <c r="O12" s="18">
        <v>42.3</v>
      </c>
      <c r="P12" s="19"/>
    </row>
    <row r="13" spans="1:16">
      <c r="A13" s="6" t="s">
        <v>46</v>
      </c>
      <c r="B13" s="18">
        <v>132.5</v>
      </c>
      <c r="C13" s="18">
        <v>135.6</v>
      </c>
      <c r="D13" s="18">
        <v>200.3</v>
      </c>
      <c r="E13" s="18">
        <v>270.2</v>
      </c>
      <c r="F13" s="18">
        <v>284.60000000000002</v>
      </c>
      <c r="G13" s="18">
        <v>246.9</v>
      </c>
      <c r="H13" s="18">
        <v>32</v>
      </c>
      <c r="I13" s="18">
        <v>150.4</v>
      </c>
      <c r="J13" s="18">
        <v>58</v>
      </c>
      <c r="K13" s="18">
        <v>19.3</v>
      </c>
      <c r="L13" s="18">
        <v>186.2</v>
      </c>
      <c r="M13" s="18">
        <v>292.39999999999998</v>
      </c>
      <c r="N13" s="18">
        <v>139.30000000000001</v>
      </c>
      <c r="O13" s="18">
        <v>124.1</v>
      </c>
      <c r="P13" s="19"/>
    </row>
    <row r="14" spans="1:16" ht="15.6">
      <c r="C14" s="35">
        <v>70.94</v>
      </c>
      <c r="D14" s="36">
        <v>64.14</v>
      </c>
      <c r="E14" s="36">
        <v>62.11</v>
      </c>
      <c r="F14" s="36">
        <v>82.34</v>
      </c>
      <c r="G14" s="36">
        <v>80.430000000000007</v>
      </c>
      <c r="H14" s="36">
        <v>89.79</v>
      </c>
      <c r="I14" s="36">
        <v>89.41</v>
      </c>
      <c r="J14" s="36">
        <v>84.75</v>
      </c>
      <c r="L14" s="36">
        <v>71.8</v>
      </c>
      <c r="M14" s="36">
        <v>72.53</v>
      </c>
      <c r="N14" s="36">
        <v>71.900000000000006</v>
      </c>
      <c r="O14" s="36">
        <v>81.81</v>
      </c>
      <c r="P14" s="36">
        <v>75.33</v>
      </c>
    </row>
    <row r="15" spans="1:16">
      <c r="A15" s="16" t="s">
        <v>0</v>
      </c>
      <c r="B15" s="16" t="s">
        <v>47</v>
      </c>
      <c r="C15" s="16" t="s">
        <v>48</v>
      </c>
    </row>
    <row r="16" spans="1:16">
      <c r="A16">
        <v>2007</v>
      </c>
      <c r="B16" s="61" t="s">
        <v>49</v>
      </c>
      <c r="C16" s="15" t="s">
        <v>50</v>
      </c>
    </row>
    <row r="17" spans="1:20">
      <c r="B17" s="61">
        <v>39387</v>
      </c>
      <c r="C17">
        <v>219.1</v>
      </c>
    </row>
    <row r="18" spans="1:20">
      <c r="B18" s="61">
        <v>39417</v>
      </c>
      <c r="C18">
        <v>132.5</v>
      </c>
      <c r="F18" t="s">
        <v>51</v>
      </c>
      <c r="H18" s="15" t="s">
        <v>52</v>
      </c>
      <c r="I18" t="s">
        <v>53</v>
      </c>
    </row>
    <row r="19" spans="1:20">
      <c r="A19">
        <v>2008</v>
      </c>
      <c r="B19" s="61">
        <v>39448</v>
      </c>
      <c r="C19">
        <v>120.9</v>
      </c>
      <c r="F19" t="s">
        <v>1</v>
      </c>
      <c r="H19" t="s">
        <v>3</v>
      </c>
      <c r="I19" t="s">
        <v>54</v>
      </c>
      <c r="J19" s="51" t="s">
        <v>55</v>
      </c>
    </row>
    <row r="20" spans="1:20">
      <c r="B20" s="61">
        <v>39479</v>
      </c>
      <c r="C20">
        <v>82.6</v>
      </c>
      <c r="E20" t="s">
        <v>0</v>
      </c>
      <c r="F20" t="s">
        <v>56</v>
      </c>
      <c r="G20" t="s">
        <v>2</v>
      </c>
      <c r="H20" s="16" t="s">
        <v>57</v>
      </c>
      <c r="I20" t="s">
        <v>53</v>
      </c>
      <c r="J20" t="s">
        <v>5</v>
      </c>
      <c r="K20" t="s">
        <v>6</v>
      </c>
      <c r="L20" t="s">
        <v>7</v>
      </c>
    </row>
    <row r="21" spans="1:20" ht="16.149999999999999" thickBot="1">
      <c r="B21" s="61">
        <v>39508</v>
      </c>
      <c r="C21">
        <v>185.6</v>
      </c>
      <c r="D21">
        <v>13</v>
      </c>
      <c r="E21">
        <v>2008</v>
      </c>
      <c r="F21">
        <f>SUM(C16:C25)</f>
        <v>1586.9</v>
      </c>
      <c r="G21" s="31">
        <v>-0.67</v>
      </c>
      <c r="H21" s="22">
        <v>221524.69999999998</v>
      </c>
      <c r="I21" s="41">
        <v>7.45</v>
      </c>
      <c r="J21" s="33">
        <v>0.54</v>
      </c>
      <c r="K21" s="37">
        <v>130.31</v>
      </c>
      <c r="L21" s="35">
        <v>70.94</v>
      </c>
      <c r="M21" s="10"/>
      <c r="N21" s="10"/>
      <c r="O21" s="32"/>
      <c r="P21" s="10"/>
      <c r="Q21" s="10"/>
      <c r="R21" s="10"/>
      <c r="S21" s="10"/>
      <c r="T21" s="32"/>
    </row>
    <row r="22" spans="1:20" ht="16.149999999999999" thickBot="1">
      <c r="B22" s="61">
        <v>39539</v>
      </c>
      <c r="C22">
        <v>252.3</v>
      </c>
      <c r="D22">
        <v>12</v>
      </c>
      <c r="E22">
        <v>2009</v>
      </c>
      <c r="F22">
        <f>SUM(C28:C37)</f>
        <v>1617.6999999999998</v>
      </c>
      <c r="G22" s="30">
        <v>-0.61</v>
      </c>
      <c r="H22">
        <v>215025.40000000002</v>
      </c>
      <c r="I22" s="40">
        <v>7.05</v>
      </c>
      <c r="J22" s="33">
        <v>0.41</v>
      </c>
      <c r="K22" s="38">
        <v>157.58000000000001</v>
      </c>
      <c r="L22" s="36">
        <v>64.14</v>
      </c>
    </row>
    <row r="23" spans="1:20" ht="16.149999999999999" thickBot="1">
      <c r="B23" s="61">
        <v>39569</v>
      </c>
      <c r="C23">
        <v>102.2</v>
      </c>
      <c r="D23">
        <v>15</v>
      </c>
      <c r="E23">
        <v>2010</v>
      </c>
      <c r="F23" s="27">
        <f>SUM(C40:C49)</f>
        <v>1747.7999999999997</v>
      </c>
      <c r="G23" s="28">
        <v>0.32</v>
      </c>
      <c r="H23">
        <v>182838.09999999998</v>
      </c>
      <c r="I23" s="40">
        <v>6.61</v>
      </c>
      <c r="J23" s="33">
        <v>0.38</v>
      </c>
      <c r="K23" s="38">
        <v>162.53</v>
      </c>
      <c r="L23" s="36">
        <v>62.11</v>
      </c>
    </row>
    <row r="24" spans="1:20" ht="16.149999999999999" thickBot="1">
      <c r="B24" s="61">
        <v>39600</v>
      </c>
      <c r="C24">
        <v>219.1</v>
      </c>
      <c r="D24">
        <v>13</v>
      </c>
      <c r="E24">
        <v>2011</v>
      </c>
      <c r="F24" s="27">
        <f>SUM(C52:C61)</f>
        <v>1608.6</v>
      </c>
      <c r="G24" s="30">
        <v>-1.03</v>
      </c>
      <c r="H24">
        <v>220572.09999999998</v>
      </c>
      <c r="I24" s="40">
        <v>6.57</v>
      </c>
      <c r="J24" s="33">
        <v>0.42</v>
      </c>
      <c r="K24" s="38">
        <v>197.54</v>
      </c>
      <c r="L24" s="36">
        <v>82.34</v>
      </c>
    </row>
    <row r="25" spans="1:20" ht="16.149999999999999" thickBot="1">
      <c r="B25" s="61">
        <v>39630</v>
      </c>
      <c r="C25">
        <v>272.60000000000002</v>
      </c>
      <c r="D25">
        <v>7</v>
      </c>
      <c r="E25">
        <v>2012</v>
      </c>
      <c r="F25" s="27">
        <f>SUM(C64:C73)</f>
        <v>1586.8</v>
      </c>
      <c r="G25" s="30">
        <v>-0.77</v>
      </c>
      <c r="H25">
        <v>159719.29999999999</v>
      </c>
      <c r="I25" s="40">
        <v>6.78</v>
      </c>
      <c r="J25" s="33">
        <v>0.49</v>
      </c>
      <c r="K25" s="38">
        <v>161.33000000000001</v>
      </c>
      <c r="L25" s="36">
        <v>79.45</v>
      </c>
    </row>
    <row r="26" spans="1:20" ht="16.149999999999999" thickBot="1">
      <c r="B26" s="61">
        <v>39661</v>
      </c>
      <c r="C26" s="8">
        <v>219.3</v>
      </c>
      <c r="D26">
        <v>3</v>
      </c>
      <c r="E26">
        <v>2013</v>
      </c>
      <c r="F26" s="27">
        <f>SUM(C76:C85)</f>
        <v>1866.8000000000002</v>
      </c>
      <c r="G26" s="28">
        <v>0.2</v>
      </c>
      <c r="H26">
        <v>144529.60000000001</v>
      </c>
      <c r="I26" s="40">
        <v>6.22</v>
      </c>
      <c r="J26" s="33">
        <v>0.6</v>
      </c>
      <c r="K26" s="38">
        <v>150.66999999999999</v>
      </c>
      <c r="L26" s="36">
        <v>89.79</v>
      </c>
    </row>
    <row r="27" spans="1:20" ht="16.149999999999999" thickBot="1">
      <c r="B27" s="61">
        <v>39692</v>
      </c>
      <c r="C27" s="10">
        <v>118.2</v>
      </c>
      <c r="D27">
        <v>14</v>
      </c>
      <c r="E27">
        <v>2014</v>
      </c>
      <c r="F27">
        <f>SUM(C91:C102)</f>
        <v>1827.8</v>
      </c>
      <c r="G27" s="30">
        <v>-0.83</v>
      </c>
      <c r="H27">
        <v>176065.40000000002</v>
      </c>
      <c r="I27" s="40">
        <v>8.1199999999999992</v>
      </c>
      <c r="J27" s="33">
        <v>0.51</v>
      </c>
      <c r="K27" s="38">
        <v>175.71</v>
      </c>
      <c r="L27" s="36">
        <v>89.41</v>
      </c>
    </row>
    <row r="28" spans="1:20" ht="16.149999999999999" thickBot="1">
      <c r="B28" s="61">
        <v>39722</v>
      </c>
      <c r="C28" s="12">
        <v>120.6</v>
      </c>
      <c r="D28">
        <v>4</v>
      </c>
      <c r="E28" s="15">
        <v>2015</v>
      </c>
      <c r="F28" s="23">
        <f>SUM(C100:C109)</f>
        <v>1571.6</v>
      </c>
      <c r="G28" s="46">
        <v>-1.56</v>
      </c>
      <c r="H28" s="15">
        <v>198183.5</v>
      </c>
      <c r="I28" s="47">
        <v>7.97</v>
      </c>
      <c r="J28" s="48">
        <v>0.39</v>
      </c>
      <c r="K28" s="49">
        <v>220</v>
      </c>
      <c r="L28" s="50">
        <v>84.75</v>
      </c>
      <c r="M28" s="51" t="s">
        <v>58</v>
      </c>
    </row>
    <row r="29" spans="1:20" ht="16.149999999999999" thickBot="1">
      <c r="B29" s="61">
        <v>39753</v>
      </c>
      <c r="C29">
        <v>114.6</v>
      </c>
      <c r="D29">
        <v>2</v>
      </c>
      <c r="E29">
        <v>2017</v>
      </c>
      <c r="F29" s="18">
        <f>SUM(C124:C133)</f>
        <v>1394</v>
      </c>
      <c r="G29" s="30">
        <v>-0.67</v>
      </c>
      <c r="H29">
        <v>170795.69999999998</v>
      </c>
      <c r="I29" s="40">
        <v>7.1</v>
      </c>
      <c r="J29" s="33">
        <v>0.35</v>
      </c>
      <c r="K29" s="38">
        <v>205</v>
      </c>
      <c r="L29" s="36">
        <v>71.8</v>
      </c>
    </row>
    <row r="30" spans="1:20" ht="16.149999999999999" thickBot="1">
      <c r="B30" s="61">
        <v>39783</v>
      </c>
      <c r="C30">
        <v>135.6</v>
      </c>
      <c r="D30">
        <v>19</v>
      </c>
      <c r="E30">
        <v>2018</v>
      </c>
      <c r="F30" s="18">
        <f>SUM(C136:C145)</f>
        <v>1575.3</v>
      </c>
      <c r="G30" s="30">
        <v>-1.03</v>
      </c>
      <c r="H30">
        <v>203282.59999999998</v>
      </c>
      <c r="I30" s="40">
        <v>8.44</v>
      </c>
      <c r="J30" s="33">
        <v>0.45</v>
      </c>
      <c r="K30" s="38">
        <v>162.65</v>
      </c>
      <c r="L30" s="36">
        <v>72.53</v>
      </c>
    </row>
    <row r="31" spans="1:20" ht="16.149999999999999" thickBot="1">
      <c r="A31">
        <v>2009</v>
      </c>
      <c r="B31" s="61">
        <v>39814</v>
      </c>
      <c r="C31">
        <v>74.5</v>
      </c>
      <c r="D31">
        <v>1</v>
      </c>
      <c r="E31">
        <v>2019</v>
      </c>
      <c r="F31" s="18">
        <f>SUM(C148:C157)</f>
        <v>1585.2</v>
      </c>
      <c r="G31" s="30">
        <v>-0.43</v>
      </c>
      <c r="H31">
        <v>204913.8</v>
      </c>
      <c r="I31" s="40">
        <v>8.34</v>
      </c>
      <c r="J31" s="33">
        <v>0.37</v>
      </c>
      <c r="K31" s="38">
        <v>194</v>
      </c>
      <c r="L31" s="36">
        <v>71.900000000000006</v>
      </c>
    </row>
    <row r="32" spans="1:20" ht="16.149999999999999" thickBot="1">
      <c r="B32" s="61">
        <v>39845</v>
      </c>
      <c r="C32">
        <v>128.69999999999999</v>
      </c>
      <c r="D32">
        <v>24</v>
      </c>
      <c r="E32">
        <v>2020</v>
      </c>
      <c r="F32" s="18">
        <f>SUM(C160:C169)</f>
        <v>1626.4</v>
      </c>
      <c r="G32" s="30">
        <v>-0.36</v>
      </c>
      <c r="H32">
        <v>201393.30000000002</v>
      </c>
      <c r="I32" s="40">
        <v>8.5</v>
      </c>
      <c r="J32" s="33">
        <v>0.6</v>
      </c>
      <c r="K32" s="38">
        <v>135.88</v>
      </c>
      <c r="L32" s="36">
        <v>81.81</v>
      </c>
    </row>
    <row r="33" spans="1:12" ht="16.149999999999999" thickBot="1">
      <c r="B33" s="61">
        <v>39873</v>
      </c>
      <c r="C33">
        <v>120.3</v>
      </c>
      <c r="D33">
        <v>3</v>
      </c>
      <c r="E33">
        <v>2021</v>
      </c>
      <c r="F33" s="27">
        <f>SUM(C172:C181)</f>
        <v>1731.1000000000004</v>
      </c>
      <c r="G33" s="29">
        <v>0.32</v>
      </c>
      <c r="H33">
        <v>173711.9</v>
      </c>
      <c r="I33" s="40">
        <v>7.24</v>
      </c>
      <c r="J33" s="34">
        <v>0.51</v>
      </c>
      <c r="K33" s="38">
        <v>148</v>
      </c>
      <c r="L33" s="36">
        <v>75.33</v>
      </c>
    </row>
    <row r="34" spans="1:12">
      <c r="B34" s="61">
        <v>39904</v>
      </c>
      <c r="C34">
        <v>76.599999999999994</v>
      </c>
    </row>
    <row r="35" spans="1:12">
      <c r="B35" s="61">
        <v>39934</v>
      </c>
      <c r="C35">
        <v>239.6</v>
      </c>
    </row>
    <row r="36" spans="1:12">
      <c r="B36" s="61">
        <v>39965</v>
      </c>
      <c r="C36">
        <v>321.8</v>
      </c>
      <c r="I36" t="s">
        <v>59</v>
      </c>
    </row>
    <row r="37" spans="1:12">
      <c r="B37" s="61">
        <v>39995</v>
      </c>
      <c r="C37">
        <v>285.39999999999998</v>
      </c>
      <c r="E37" t="s">
        <v>60</v>
      </c>
    </row>
    <row r="38" spans="1:12">
      <c r="B38" s="61">
        <v>40026</v>
      </c>
      <c r="C38" s="8">
        <v>141.5</v>
      </c>
    </row>
    <row r="39" spans="1:12">
      <c r="B39" s="61">
        <v>40057</v>
      </c>
      <c r="C39">
        <v>97.4</v>
      </c>
      <c r="E39" t="s">
        <v>61</v>
      </c>
    </row>
    <row r="40" spans="1:12">
      <c r="B40" s="61">
        <v>40087</v>
      </c>
      <c r="C40" s="13">
        <v>160.1</v>
      </c>
      <c r="E40" t="s">
        <v>0</v>
      </c>
      <c r="F40" t="s">
        <v>56</v>
      </c>
      <c r="G40" t="s">
        <v>2</v>
      </c>
      <c r="H40" t="s">
        <v>57</v>
      </c>
      <c r="I40" t="s">
        <v>53</v>
      </c>
      <c r="J40" t="s">
        <v>5</v>
      </c>
      <c r="K40" t="s">
        <v>6</v>
      </c>
      <c r="L40" t="s">
        <v>7</v>
      </c>
    </row>
    <row r="41" spans="1:12">
      <c r="B41" s="61">
        <v>40118</v>
      </c>
      <c r="C41">
        <v>138.1</v>
      </c>
      <c r="E41">
        <v>2008</v>
      </c>
      <c r="F41">
        <f>LOG10(1603.1)</f>
        <v>3.2049606141156022</v>
      </c>
      <c r="G41">
        <v>-0.67</v>
      </c>
      <c r="H41">
        <f>LOG10(221524.7)</f>
        <v>5.345422157085709</v>
      </c>
      <c r="I41" s="41">
        <f>LOG10(7.45)</f>
        <v>0.87215627274829288</v>
      </c>
      <c r="J41">
        <v>0.54420000000000002</v>
      </c>
      <c r="K41">
        <f>LOG10(130.31)</f>
        <v>2.1149777447853078</v>
      </c>
      <c r="L41">
        <f>LOG10(70.94)</f>
        <v>1.8508911841359239</v>
      </c>
    </row>
    <row r="42" spans="1:12">
      <c r="B42" s="61">
        <v>40148</v>
      </c>
      <c r="C42">
        <v>200.3</v>
      </c>
      <c r="E42">
        <v>2009</v>
      </c>
      <c r="F42">
        <f>LOG10(1617.7)</f>
        <v>3.2088979854933664</v>
      </c>
      <c r="G42">
        <v>-0.61</v>
      </c>
      <c r="H42">
        <f>LOG10(215025.4)</f>
        <v>5.3324897642332258</v>
      </c>
      <c r="I42" s="40">
        <f>LOG10(7.05)</f>
        <v>0.84818911699139865</v>
      </c>
      <c r="J42">
        <v>0.40939999999999999</v>
      </c>
      <c r="K42">
        <f>LOG10(157.58)</f>
        <v>2.1975010961432586</v>
      </c>
      <c r="L42">
        <f>LOG10(64.14)</f>
        <v>1.8071289555924217</v>
      </c>
    </row>
    <row r="43" spans="1:12">
      <c r="A43">
        <v>2010</v>
      </c>
      <c r="B43" s="61">
        <v>40179</v>
      </c>
      <c r="C43">
        <v>114.3</v>
      </c>
      <c r="E43">
        <v>2010</v>
      </c>
      <c r="F43">
        <f>LOG10(1747.8)</f>
        <v>3.2424917350113107</v>
      </c>
      <c r="G43">
        <v>0.32</v>
      </c>
      <c r="H43">
        <f>LOG10(182838.1)</f>
        <v>5.2620666995796483</v>
      </c>
      <c r="I43" s="40">
        <f>LOG10(6.61)</f>
        <v>0.82020145948564027</v>
      </c>
      <c r="J43">
        <v>0.3861</v>
      </c>
      <c r="K43">
        <f>LOG10(162.53)</f>
        <v>2.210933535357622</v>
      </c>
      <c r="L43">
        <f>LOG10(62.11)</f>
        <v>1.7931615292455507</v>
      </c>
    </row>
    <row r="44" spans="1:12">
      <c r="B44" s="61">
        <v>40210</v>
      </c>
      <c r="C44">
        <v>116.2</v>
      </c>
      <c r="E44">
        <v>2011</v>
      </c>
      <c r="F44">
        <f>LOG10(1608.6)</f>
        <v>3.2064480643665232</v>
      </c>
      <c r="G44">
        <v>-1.03</v>
      </c>
      <c r="H44">
        <f>LOG10(220572.1)</f>
        <v>5.3435505779938532</v>
      </c>
      <c r="I44" s="40">
        <f>LOG10(6.57)</f>
        <v>0.81756536955978076</v>
      </c>
      <c r="J44">
        <v>0.41959999999999997</v>
      </c>
      <c r="K44">
        <f>LOG10(197.54)</f>
        <v>2.295655049432586</v>
      </c>
      <c r="L44">
        <f>LOG10(82.34)</f>
        <v>1.9156108626614672</v>
      </c>
    </row>
    <row r="45" spans="1:12">
      <c r="B45" s="61">
        <v>40238</v>
      </c>
      <c r="C45">
        <v>92.4</v>
      </c>
      <c r="E45">
        <v>2012</v>
      </c>
      <c r="F45">
        <f>LOG10(1586.8)</f>
        <v>3.2005221918021127</v>
      </c>
      <c r="G45">
        <v>-0.77</v>
      </c>
      <c r="H45">
        <f>LOG10(159719.3)</f>
        <v>5.2033573981488743</v>
      </c>
      <c r="I45" s="40">
        <f>LOG10(6.78)</f>
        <v>0.83122969386706336</v>
      </c>
      <c r="J45">
        <v>0.47339999999999999</v>
      </c>
      <c r="K45" t="e">
        <v>#N/A</v>
      </c>
      <c r="L45">
        <f>LOG10(80.43)</f>
        <v>1.9054180687025422</v>
      </c>
    </row>
    <row r="46" spans="1:12">
      <c r="B46" s="61">
        <v>40269</v>
      </c>
      <c r="C46">
        <v>60</v>
      </c>
      <c r="E46">
        <v>2013</v>
      </c>
      <c r="F46">
        <f>LOG10(1866.8)</f>
        <v>3.2710977922131184</v>
      </c>
      <c r="G46">
        <v>0.2</v>
      </c>
      <c r="H46">
        <f>LOG10(144529.6)</f>
        <v>5.1599568007271372</v>
      </c>
      <c r="I46" s="40">
        <f>LOG10(6.22)</f>
        <v>0.79379038469081864</v>
      </c>
      <c r="J46">
        <v>0.60499999999999998</v>
      </c>
      <c r="K46">
        <f>LOG10(150.67)</f>
        <v>2.1780267882704329</v>
      </c>
      <c r="L46">
        <f>LOG10(89.79)</f>
        <v>1.9532279715598539</v>
      </c>
    </row>
    <row r="47" spans="1:12">
      <c r="B47" s="61">
        <v>40299</v>
      </c>
      <c r="C47">
        <v>303.2</v>
      </c>
      <c r="E47">
        <v>2014</v>
      </c>
      <c r="F47">
        <f>LOG10(1827.8)</f>
        <v>3.261928672990642</v>
      </c>
      <c r="G47">
        <v>-0.83</v>
      </c>
      <c r="H47">
        <f>LOG10(176065.4)</f>
        <v>5.2456740177192707</v>
      </c>
      <c r="I47" s="40">
        <f>LOG10(8.12)</f>
        <v>0.90955602924117529</v>
      </c>
      <c r="J47">
        <v>0.51149999999999995</v>
      </c>
      <c r="K47">
        <f>LOG10(175.71)</f>
        <v>2.2447964787476224</v>
      </c>
      <c r="L47">
        <f>LOG10(89.41)</f>
        <v>1.9513860948802928</v>
      </c>
    </row>
    <row r="48" spans="1:12">
      <c r="B48" s="61">
        <v>40330</v>
      </c>
      <c r="C48">
        <v>270.8</v>
      </c>
      <c r="E48">
        <v>2015</v>
      </c>
      <c r="F48">
        <f>LOG10(1571.6)</f>
        <v>3.1963420201397685</v>
      </c>
      <c r="G48">
        <v>-1.56</v>
      </c>
      <c r="H48">
        <f>LOG10(198183.5)</f>
        <v>5.2970674939573081</v>
      </c>
      <c r="I48" s="40">
        <f>LOG10(7.97)</f>
        <v>0.90145832139611237</v>
      </c>
      <c r="J48">
        <v>0.38519999999999999</v>
      </c>
      <c r="K48">
        <f>LOG10(220)</f>
        <v>2.3424226808222062</v>
      </c>
      <c r="L48">
        <f>LOG10(84.75)</f>
        <v>1.9281397068751198</v>
      </c>
    </row>
    <row r="49" spans="1:12">
      <c r="B49" s="61">
        <v>40360</v>
      </c>
      <c r="C49">
        <v>292.39999999999998</v>
      </c>
      <c r="E49">
        <v>2017</v>
      </c>
      <c r="F49">
        <f>LOG10(1394)</f>
        <v>3.1442627737619908</v>
      </c>
      <c r="G49">
        <v>-0.67</v>
      </c>
      <c r="H49">
        <f>LOG10(170795.7)</f>
        <v>5.232476932572073</v>
      </c>
      <c r="I49" s="40">
        <f>LOG10(7.1)</f>
        <v>0.85125834871907524</v>
      </c>
      <c r="J49">
        <v>0.34949999999999998</v>
      </c>
      <c r="K49">
        <f>LOG10(205)</f>
        <v>2.3117538610557542</v>
      </c>
      <c r="L49">
        <f>LOG10(71.8)</f>
        <v>1.8561244442423004</v>
      </c>
    </row>
    <row r="50" spans="1:12">
      <c r="B50" s="61">
        <v>40391</v>
      </c>
      <c r="C50" s="9">
        <v>364.1</v>
      </c>
      <c r="E50">
        <v>2018</v>
      </c>
      <c r="F50">
        <f>LOG10(1575.3)</f>
        <v>3.1973632730067192</v>
      </c>
      <c r="G50">
        <v>-1.03</v>
      </c>
      <c r="H50">
        <f>LOG10(203282.6)</f>
        <v>5.3081002067374721</v>
      </c>
      <c r="I50" s="40">
        <f>LOG10(8.44)</f>
        <v>0.92634244662565501</v>
      </c>
      <c r="J50">
        <v>0.44669999999999999</v>
      </c>
      <c r="K50">
        <f>LOG10(162.65)</f>
        <v>2.2112540676178725</v>
      </c>
      <c r="L50">
        <f>LOG10(72.53)</f>
        <v>1.8605176774617462</v>
      </c>
    </row>
    <row r="51" spans="1:12">
      <c r="B51" s="61">
        <v>40422</v>
      </c>
      <c r="C51">
        <v>115.6</v>
      </c>
      <c r="E51">
        <v>2019</v>
      </c>
      <c r="F51">
        <f>LOG10(1585.2)</f>
        <v>3.2000840636621519</v>
      </c>
      <c r="G51">
        <v>-0.43</v>
      </c>
      <c r="H51">
        <f>LOG10(204913.8)</f>
        <v>5.3115712071178196</v>
      </c>
      <c r="I51" s="40">
        <f>LOG10(8.34)</f>
        <v>0.92116605063773871</v>
      </c>
      <c r="J51">
        <v>0.37059999999999998</v>
      </c>
      <c r="K51">
        <f>LOG10(194)</f>
        <v>2.287801729930226</v>
      </c>
      <c r="L51">
        <f>LOG10(71.9)</f>
        <v>1.8567288903828827</v>
      </c>
    </row>
    <row r="52" spans="1:12">
      <c r="B52" s="61">
        <v>40452</v>
      </c>
      <c r="C52" s="14">
        <v>74.2</v>
      </c>
      <c r="E52">
        <v>2020</v>
      </c>
      <c r="F52">
        <f>LOG10(1626.4)</f>
        <v>3.2112273656299823</v>
      </c>
      <c r="G52">
        <v>-0.36</v>
      </c>
      <c r="H52">
        <f>LOG10(201393.3)</f>
        <v>5.3040450182462502</v>
      </c>
      <c r="I52" s="40">
        <f>LOG10(8.5)</f>
        <v>0.92941892571429274</v>
      </c>
      <c r="J52">
        <v>0.61260000000000003</v>
      </c>
      <c r="K52">
        <f>LOG10(135.88)</f>
        <v>2.1331555381979905</v>
      </c>
      <c r="L52">
        <f>LOG10(81.81)</f>
        <v>1.9128063926612924</v>
      </c>
    </row>
    <row r="53" spans="1:12">
      <c r="B53" s="61">
        <v>40483</v>
      </c>
      <c r="C53">
        <v>138.30000000000001</v>
      </c>
      <c r="E53">
        <v>2021</v>
      </c>
      <c r="F53">
        <f>LOG10(1731.1)</f>
        <v>3.238322156375554</v>
      </c>
      <c r="G53">
        <v>0.32</v>
      </c>
      <c r="H53">
        <f>LOG10(173711.9)</f>
        <v>5.2398295704753775</v>
      </c>
      <c r="I53" s="40">
        <f>LOG10(7.24)</f>
        <v>0.85973856619714695</v>
      </c>
      <c r="J53">
        <v>0.50949999999999995</v>
      </c>
      <c r="K53">
        <f>LOG10(148)</f>
        <v>2.1702617153949575</v>
      </c>
      <c r="L53">
        <f>LOG10(75.33)</f>
        <v>1.8769679674325848</v>
      </c>
    </row>
    <row r="54" spans="1:12">
      <c r="B54" s="61">
        <v>40513</v>
      </c>
      <c r="C54">
        <v>270.2</v>
      </c>
    </row>
    <row r="55" spans="1:12">
      <c r="A55">
        <v>2011</v>
      </c>
      <c r="B55" s="61">
        <v>40544</v>
      </c>
      <c r="C55">
        <v>160.1</v>
      </c>
    </row>
    <row r="56" spans="1:12">
      <c r="B56" s="61">
        <v>40575</v>
      </c>
      <c r="C56">
        <v>24.3</v>
      </c>
    </row>
    <row r="57" spans="1:12">
      <c r="B57" s="61">
        <v>40603</v>
      </c>
      <c r="C57">
        <v>106.7</v>
      </c>
    </row>
    <row r="58" spans="1:12">
      <c r="B58" s="61">
        <v>40634</v>
      </c>
      <c r="C58">
        <v>53.4</v>
      </c>
    </row>
    <row r="59" spans="1:12">
      <c r="B59" s="61">
        <v>40664</v>
      </c>
      <c r="C59">
        <v>209.2</v>
      </c>
    </row>
    <row r="60" spans="1:12">
      <c r="B60" s="61">
        <v>40695</v>
      </c>
      <c r="C60">
        <v>260.7</v>
      </c>
    </row>
    <row r="61" spans="1:12">
      <c r="B61" s="61">
        <v>40725</v>
      </c>
      <c r="C61">
        <v>311.5</v>
      </c>
    </row>
    <row r="62" spans="1:12">
      <c r="B62" s="61">
        <v>40756</v>
      </c>
      <c r="C62" s="8">
        <v>196.2</v>
      </c>
    </row>
    <row r="63" spans="1:12">
      <c r="B63" s="61">
        <v>40787</v>
      </c>
      <c r="C63">
        <v>175.6</v>
      </c>
    </row>
    <row r="64" spans="1:12">
      <c r="B64" s="61">
        <v>40817</v>
      </c>
      <c r="C64" s="13">
        <v>131.6</v>
      </c>
    </row>
    <row r="65" spans="1:3">
      <c r="B65" s="61">
        <v>40848</v>
      </c>
      <c r="C65">
        <v>1.7</v>
      </c>
    </row>
    <row r="66" spans="1:3">
      <c r="B66" s="61">
        <v>40878</v>
      </c>
      <c r="C66">
        <v>284.60000000000002</v>
      </c>
    </row>
    <row r="67" spans="1:3">
      <c r="A67">
        <v>2012</v>
      </c>
      <c r="B67" s="61">
        <v>40909</v>
      </c>
      <c r="C67">
        <v>297.39999999999998</v>
      </c>
    </row>
    <row r="68" spans="1:3">
      <c r="B68" s="61">
        <v>40940</v>
      </c>
      <c r="C68">
        <v>72.900000000000006</v>
      </c>
    </row>
    <row r="69" spans="1:3">
      <c r="B69" s="61">
        <v>40969</v>
      </c>
      <c r="C69">
        <v>45.6</v>
      </c>
    </row>
    <row r="70" spans="1:3">
      <c r="B70" s="61">
        <v>41000</v>
      </c>
      <c r="C70">
        <v>113</v>
      </c>
    </row>
    <row r="71" spans="1:3">
      <c r="B71" s="61">
        <v>41030</v>
      </c>
      <c r="C71">
        <v>147.69999999999999</v>
      </c>
    </row>
    <row r="72" spans="1:3">
      <c r="B72" s="61">
        <v>41061</v>
      </c>
      <c r="C72">
        <v>302.60000000000002</v>
      </c>
    </row>
    <row r="73" spans="1:3">
      <c r="B73" s="61">
        <v>41091</v>
      </c>
      <c r="C73">
        <v>189.7</v>
      </c>
    </row>
    <row r="74" spans="1:3">
      <c r="B74" s="61">
        <v>41122</v>
      </c>
      <c r="C74" s="9">
        <v>332.3</v>
      </c>
    </row>
    <row r="75" spans="1:3">
      <c r="B75" s="61">
        <v>41153</v>
      </c>
      <c r="C75">
        <v>129.6</v>
      </c>
    </row>
    <row r="76" spans="1:3">
      <c r="B76" s="61">
        <v>41183</v>
      </c>
      <c r="C76" s="13">
        <v>130</v>
      </c>
    </row>
    <row r="77" spans="1:3">
      <c r="B77" s="61">
        <v>41214</v>
      </c>
      <c r="C77">
        <v>158.1</v>
      </c>
    </row>
    <row r="78" spans="1:3">
      <c r="B78" s="61">
        <v>41244</v>
      </c>
      <c r="C78">
        <v>246.9</v>
      </c>
    </row>
    <row r="79" spans="1:3">
      <c r="A79">
        <v>2013</v>
      </c>
      <c r="B79" s="61">
        <v>41275</v>
      </c>
      <c r="C79">
        <v>232</v>
      </c>
    </row>
    <row r="80" spans="1:3">
      <c r="B80" s="61">
        <v>41306</v>
      </c>
      <c r="C80">
        <v>202.7</v>
      </c>
    </row>
    <row r="81" spans="1:3">
      <c r="B81" s="61">
        <v>41334</v>
      </c>
      <c r="C81">
        <v>87.3</v>
      </c>
    </row>
    <row r="82" spans="1:3">
      <c r="B82" s="61">
        <v>41365</v>
      </c>
      <c r="C82">
        <v>89.2</v>
      </c>
    </row>
    <row r="83" spans="1:3">
      <c r="B83" s="61">
        <v>41395</v>
      </c>
      <c r="C83">
        <v>324.7</v>
      </c>
    </row>
    <row r="84" spans="1:3">
      <c r="B84" s="61">
        <v>41426</v>
      </c>
      <c r="C84">
        <v>335.5</v>
      </c>
    </row>
    <row r="85" spans="1:3">
      <c r="B85" s="61">
        <v>41456</v>
      </c>
      <c r="C85">
        <v>60.4</v>
      </c>
    </row>
    <row r="86" spans="1:3">
      <c r="B86" s="61">
        <v>41487</v>
      </c>
      <c r="C86" s="8">
        <v>216.6</v>
      </c>
    </row>
    <row r="87" spans="1:3">
      <c r="B87" s="61">
        <v>41518</v>
      </c>
      <c r="C87">
        <v>226.4</v>
      </c>
    </row>
    <row r="88" spans="1:3">
      <c r="B88" s="61">
        <v>41548</v>
      </c>
      <c r="C88" s="13">
        <v>165.7</v>
      </c>
    </row>
    <row r="89" spans="1:3">
      <c r="B89" s="61">
        <v>41579</v>
      </c>
      <c r="C89">
        <v>162.9</v>
      </c>
    </row>
    <row r="90" spans="1:3">
      <c r="B90" s="61">
        <v>41609</v>
      </c>
      <c r="C90">
        <v>32</v>
      </c>
    </row>
    <row r="91" spans="1:3">
      <c r="A91">
        <v>2014</v>
      </c>
      <c r="B91" s="61">
        <v>41640</v>
      </c>
      <c r="C91">
        <v>152</v>
      </c>
    </row>
    <row r="92" spans="1:3">
      <c r="B92" s="61">
        <v>41671</v>
      </c>
      <c r="C92">
        <v>52.7</v>
      </c>
    </row>
    <row r="93" spans="1:3">
      <c r="B93" s="61">
        <v>41699</v>
      </c>
      <c r="C93">
        <v>14</v>
      </c>
    </row>
    <row r="94" spans="1:3">
      <c r="B94" s="61">
        <v>41730</v>
      </c>
      <c r="C94">
        <v>81.599999999999994</v>
      </c>
    </row>
    <row r="95" spans="1:3">
      <c r="B95" s="61">
        <v>41760</v>
      </c>
      <c r="C95">
        <v>228</v>
      </c>
    </row>
    <row r="96" spans="1:3">
      <c r="B96" s="61">
        <v>41791</v>
      </c>
      <c r="C96">
        <v>112.8</v>
      </c>
    </row>
    <row r="97" spans="1:3">
      <c r="B97" s="61">
        <v>41821</v>
      </c>
      <c r="C97">
        <v>319</v>
      </c>
    </row>
    <row r="98" spans="1:3">
      <c r="B98" s="61">
        <v>41852</v>
      </c>
      <c r="C98" s="9">
        <v>270.39999999999998</v>
      </c>
    </row>
    <row r="99" spans="1:3">
      <c r="B99" s="61">
        <v>41883</v>
      </c>
      <c r="C99">
        <v>156.5</v>
      </c>
    </row>
    <row r="100" spans="1:3">
      <c r="B100" s="61">
        <v>41913</v>
      </c>
      <c r="C100" s="13">
        <v>200.3</v>
      </c>
    </row>
    <row r="101" spans="1:3">
      <c r="B101" s="61">
        <v>41944</v>
      </c>
      <c r="C101">
        <v>90.1</v>
      </c>
    </row>
    <row r="102" spans="1:3">
      <c r="B102" s="61">
        <v>41974</v>
      </c>
      <c r="C102">
        <v>150.4</v>
      </c>
    </row>
    <row r="103" spans="1:3">
      <c r="A103">
        <v>2015</v>
      </c>
      <c r="B103" s="61">
        <v>42005</v>
      </c>
      <c r="C103">
        <v>244.1</v>
      </c>
    </row>
    <row r="104" spans="1:3">
      <c r="B104" s="61">
        <v>42036</v>
      </c>
      <c r="C104">
        <v>46.4</v>
      </c>
    </row>
    <row r="105" spans="1:3">
      <c r="B105" s="61">
        <v>42064</v>
      </c>
      <c r="C105">
        <v>117.9</v>
      </c>
    </row>
    <row r="106" spans="1:3">
      <c r="B106" s="61">
        <v>42095</v>
      </c>
      <c r="C106">
        <v>130.9</v>
      </c>
    </row>
    <row r="107" spans="1:3">
      <c r="B107" s="61">
        <v>42125</v>
      </c>
      <c r="C107">
        <v>279.2</v>
      </c>
    </row>
    <row r="108" spans="1:3">
      <c r="B108" s="61">
        <v>42156</v>
      </c>
      <c r="C108">
        <v>215.7</v>
      </c>
    </row>
    <row r="109" spans="1:3">
      <c r="B109" s="61">
        <v>42186</v>
      </c>
      <c r="C109">
        <v>96.6</v>
      </c>
    </row>
    <row r="110" spans="1:3">
      <c r="B110" s="61">
        <v>42217</v>
      </c>
      <c r="C110" s="8">
        <v>116</v>
      </c>
    </row>
    <row r="111" spans="1:3">
      <c r="B111" s="61">
        <v>42248</v>
      </c>
      <c r="C111">
        <v>114.5</v>
      </c>
    </row>
    <row r="112" spans="1:3">
      <c r="B112" s="61">
        <v>42278</v>
      </c>
      <c r="C112" s="13">
        <v>139.80000000000001</v>
      </c>
    </row>
    <row r="113" spans="1:3">
      <c r="B113" s="61">
        <v>42309</v>
      </c>
      <c r="C113">
        <v>164.2</v>
      </c>
    </row>
    <row r="114" spans="1:3">
      <c r="B114" s="61">
        <v>42339</v>
      </c>
      <c r="C114">
        <v>58</v>
      </c>
    </row>
    <row r="115" spans="1:3">
      <c r="A115">
        <v>2016</v>
      </c>
      <c r="B115" s="61">
        <v>42370</v>
      </c>
      <c r="C115">
        <v>264</v>
      </c>
    </row>
    <row r="116" spans="1:3">
      <c r="B116" s="61">
        <v>42401</v>
      </c>
      <c r="C116">
        <v>197.4</v>
      </c>
    </row>
    <row r="117" spans="1:3">
      <c r="B117" s="61">
        <v>42430</v>
      </c>
      <c r="C117">
        <v>100.5</v>
      </c>
    </row>
    <row r="118" spans="1:3">
      <c r="B118" s="61">
        <v>42461</v>
      </c>
      <c r="C118">
        <v>126.3</v>
      </c>
    </row>
    <row r="119" spans="1:3">
      <c r="B119" s="61">
        <v>42491</v>
      </c>
      <c r="C119">
        <v>254</v>
      </c>
    </row>
    <row r="120" spans="1:3">
      <c r="B120" s="61">
        <v>42522</v>
      </c>
      <c r="C120">
        <v>283.2</v>
      </c>
    </row>
    <row r="121" spans="1:3">
      <c r="B121" s="61">
        <v>42552</v>
      </c>
      <c r="C121">
        <v>267.7</v>
      </c>
    </row>
    <row r="122" spans="1:3">
      <c r="B122" s="61">
        <v>42583</v>
      </c>
      <c r="C122" s="9">
        <v>173</v>
      </c>
    </row>
    <row r="123" spans="1:3">
      <c r="B123" s="61">
        <v>42614</v>
      </c>
      <c r="C123">
        <v>183.4</v>
      </c>
    </row>
    <row r="124" spans="1:3">
      <c r="B124" s="61">
        <v>42644</v>
      </c>
      <c r="C124" s="13">
        <v>99.1</v>
      </c>
    </row>
    <row r="125" spans="1:3">
      <c r="B125" s="61">
        <v>42675</v>
      </c>
      <c r="C125">
        <v>166.4</v>
      </c>
    </row>
    <row r="126" spans="1:3">
      <c r="B126" s="61">
        <v>42705</v>
      </c>
      <c r="C126">
        <v>19.3</v>
      </c>
    </row>
    <row r="127" spans="1:3">
      <c r="A127">
        <v>2017</v>
      </c>
      <c r="B127" s="61">
        <v>42736</v>
      </c>
      <c r="C127">
        <v>111.5</v>
      </c>
    </row>
    <row r="128" spans="1:3">
      <c r="B128" s="61">
        <v>42767</v>
      </c>
      <c r="C128">
        <v>98.7</v>
      </c>
    </row>
    <row r="129" spans="1:3">
      <c r="B129" s="61">
        <v>42795</v>
      </c>
      <c r="C129">
        <v>137.30000000000001</v>
      </c>
    </row>
    <row r="130" spans="1:3">
      <c r="B130" s="61">
        <v>42826</v>
      </c>
      <c r="C130">
        <v>189.1</v>
      </c>
    </row>
    <row r="131" spans="1:3">
      <c r="B131" s="61">
        <v>42856</v>
      </c>
      <c r="C131">
        <v>153</v>
      </c>
    </row>
    <row r="132" spans="1:3">
      <c r="B132" s="61">
        <v>42887</v>
      </c>
      <c r="C132">
        <v>159.30000000000001</v>
      </c>
    </row>
    <row r="133" spans="1:3">
      <c r="B133" s="61">
        <v>42917</v>
      </c>
      <c r="C133">
        <v>260.3</v>
      </c>
    </row>
    <row r="134" spans="1:3">
      <c r="B134" s="61">
        <v>42948</v>
      </c>
      <c r="C134" s="9">
        <v>274</v>
      </c>
    </row>
    <row r="135" spans="1:3">
      <c r="B135" s="61">
        <v>42979</v>
      </c>
      <c r="C135">
        <v>152.4</v>
      </c>
    </row>
    <row r="136" spans="1:3">
      <c r="B136" s="61">
        <v>43009</v>
      </c>
      <c r="C136" s="13">
        <v>147.6</v>
      </c>
    </row>
    <row r="137" spans="1:3">
      <c r="B137" s="61">
        <v>43040</v>
      </c>
      <c r="C137">
        <v>160.4</v>
      </c>
    </row>
    <row r="138" spans="1:3">
      <c r="B138" s="61">
        <v>43070</v>
      </c>
      <c r="C138">
        <v>186.2</v>
      </c>
    </row>
    <row r="139" spans="1:3">
      <c r="A139">
        <v>2018</v>
      </c>
      <c r="B139" s="61">
        <v>43101</v>
      </c>
      <c r="C139">
        <v>292.8</v>
      </c>
    </row>
    <row r="140" spans="1:3">
      <c r="B140" s="61">
        <v>43132</v>
      </c>
      <c r="C140">
        <v>86.6</v>
      </c>
    </row>
    <row r="141" spans="1:3">
      <c r="B141" s="61">
        <v>43160</v>
      </c>
      <c r="C141">
        <v>93.3</v>
      </c>
    </row>
    <row r="142" spans="1:3">
      <c r="B142" s="61">
        <v>43191</v>
      </c>
      <c r="C142">
        <v>33.299999999999997</v>
      </c>
    </row>
    <row r="143" spans="1:3">
      <c r="B143" s="61">
        <v>43221</v>
      </c>
      <c r="C143">
        <v>171.1</v>
      </c>
    </row>
    <row r="144" spans="1:3">
      <c r="B144" s="61">
        <v>43252</v>
      </c>
      <c r="C144">
        <v>229.4</v>
      </c>
    </row>
    <row r="145" spans="1:3">
      <c r="B145" s="61">
        <v>43282</v>
      </c>
      <c r="C145">
        <v>174.6</v>
      </c>
    </row>
    <row r="146" spans="1:3">
      <c r="B146" s="61">
        <v>43313</v>
      </c>
      <c r="C146" s="8">
        <v>181.5</v>
      </c>
    </row>
    <row r="147" spans="1:3">
      <c r="B147" s="61">
        <v>43344</v>
      </c>
      <c r="C147">
        <v>168.3</v>
      </c>
    </row>
    <row r="148" spans="1:3">
      <c r="B148" s="61">
        <v>43374</v>
      </c>
      <c r="C148" s="13">
        <v>113.5</v>
      </c>
    </row>
    <row r="149" spans="1:3">
      <c r="B149" s="61">
        <v>43405</v>
      </c>
      <c r="C149">
        <v>59.5</v>
      </c>
    </row>
    <row r="150" spans="1:3">
      <c r="B150" s="61">
        <v>43435</v>
      </c>
      <c r="C150">
        <v>292.39999999999998</v>
      </c>
    </row>
    <row r="151" spans="1:3">
      <c r="A151">
        <v>2019</v>
      </c>
      <c r="B151" s="61">
        <v>43466</v>
      </c>
      <c r="C151">
        <v>236.8</v>
      </c>
    </row>
    <row r="152" spans="1:3">
      <c r="B152" s="61">
        <v>43497</v>
      </c>
      <c r="C152">
        <v>100.6</v>
      </c>
    </row>
    <row r="153" spans="1:3">
      <c r="B153" s="61">
        <v>43525</v>
      </c>
      <c r="C153">
        <v>130.80000000000001</v>
      </c>
    </row>
    <row r="154" spans="1:3">
      <c r="B154" s="61">
        <v>43556</v>
      </c>
      <c r="C154">
        <v>41.1</v>
      </c>
    </row>
    <row r="155" spans="1:3">
      <c r="B155" s="61">
        <v>43586</v>
      </c>
      <c r="C155">
        <v>291.39999999999998</v>
      </c>
    </row>
    <row r="156" spans="1:3">
      <c r="B156" s="61">
        <v>43617</v>
      </c>
      <c r="C156">
        <v>129.30000000000001</v>
      </c>
    </row>
    <row r="157" spans="1:3">
      <c r="B157" s="61">
        <v>43647</v>
      </c>
      <c r="C157">
        <v>189.8</v>
      </c>
    </row>
    <row r="158" spans="1:3">
      <c r="B158" s="61">
        <v>43678</v>
      </c>
      <c r="C158" s="8">
        <v>239.5</v>
      </c>
    </row>
    <row r="159" spans="1:3">
      <c r="B159" s="61">
        <v>43709</v>
      </c>
      <c r="C159">
        <v>130.6</v>
      </c>
    </row>
    <row r="160" spans="1:3">
      <c r="B160" s="61">
        <v>43739</v>
      </c>
      <c r="C160" s="13">
        <v>156.80000000000001</v>
      </c>
    </row>
    <row r="161" spans="1:3">
      <c r="B161" s="61">
        <v>43770</v>
      </c>
      <c r="C161">
        <v>123.1</v>
      </c>
    </row>
    <row r="162" spans="1:3">
      <c r="B162" s="61">
        <v>43800</v>
      </c>
      <c r="C162">
        <v>139.30000000000001</v>
      </c>
    </row>
    <row r="163" spans="1:3">
      <c r="A163">
        <v>2020</v>
      </c>
      <c r="B163" s="61">
        <v>43831</v>
      </c>
      <c r="C163">
        <v>68.099999999999994</v>
      </c>
    </row>
    <row r="164" spans="1:3">
      <c r="B164" s="61">
        <v>43862</v>
      </c>
      <c r="C164">
        <v>304.2</v>
      </c>
    </row>
    <row r="165" spans="1:3">
      <c r="B165" s="61">
        <v>43891</v>
      </c>
      <c r="C165">
        <v>123.9</v>
      </c>
    </row>
    <row r="166" spans="1:3">
      <c r="B166" s="61">
        <v>43922</v>
      </c>
      <c r="C166">
        <v>69.2</v>
      </c>
    </row>
    <row r="167" spans="1:3">
      <c r="B167" s="61">
        <v>43952</v>
      </c>
      <c r="C167">
        <v>110.9</v>
      </c>
    </row>
    <row r="168" spans="1:3">
      <c r="B168" s="61">
        <v>43983</v>
      </c>
      <c r="C168">
        <v>344.5</v>
      </c>
    </row>
    <row r="169" spans="1:3">
      <c r="B169" s="61">
        <v>44013</v>
      </c>
      <c r="C169">
        <v>186.4</v>
      </c>
    </row>
    <row r="170" spans="1:3">
      <c r="B170" s="61">
        <v>44044</v>
      </c>
      <c r="C170" s="7">
        <v>284.3</v>
      </c>
    </row>
    <row r="171" spans="1:3">
      <c r="B171" s="61">
        <v>44075</v>
      </c>
      <c r="C171">
        <v>160.4</v>
      </c>
    </row>
    <row r="172" spans="1:3">
      <c r="B172" s="61">
        <v>44105</v>
      </c>
      <c r="C172" s="13">
        <v>185.3</v>
      </c>
    </row>
    <row r="173" spans="1:3">
      <c r="B173" s="61">
        <v>44136</v>
      </c>
      <c r="C173">
        <v>42.3</v>
      </c>
    </row>
    <row r="174" spans="1:3">
      <c r="B174" s="61">
        <v>44166</v>
      </c>
      <c r="C174">
        <v>124.1</v>
      </c>
    </row>
    <row r="175" spans="1:3">
      <c r="A175">
        <v>2021</v>
      </c>
      <c r="B175" s="61">
        <v>44197</v>
      </c>
      <c r="C175">
        <v>192.7</v>
      </c>
    </row>
    <row r="176" spans="1:3">
      <c r="B176" s="61">
        <v>44228</v>
      </c>
      <c r="C176">
        <v>127.7</v>
      </c>
    </row>
    <row r="177" spans="2:3">
      <c r="B177" s="61">
        <v>44256</v>
      </c>
      <c r="C177">
        <v>93</v>
      </c>
    </row>
    <row r="178" spans="2:3">
      <c r="B178" s="61">
        <v>44287</v>
      </c>
      <c r="C178">
        <v>67.5</v>
      </c>
    </row>
    <row r="179" spans="2:3">
      <c r="B179" s="61">
        <v>44317</v>
      </c>
      <c r="C179">
        <v>274.2</v>
      </c>
    </row>
    <row r="180" spans="2:3">
      <c r="B180" s="61">
        <v>44348</v>
      </c>
      <c r="C180">
        <v>289.39999999999998</v>
      </c>
    </row>
    <row r="181" spans="2:3">
      <c r="B181" s="61">
        <v>44378</v>
      </c>
      <c r="C181">
        <v>334.9</v>
      </c>
    </row>
    <row r="182" spans="2:3">
      <c r="B182" s="62">
        <v>44409</v>
      </c>
      <c r="C182" s="63">
        <v>317.3</v>
      </c>
    </row>
    <row r="183" spans="2:3">
      <c r="B183" s="6"/>
    </row>
    <row r="184" spans="2:3">
      <c r="B184" s="6"/>
    </row>
    <row r="185" spans="2:3">
      <c r="B185" s="6"/>
    </row>
    <row r="186" spans="2:3">
      <c r="B186" s="6"/>
    </row>
  </sheetData>
  <phoneticPr fontId="2" type="noConversion"/>
  <pageMargins left="0.7" right="0.7" top="0.75" bottom="0.75" header="0.3" footer="0.3"/>
  <pageSetup orientation="portrait" horizontalDpi="300" verticalDpi="3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3FB27-D5F1-4E89-89C6-AB2C262832BC}">
  <dimension ref="A1:O55"/>
  <sheetViews>
    <sheetView topLeftCell="A14" workbookViewId="0">
      <selection activeCell="P47" sqref="P47"/>
    </sheetView>
  </sheetViews>
  <sheetFormatPr defaultRowHeight="14.45"/>
  <cols>
    <col min="2" max="15" width="9.7109375" bestFit="1" customWidth="1"/>
  </cols>
  <sheetData>
    <row r="1" spans="1:15">
      <c r="A1" t="s">
        <v>62</v>
      </c>
    </row>
    <row r="2" spans="1:15">
      <c r="B2" t="s">
        <v>63</v>
      </c>
      <c r="C2" t="s">
        <v>64</v>
      </c>
      <c r="D2" t="s">
        <v>65</v>
      </c>
      <c r="E2" t="s">
        <v>66</v>
      </c>
      <c r="F2" t="s">
        <v>67</v>
      </c>
      <c r="G2" t="s">
        <v>68</v>
      </c>
      <c r="H2" t="s">
        <v>69</v>
      </c>
      <c r="I2" t="s">
        <v>70</v>
      </c>
      <c r="J2" t="s">
        <v>71</v>
      </c>
      <c r="K2" t="s">
        <v>72</v>
      </c>
      <c r="L2" t="s">
        <v>73</v>
      </c>
      <c r="M2" t="s">
        <v>74</v>
      </c>
      <c r="N2" t="s">
        <v>75</v>
      </c>
      <c r="O2" t="s">
        <v>76</v>
      </c>
    </row>
    <row r="3" spans="1:15">
      <c r="A3" t="s">
        <v>44</v>
      </c>
      <c r="B3" s="52">
        <v>-0.81</v>
      </c>
      <c r="C3" s="56">
        <v>-0.19</v>
      </c>
      <c r="D3" s="60">
        <v>0.55000000000000004</v>
      </c>
      <c r="E3" s="52">
        <v>-0.42</v>
      </c>
      <c r="F3" s="60">
        <v>0.25</v>
      </c>
      <c r="G3" s="60">
        <v>-0.03</v>
      </c>
      <c r="H3" s="60">
        <v>0.3</v>
      </c>
      <c r="I3" s="60">
        <v>0.77</v>
      </c>
      <c r="J3" s="60">
        <v>0.43</v>
      </c>
      <c r="K3" s="60">
        <v>0.26</v>
      </c>
      <c r="L3" s="60">
        <v>0.46</v>
      </c>
      <c r="M3" s="60">
        <v>-0.61</v>
      </c>
      <c r="N3" s="60">
        <v>0.46</v>
      </c>
      <c r="O3" s="60">
        <v>1.1000000000000001</v>
      </c>
    </row>
    <row r="4" spans="1:15">
      <c r="A4" t="s">
        <v>45</v>
      </c>
      <c r="B4" s="6">
        <v>1.01</v>
      </c>
      <c r="C4" s="55">
        <v>-0.35</v>
      </c>
      <c r="D4" s="59">
        <v>-0.18</v>
      </c>
      <c r="E4" s="55">
        <v>-0.38</v>
      </c>
      <c r="F4" s="55">
        <v>-2.7</v>
      </c>
      <c r="G4" s="55">
        <v>-0.28000000000000003</v>
      </c>
      <c r="H4" s="55">
        <v>0.56000000000000005</v>
      </c>
      <c r="I4" s="55">
        <v>-1.3</v>
      </c>
      <c r="J4" s="55">
        <v>0.03</v>
      </c>
      <c r="K4" s="55">
        <v>0.34</v>
      </c>
      <c r="L4" s="55">
        <v>0.75</v>
      </c>
      <c r="M4" s="55">
        <v>-1.59</v>
      </c>
      <c r="N4" s="55">
        <v>-0.12</v>
      </c>
      <c r="O4" s="55">
        <v>-1.78</v>
      </c>
    </row>
    <row r="5" spans="1:15">
      <c r="A5" t="s">
        <v>46</v>
      </c>
      <c r="B5" s="39">
        <v>-0.09</v>
      </c>
      <c r="C5" s="57">
        <v>-0.43</v>
      </c>
      <c r="D5" s="55">
        <v>0.55000000000000004</v>
      </c>
      <c r="E5" s="55">
        <v>0.81</v>
      </c>
      <c r="F5" s="55">
        <v>1.52</v>
      </c>
      <c r="G5" s="55">
        <v>0.89</v>
      </c>
      <c r="H5" s="55">
        <v>-2.0099999999999998</v>
      </c>
      <c r="I5" s="55">
        <v>-0.2</v>
      </c>
      <c r="J5" s="55">
        <v>-1.67</v>
      </c>
      <c r="K5" s="55">
        <v>-2.14</v>
      </c>
      <c r="L5" s="55">
        <v>0.89</v>
      </c>
      <c r="M5" s="55">
        <v>1.73</v>
      </c>
      <c r="N5" s="55">
        <v>-0.26</v>
      </c>
      <c r="O5" s="55">
        <v>-0.17</v>
      </c>
    </row>
    <row r="6" spans="1:15">
      <c r="A6" t="s">
        <v>35</v>
      </c>
      <c r="B6" s="53">
        <v>-0.92</v>
      </c>
      <c r="C6" s="58">
        <v>-1.25</v>
      </c>
      <c r="D6" s="55">
        <v>-7.0000000000000007E-2</v>
      </c>
      <c r="E6" s="55">
        <v>-7.0000000000000007E-2</v>
      </c>
      <c r="F6" s="55">
        <v>1.76</v>
      </c>
      <c r="G6" s="55">
        <v>0.85</v>
      </c>
      <c r="H6" s="55">
        <v>-0.43</v>
      </c>
      <c r="I6" s="55">
        <v>0.96</v>
      </c>
      <c r="J6" s="55">
        <v>1.41</v>
      </c>
      <c r="K6" s="55">
        <v>0.47</v>
      </c>
      <c r="L6" s="55">
        <v>1.68</v>
      </c>
      <c r="M6" s="55">
        <v>1.76</v>
      </c>
      <c r="N6" s="55">
        <v>-1.41</v>
      </c>
      <c r="O6" s="55">
        <v>0.68</v>
      </c>
    </row>
    <row r="7" spans="1:15">
      <c r="A7" t="s">
        <v>77</v>
      </c>
      <c r="B7" s="54">
        <v>-1.34</v>
      </c>
      <c r="C7" s="59">
        <v>1.01</v>
      </c>
      <c r="D7" s="57">
        <v>-1.6</v>
      </c>
      <c r="E7" s="57">
        <v>-1.6</v>
      </c>
      <c r="F7" s="55">
        <v>0</v>
      </c>
      <c r="G7" s="55">
        <v>1.1499999999999999</v>
      </c>
      <c r="H7" s="55">
        <v>-1.46</v>
      </c>
      <c r="I7" s="55">
        <v>-1.22</v>
      </c>
      <c r="J7" s="55">
        <v>0.93</v>
      </c>
      <c r="K7" s="55">
        <v>-0.65</v>
      </c>
      <c r="L7" s="55">
        <v>0.33</v>
      </c>
      <c r="M7" s="55">
        <v>-0.9</v>
      </c>
      <c r="N7" s="55">
        <v>1.69</v>
      </c>
      <c r="O7" s="55">
        <v>-0.81</v>
      </c>
    </row>
    <row r="8" spans="1:15">
      <c r="A8" t="s">
        <v>37</v>
      </c>
      <c r="B8" s="55">
        <v>1.1200000000000001</v>
      </c>
      <c r="C8" s="59">
        <v>1.3</v>
      </c>
      <c r="D8" s="55">
        <v>-0.65</v>
      </c>
      <c r="E8" s="55">
        <v>-0.65</v>
      </c>
      <c r="F8" s="55">
        <v>-1.9</v>
      </c>
      <c r="G8" s="55">
        <v>-0.23</v>
      </c>
      <c r="H8" s="55">
        <v>-1.68</v>
      </c>
      <c r="I8" s="55">
        <v>0.15</v>
      </c>
      <c r="J8" s="55">
        <v>-0.12</v>
      </c>
      <c r="K8" s="55">
        <v>-0.11</v>
      </c>
      <c r="L8" s="55">
        <v>-0.14000000000000001</v>
      </c>
      <c r="M8" s="55">
        <v>-0.32</v>
      </c>
      <c r="N8" s="55">
        <v>-0.15</v>
      </c>
      <c r="O8" s="55">
        <v>-0.44</v>
      </c>
    </row>
    <row r="9" spans="1:15">
      <c r="A9" t="s">
        <v>38</v>
      </c>
      <c r="B9" s="55">
        <v>1.56</v>
      </c>
      <c r="C9" s="57">
        <v>-1.63</v>
      </c>
      <c r="D9" s="55">
        <v>-1.93</v>
      </c>
      <c r="E9" s="55">
        <v>-1.93</v>
      </c>
      <c r="F9" s="55">
        <v>-0.26</v>
      </c>
      <c r="G9" s="55">
        <v>-1.1200000000000001</v>
      </c>
      <c r="H9" s="55">
        <v>-0.72</v>
      </c>
      <c r="I9" s="55">
        <v>-0.46</v>
      </c>
      <c r="J9" s="55">
        <v>-0.08</v>
      </c>
      <c r="K9" s="55">
        <v>1.26</v>
      </c>
      <c r="L9" s="55">
        <v>-2.02</v>
      </c>
      <c r="M9" s="55">
        <v>-1.3</v>
      </c>
      <c r="N9" s="55">
        <v>-1.77</v>
      </c>
      <c r="O9" s="55">
        <v>-0.87</v>
      </c>
    </row>
    <row r="10" spans="1:15">
      <c r="A10" t="s">
        <v>39</v>
      </c>
      <c r="B10" s="55">
        <v>-1.69</v>
      </c>
      <c r="C10" s="55">
        <v>0.17</v>
      </c>
      <c r="D10" s="55">
        <v>-0.23</v>
      </c>
      <c r="E10" s="55">
        <v>-0.23</v>
      </c>
      <c r="F10" s="55">
        <v>-0.88</v>
      </c>
      <c r="G10" s="55">
        <v>1.7</v>
      </c>
      <c r="H10" s="55">
        <v>0.96</v>
      </c>
      <c r="I10" s="55">
        <v>1.35</v>
      </c>
      <c r="J10" s="55">
        <v>0.93</v>
      </c>
      <c r="K10" s="55">
        <v>-0.27</v>
      </c>
      <c r="L10" s="55">
        <v>-0.34</v>
      </c>
      <c r="M10" s="55">
        <v>1.95</v>
      </c>
      <c r="N10" s="55">
        <v>-0.8</v>
      </c>
      <c r="O10" s="55">
        <v>1.25</v>
      </c>
    </row>
    <row r="11" spans="1:15">
      <c r="A11" t="s">
        <v>40</v>
      </c>
      <c r="B11" s="54">
        <v>-0.03</v>
      </c>
      <c r="C11" s="55">
        <v>1.07</v>
      </c>
      <c r="D11" s="55">
        <v>0.88</v>
      </c>
      <c r="E11" s="55">
        <v>0.88</v>
      </c>
      <c r="F11" s="55">
        <v>0.32</v>
      </c>
      <c r="G11" s="55">
        <v>1.57</v>
      </c>
      <c r="H11" s="55">
        <v>-1.64</v>
      </c>
      <c r="I11" s="55">
        <v>0.02</v>
      </c>
      <c r="J11" s="55">
        <v>0.6</v>
      </c>
      <c r="K11" s="55">
        <v>-1.22</v>
      </c>
      <c r="L11" s="55">
        <v>-0.9</v>
      </c>
      <c r="M11" s="55">
        <v>-1.98</v>
      </c>
      <c r="N11" s="55">
        <v>1.78</v>
      </c>
      <c r="O11" s="55">
        <v>-0.41</v>
      </c>
    </row>
    <row r="12" spans="1:15">
      <c r="A12" t="s">
        <v>41</v>
      </c>
      <c r="B12" s="55">
        <v>-0.49</v>
      </c>
      <c r="C12" s="57">
        <v>-0.02</v>
      </c>
      <c r="D12" s="55">
        <v>0.44</v>
      </c>
      <c r="E12" s="55">
        <v>0.44</v>
      </c>
      <c r="F12" s="55">
        <v>-0.63</v>
      </c>
      <c r="G12" s="55">
        <v>-2.13</v>
      </c>
      <c r="H12" s="55">
        <v>1.03</v>
      </c>
      <c r="I12" s="55">
        <v>-1.88</v>
      </c>
      <c r="J12" s="55">
        <v>0.74</v>
      </c>
      <c r="K12" s="55">
        <v>0.01</v>
      </c>
      <c r="L12" s="55">
        <v>-1.1299999999999999</v>
      </c>
      <c r="M12" s="55">
        <v>-1.02</v>
      </c>
      <c r="N12" s="55">
        <v>-0.92</v>
      </c>
      <c r="O12" s="55">
        <v>0.79</v>
      </c>
    </row>
    <row r="14" spans="1:15">
      <c r="A14" t="s">
        <v>1</v>
      </c>
    </row>
    <row r="15" spans="1:15">
      <c r="B15" t="s">
        <v>63</v>
      </c>
      <c r="C15" t="s">
        <v>64</v>
      </c>
      <c r="D15" t="s">
        <v>65</v>
      </c>
      <c r="E15" t="s">
        <v>66</v>
      </c>
      <c r="F15" t="s">
        <v>67</v>
      </c>
      <c r="G15" t="s">
        <v>68</v>
      </c>
      <c r="H15" t="s">
        <v>69</v>
      </c>
      <c r="I15" t="s">
        <v>70</v>
      </c>
      <c r="J15" t="s">
        <v>71</v>
      </c>
      <c r="K15" t="s">
        <v>72</v>
      </c>
      <c r="L15" t="s">
        <v>73</v>
      </c>
      <c r="M15" t="s">
        <v>74</v>
      </c>
      <c r="N15" t="s">
        <v>75</v>
      </c>
      <c r="O15" t="s">
        <v>76</v>
      </c>
    </row>
    <row r="16" spans="1:15">
      <c r="A16" t="s">
        <v>44</v>
      </c>
      <c r="B16" s="23">
        <v>16.2</v>
      </c>
      <c r="C16" s="24">
        <v>120.6</v>
      </c>
      <c r="D16" s="25">
        <v>160.1</v>
      </c>
      <c r="E16" s="26">
        <v>74.2</v>
      </c>
      <c r="F16" s="25">
        <v>131.6</v>
      </c>
      <c r="G16" s="25">
        <v>130</v>
      </c>
      <c r="H16" s="25">
        <v>165.7</v>
      </c>
      <c r="I16" s="25">
        <v>200.3</v>
      </c>
      <c r="J16" s="25">
        <v>139.80000000000001</v>
      </c>
      <c r="K16" s="25">
        <v>99.1</v>
      </c>
      <c r="L16" s="25">
        <v>147.6</v>
      </c>
      <c r="M16" s="25">
        <v>113.5</v>
      </c>
      <c r="N16" s="25">
        <v>156.80000000000001</v>
      </c>
      <c r="O16" s="25">
        <v>185.3</v>
      </c>
    </row>
    <row r="17" spans="1:15">
      <c r="A17" t="s">
        <v>45</v>
      </c>
      <c r="B17" s="18">
        <v>219.1</v>
      </c>
      <c r="C17" s="18">
        <v>114.6</v>
      </c>
      <c r="D17" s="18">
        <v>138.1</v>
      </c>
      <c r="E17" s="18">
        <v>138.30000000000001</v>
      </c>
      <c r="F17" s="18">
        <v>1.7</v>
      </c>
      <c r="G17" s="18">
        <v>158.1</v>
      </c>
      <c r="H17" s="18">
        <v>162.9</v>
      </c>
      <c r="I17" s="18">
        <v>90.1</v>
      </c>
      <c r="J17" s="18">
        <v>164.2</v>
      </c>
      <c r="K17" s="18">
        <v>166.4</v>
      </c>
      <c r="L17" s="18">
        <v>160.4</v>
      </c>
      <c r="M17" s="18">
        <v>59.5</v>
      </c>
      <c r="N17" s="18">
        <v>123.1</v>
      </c>
      <c r="O17" s="18">
        <v>42.3</v>
      </c>
    </row>
    <row r="18" spans="1:15">
      <c r="A18" t="s">
        <v>46</v>
      </c>
      <c r="B18" s="18">
        <v>132.5</v>
      </c>
      <c r="C18" s="18">
        <v>135.6</v>
      </c>
      <c r="D18" s="18">
        <v>200.3</v>
      </c>
      <c r="E18" s="18">
        <v>270.2</v>
      </c>
      <c r="F18" s="18">
        <v>284.60000000000002</v>
      </c>
      <c r="G18" s="18">
        <v>246.9</v>
      </c>
      <c r="H18" s="18">
        <v>32</v>
      </c>
      <c r="I18" s="18">
        <v>150.4</v>
      </c>
      <c r="J18" s="18">
        <v>58</v>
      </c>
      <c r="K18" s="18">
        <v>19.3</v>
      </c>
      <c r="L18" s="18">
        <v>186.2</v>
      </c>
      <c r="M18" s="18">
        <v>292.39999999999998</v>
      </c>
      <c r="N18" s="18">
        <v>139.30000000000001</v>
      </c>
      <c r="O18" s="18">
        <v>124.1</v>
      </c>
    </row>
    <row r="19" spans="1:15">
      <c r="A19" t="s">
        <v>35</v>
      </c>
      <c r="B19" s="18">
        <v>120.9</v>
      </c>
      <c r="C19" s="18">
        <v>74.5</v>
      </c>
      <c r="D19" s="18">
        <v>114.3</v>
      </c>
      <c r="E19" s="18">
        <v>160.1</v>
      </c>
      <c r="F19" s="18">
        <v>297.39999999999998</v>
      </c>
      <c r="G19" s="18">
        <v>232</v>
      </c>
      <c r="H19" s="18">
        <v>152</v>
      </c>
      <c r="I19" s="18">
        <v>244.1</v>
      </c>
      <c r="J19" s="18">
        <v>264</v>
      </c>
      <c r="K19" s="18">
        <v>111.5</v>
      </c>
      <c r="L19" s="18">
        <v>292.8</v>
      </c>
      <c r="M19" s="18">
        <v>236.8</v>
      </c>
      <c r="N19" s="18">
        <v>68.099999999999994</v>
      </c>
      <c r="O19" s="18">
        <v>192.7</v>
      </c>
    </row>
    <row r="20" spans="1:15">
      <c r="A20" t="s">
        <v>77</v>
      </c>
      <c r="B20" s="18">
        <v>82.6</v>
      </c>
      <c r="C20" s="18">
        <v>128.69999999999999</v>
      </c>
      <c r="D20" s="18">
        <v>116.2</v>
      </c>
      <c r="E20" s="18">
        <v>24.3</v>
      </c>
      <c r="F20" s="18">
        <v>72.900000000000006</v>
      </c>
      <c r="G20" s="18">
        <v>202.7</v>
      </c>
      <c r="H20" s="18">
        <v>52.7</v>
      </c>
      <c r="I20" s="18">
        <v>46.4</v>
      </c>
      <c r="J20" s="18">
        <v>197.4</v>
      </c>
      <c r="K20" s="18">
        <v>98.7</v>
      </c>
      <c r="L20" s="18">
        <v>86.6</v>
      </c>
      <c r="M20" s="18">
        <v>100.6</v>
      </c>
      <c r="N20" s="18">
        <v>304.2</v>
      </c>
      <c r="O20" s="18">
        <v>127.7</v>
      </c>
    </row>
    <row r="21" spans="1:15">
      <c r="A21" t="s">
        <v>37</v>
      </c>
      <c r="B21" s="18">
        <v>185.6</v>
      </c>
      <c r="C21" s="18">
        <v>120.3</v>
      </c>
      <c r="D21" s="18">
        <v>92.4</v>
      </c>
      <c r="E21" s="18">
        <v>106.7</v>
      </c>
      <c r="F21" s="18">
        <v>45.6</v>
      </c>
      <c r="G21" s="18">
        <v>87.3</v>
      </c>
      <c r="H21" s="18">
        <v>14</v>
      </c>
      <c r="I21" s="18">
        <v>117.9</v>
      </c>
      <c r="J21" s="18">
        <v>100.5</v>
      </c>
      <c r="K21" s="18">
        <v>137.30000000000001</v>
      </c>
      <c r="L21" s="18">
        <v>93.3</v>
      </c>
      <c r="M21" s="18">
        <v>130.80000000000001</v>
      </c>
      <c r="N21" s="18">
        <v>123.9</v>
      </c>
      <c r="O21" s="18">
        <v>93</v>
      </c>
    </row>
    <row r="22" spans="1:15">
      <c r="A22" t="s">
        <v>38</v>
      </c>
      <c r="B22" s="18">
        <v>252.3</v>
      </c>
      <c r="C22" s="18">
        <v>76.599999999999994</v>
      </c>
      <c r="D22" s="18">
        <v>60</v>
      </c>
      <c r="E22" s="18">
        <v>53.4</v>
      </c>
      <c r="F22" s="18">
        <v>113</v>
      </c>
      <c r="G22" s="18">
        <v>89.2</v>
      </c>
      <c r="H22" s="18">
        <v>81.599999999999994</v>
      </c>
      <c r="I22" s="18">
        <v>130.9</v>
      </c>
      <c r="J22" s="18">
        <v>126.3</v>
      </c>
      <c r="K22" s="18">
        <v>189.1</v>
      </c>
      <c r="L22" s="18">
        <v>33.299999999999997</v>
      </c>
      <c r="M22" s="18">
        <v>41.1</v>
      </c>
      <c r="N22" s="18">
        <v>69.2</v>
      </c>
      <c r="O22" s="18">
        <v>67.5</v>
      </c>
    </row>
    <row r="23" spans="1:15">
      <c r="A23" t="s">
        <v>39</v>
      </c>
      <c r="B23" s="18">
        <v>102.2</v>
      </c>
      <c r="C23" s="18">
        <v>239.6</v>
      </c>
      <c r="D23" s="18">
        <v>303.2</v>
      </c>
      <c r="E23" s="18">
        <v>209.2</v>
      </c>
      <c r="F23" s="18">
        <v>147.69999999999999</v>
      </c>
      <c r="G23" s="18">
        <v>324.7</v>
      </c>
      <c r="H23" s="18">
        <v>228</v>
      </c>
      <c r="I23" s="18">
        <v>279.2</v>
      </c>
      <c r="J23" s="18">
        <v>254</v>
      </c>
      <c r="K23" s="18">
        <v>153</v>
      </c>
      <c r="L23" s="18">
        <v>171.1</v>
      </c>
      <c r="M23" s="18">
        <v>291.39999999999998</v>
      </c>
      <c r="N23" s="18">
        <v>110.9</v>
      </c>
      <c r="O23" s="18">
        <v>274.2</v>
      </c>
    </row>
    <row r="24" spans="1:15">
      <c r="A24" t="s">
        <v>40</v>
      </c>
      <c r="B24" s="18">
        <v>219.1</v>
      </c>
      <c r="C24" s="18">
        <v>321.8</v>
      </c>
      <c r="D24" s="18">
        <v>270.8</v>
      </c>
      <c r="E24" s="18">
        <v>260.7</v>
      </c>
      <c r="F24" s="18">
        <v>302.60000000000002</v>
      </c>
      <c r="G24" s="18">
        <v>335.5</v>
      </c>
      <c r="H24" s="18">
        <v>112.8</v>
      </c>
      <c r="I24" s="18">
        <v>215.7</v>
      </c>
      <c r="J24" s="18">
        <v>283.2</v>
      </c>
      <c r="K24" s="18">
        <v>159.30000000000001</v>
      </c>
      <c r="L24" s="18">
        <v>229.4</v>
      </c>
      <c r="M24" s="18">
        <v>129.30000000000001</v>
      </c>
      <c r="N24" s="18">
        <v>344.5</v>
      </c>
      <c r="O24" s="18">
        <v>289.39999999999998</v>
      </c>
    </row>
    <row r="25" spans="1:15">
      <c r="A25" t="s">
        <v>41</v>
      </c>
      <c r="B25" s="18">
        <v>272.60000000000002</v>
      </c>
      <c r="C25" s="18">
        <v>285.39999999999998</v>
      </c>
      <c r="D25" s="18">
        <v>292.39999999999998</v>
      </c>
      <c r="E25" s="18">
        <v>311.5</v>
      </c>
      <c r="F25" s="18">
        <v>189.7</v>
      </c>
      <c r="G25" s="18">
        <v>60.4</v>
      </c>
      <c r="H25" s="18">
        <v>319</v>
      </c>
      <c r="I25" s="18">
        <v>96.6</v>
      </c>
      <c r="J25" s="18">
        <v>267.7</v>
      </c>
      <c r="K25" s="18">
        <v>260.3</v>
      </c>
      <c r="L25" s="18">
        <v>174.6</v>
      </c>
      <c r="M25" s="18">
        <v>189.8</v>
      </c>
      <c r="N25" s="18">
        <v>186.4</v>
      </c>
      <c r="O25" s="18">
        <v>334.9</v>
      </c>
    </row>
    <row r="27" spans="1:15">
      <c r="A27" t="s">
        <v>3</v>
      </c>
    </row>
    <row r="28" spans="1:15">
      <c r="B28" t="s">
        <v>63</v>
      </c>
      <c r="C28" t="s">
        <v>64</v>
      </c>
      <c r="D28" t="s">
        <v>65</v>
      </c>
      <c r="E28" t="s">
        <v>66</v>
      </c>
      <c r="F28" t="s">
        <v>67</v>
      </c>
      <c r="G28" t="s">
        <v>68</v>
      </c>
      <c r="H28" t="s">
        <v>69</v>
      </c>
      <c r="I28" t="s">
        <v>70</v>
      </c>
      <c r="J28" t="s">
        <v>71</v>
      </c>
      <c r="K28" t="s">
        <v>72</v>
      </c>
      <c r="L28" t="s">
        <v>73</v>
      </c>
      <c r="M28" t="s">
        <v>74</v>
      </c>
      <c r="N28" t="s">
        <v>75</v>
      </c>
      <c r="O28" t="s">
        <v>76</v>
      </c>
    </row>
    <row r="29" spans="1:15">
      <c r="A29" t="s">
        <v>44</v>
      </c>
      <c r="B29" s="23">
        <v>9949.2999999999993</v>
      </c>
      <c r="C29" s="24">
        <v>9568.5</v>
      </c>
      <c r="D29" s="25">
        <v>10160.1</v>
      </c>
      <c r="E29" s="26">
        <v>9387</v>
      </c>
      <c r="F29" s="25">
        <v>10746.3</v>
      </c>
      <c r="G29" s="25">
        <v>8278.2999999999993</v>
      </c>
      <c r="H29" s="25">
        <v>8564.6</v>
      </c>
      <c r="I29" s="25">
        <v>8829.1</v>
      </c>
      <c r="J29" s="25">
        <v>12504.7</v>
      </c>
      <c r="K29" s="25">
        <v>8287.6</v>
      </c>
      <c r="L29" s="25">
        <v>14391.4</v>
      </c>
      <c r="M29" s="25">
        <v>14610</v>
      </c>
      <c r="N29" s="25">
        <v>11295.4</v>
      </c>
      <c r="O29" s="25">
        <v>10527</v>
      </c>
    </row>
    <row r="30" spans="1:15">
      <c r="A30" t="s">
        <v>45</v>
      </c>
      <c r="B30" s="18">
        <v>3867.7</v>
      </c>
      <c r="C30" s="18">
        <v>4397</v>
      </c>
      <c r="D30" s="18">
        <v>4883.8999999999996</v>
      </c>
      <c r="E30" s="18">
        <v>4052.8</v>
      </c>
      <c r="F30" s="18">
        <v>4059.4</v>
      </c>
      <c r="G30" s="18">
        <v>2530.9</v>
      </c>
      <c r="H30" s="18">
        <v>4007.7</v>
      </c>
      <c r="I30" s="18">
        <v>3974.9</v>
      </c>
      <c r="J30" s="18">
        <v>14104</v>
      </c>
      <c r="K30" s="18">
        <v>4731.1000000000004</v>
      </c>
      <c r="L30" s="18">
        <v>7011.6</v>
      </c>
      <c r="M30" s="18">
        <v>5541.7</v>
      </c>
      <c r="N30" s="18">
        <v>4854.6000000000004</v>
      </c>
      <c r="O30" s="18">
        <v>4049.9</v>
      </c>
    </row>
    <row r="31" spans="1:15">
      <c r="A31" t="s">
        <v>46</v>
      </c>
      <c r="B31" s="18">
        <v>2820.7</v>
      </c>
      <c r="C31" s="18">
        <v>2486.4</v>
      </c>
      <c r="D31" s="18">
        <v>1858.6</v>
      </c>
      <c r="E31" s="18">
        <v>401.9</v>
      </c>
      <c r="F31" s="18">
        <v>3302.4</v>
      </c>
      <c r="G31" s="18">
        <v>2052.4</v>
      </c>
      <c r="H31" s="18">
        <v>1829.8</v>
      </c>
      <c r="I31" s="18">
        <v>4232.8999999999996</v>
      </c>
      <c r="J31" s="18">
        <v>3993.8</v>
      </c>
      <c r="K31" s="18">
        <v>2740.5</v>
      </c>
      <c r="L31" s="18">
        <v>4531.6000000000004</v>
      </c>
      <c r="M31" s="18">
        <v>6829.7</v>
      </c>
      <c r="N31" s="18">
        <v>4395.2</v>
      </c>
      <c r="O31" s="18">
        <v>1704.6</v>
      </c>
    </row>
    <row r="32" spans="1:15">
      <c r="A32" t="s">
        <v>35</v>
      </c>
      <c r="B32" s="18">
        <v>3195.3</v>
      </c>
      <c r="C32" s="18">
        <v>1753.6</v>
      </c>
      <c r="D32" s="18">
        <v>798.1</v>
      </c>
      <c r="E32" s="18">
        <v>859.6</v>
      </c>
      <c r="F32" s="18">
        <v>4601.7</v>
      </c>
      <c r="G32" s="18">
        <v>2033.8</v>
      </c>
      <c r="H32" s="18">
        <v>1872.3</v>
      </c>
      <c r="I32" s="18">
        <v>4107</v>
      </c>
      <c r="J32" s="18">
        <v>4532.8999999999996</v>
      </c>
      <c r="K32" s="18">
        <v>1544</v>
      </c>
      <c r="L32" s="18">
        <v>5818.8</v>
      </c>
      <c r="M32" s="18">
        <v>5623.4</v>
      </c>
      <c r="N32" s="18">
        <v>3140.9</v>
      </c>
      <c r="O32" s="18">
        <v>1625.7</v>
      </c>
    </row>
    <row r="33" spans="1:15">
      <c r="A33" t="s">
        <v>77</v>
      </c>
      <c r="B33" s="18">
        <v>7747.6</v>
      </c>
      <c r="C33" s="18">
        <v>1965.3</v>
      </c>
      <c r="D33" s="18">
        <v>372.2</v>
      </c>
      <c r="E33" s="18">
        <v>3614.7</v>
      </c>
      <c r="F33" s="18">
        <v>2998.5</v>
      </c>
      <c r="G33" s="18">
        <v>3211.2</v>
      </c>
      <c r="H33" s="18">
        <v>5961.5</v>
      </c>
      <c r="I33" s="18">
        <v>2754.6</v>
      </c>
      <c r="J33" s="18">
        <v>11821.6</v>
      </c>
      <c r="K33" s="18">
        <v>4547.3</v>
      </c>
      <c r="L33" s="18">
        <v>6753.8</v>
      </c>
      <c r="M33" s="18">
        <v>6286</v>
      </c>
      <c r="N33" s="18">
        <v>14741.5</v>
      </c>
      <c r="O33" s="18">
        <v>6408.5</v>
      </c>
    </row>
    <row r="34" spans="1:15">
      <c r="A34" t="s">
        <v>37</v>
      </c>
      <c r="B34" s="18">
        <v>14009.7</v>
      </c>
      <c r="C34" s="18">
        <v>9135.9</v>
      </c>
      <c r="D34" s="18">
        <v>11506.1</v>
      </c>
      <c r="E34" s="18">
        <v>15688.9</v>
      </c>
      <c r="F34" s="18">
        <v>15906.2</v>
      </c>
      <c r="G34" s="18">
        <v>9566.4</v>
      </c>
      <c r="H34" s="18">
        <v>20264.8</v>
      </c>
      <c r="I34" s="18">
        <v>19824.599999999999</v>
      </c>
      <c r="J34" s="18">
        <v>15533.8</v>
      </c>
      <c r="K34" s="18">
        <v>16280.8</v>
      </c>
      <c r="L34" s="18">
        <v>12542</v>
      </c>
      <c r="M34" s="18">
        <v>24398.5</v>
      </c>
      <c r="N34" s="18">
        <v>22783.7</v>
      </c>
      <c r="O34" s="18">
        <v>18658.3</v>
      </c>
    </row>
    <row r="35" spans="1:15">
      <c r="A35" t="s">
        <v>38</v>
      </c>
      <c r="B35" s="18">
        <v>19387.900000000001</v>
      </c>
      <c r="C35" s="18">
        <v>28025.599999999999</v>
      </c>
      <c r="D35" s="18">
        <v>23898.3</v>
      </c>
      <c r="E35" s="18">
        <v>32026.5</v>
      </c>
      <c r="F35" s="18">
        <v>20287.3</v>
      </c>
      <c r="G35" s="18">
        <v>17665.7</v>
      </c>
      <c r="H35" s="18">
        <v>25999.9</v>
      </c>
      <c r="I35" s="18">
        <v>31308.1</v>
      </c>
      <c r="J35" s="18">
        <v>26725.200000000001</v>
      </c>
      <c r="K35" s="18">
        <v>20035.2</v>
      </c>
      <c r="L35" s="18">
        <v>32781.599999999999</v>
      </c>
      <c r="M35" s="18">
        <v>31980.5</v>
      </c>
      <c r="N35" s="18">
        <v>36234.1</v>
      </c>
      <c r="O35" s="18">
        <v>25605.7</v>
      </c>
    </row>
    <row r="36" spans="1:15">
      <c r="A36" t="s">
        <v>39</v>
      </c>
      <c r="B36" s="18">
        <v>35912.699999999997</v>
      </c>
      <c r="C36" s="18">
        <v>32902.5</v>
      </c>
      <c r="D36" s="18">
        <v>20540.400000000001</v>
      </c>
      <c r="E36" s="18">
        <v>37511.5</v>
      </c>
      <c r="F36" s="18">
        <v>32447.7</v>
      </c>
      <c r="G36" s="18">
        <v>23671.200000000001</v>
      </c>
      <c r="H36" s="18">
        <v>30952.3</v>
      </c>
      <c r="I36" s="18">
        <v>30875.599999999999</v>
      </c>
      <c r="J36" s="18">
        <v>32778</v>
      </c>
      <c r="K36" s="18">
        <v>32634</v>
      </c>
      <c r="L36" s="18">
        <v>37723.9</v>
      </c>
      <c r="M36" s="18">
        <v>29729.200000000001</v>
      </c>
      <c r="N36" s="18">
        <v>32285.8</v>
      </c>
      <c r="O36" s="18">
        <v>30737.3</v>
      </c>
    </row>
    <row r="37" spans="1:15">
      <c r="A37" t="s">
        <v>40</v>
      </c>
      <c r="B37" s="18">
        <v>35821.4</v>
      </c>
      <c r="C37" s="18">
        <v>31516.5</v>
      </c>
      <c r="D37" s="18">
        <v>29111.3</v>
      </c>
      <c r="E37" s="18">
        <v>31304.799999999999</v>
      </c>
      <c r="F37" s="18">
        <v>31350</v>
      </c>
      <c r="G37" s="18">
        <v>30985.3</v>
      </c>
      <c r="H37" s="18">
        <v>42560.5</v>
      </c>
      <c r="I37" s="18">
        <v>39354.699999999997</v>
      </c>
      <c r="J37" s="18">
        <v>33363.699999999997</v>
      </c>
      <c r="K37" s="18">
        <v>40971.300000000003</v>
      </c>
      <c r="L37" s="18">
        <v>39540.1</v>
      </c>
      <c r="M37" s="18">
        <v>42456.5</v>
      </c>
      <c r="N37" s="18">
        <v>32267</v>
      </c>
      <c r="O37" s="18">
        <v>41925.599999999999</v>
      </c>
    </row>
    <row r="38" spans="1:15">
      <c r="A38" t="s">
        <v>41</v>
      </c>
      <c r="B38" s="18">
        <v>37413.599999999999</v>
      </c>
      <c r="C38" s="18">
        <v>36554.800000000003</v>
      </c>
      <c r="D38" s="18">
        <v>38927.5</v>
      </c>
      <c r="E38" s="18">
        <v>31456.9</v>
      </c>
      <c r="F38" s="18">
        <v>34019.800000000003</v>
      </c>
      <c r="G38" s="18">
        <v>44534.400000000001</v>
      </c>
      <c r="H38" s="18">
        <v>34052</v>
      </c>
      <c r="I38" s="18">
        <v>52922</v>
      </c>
      <c r="J38" s="18">
        <v>37543.5</v>
      </c>
      <c r="K38" s="18">
        <v>39023.9</v>
      </c>
      <c r="L38" s="18">
        <v>42187.8</v>
      </c>
      <c r="M38" s="18">
        <v>37458.300000000003</v>
      </c>
      <c r="N38" s="18">
        <v>39395.1</v>
      </c>
      <c r="O38" s="18">
        <v>32469.3</v>
      </c>
    </row>
    <row r="40" spans="1:15">
      <c r="A40" t="s">
        <v>78</v>
      </c>
    </row>
    <row r="41" spans="1:15">
      <c r="B41" t="s">
        <v>63</v>
      </c>
      <c r="C41" t="s">
        <v>64</v>
      </c>
      <c r="D41" t="s">
        <v>65</v>
      </c>
      <c r="E41" t="s">
        <v>66</v>
      </c>
      <c r="F41" t="s">
        <v>67</v>
      </c>
      <c r="G41" t="s">
        <v>68</v>
      </c>
      <c r="H41" t="s">
        <v>69</v>
      </c>
      <c r="I41" t="s">
        <v>70</v>
      </c>
      <c r="J41" t="s">
        <v>71</v>
      </c>
      <c r="K41" t="s">
        <v>72</v>
      </c>
      <c r="L41" t="s">
        <v>73</v>
      </c>
      <c r="M41" t="s">
        <v>74</v>
      </c>
      <c r="N41" t="s">
        <v>75</v>
      </c>
      <c r="O41" t="s">
        <v>76</v>
      </c>
    </row>
    <row r="42" spans="1:15">
      <c r="A42" t="s">
        <v>44</v>
      </c>
      <c r="B42" s="23">
        <v>7.65</v>
      </c>
      <c r="C42" s="12">
        <v>8.5500000000000007</v>
      </c>
      <c r="D42" s="25">
        <v>7.85</v>
      </c>
      <c r="E42" s="52">
        <v>6.65</v>
      </c>
      <c r="F42" s="25">
        <v>7.55</v>
      </c>
      <c r="G42" s="25">
        <f>280.5 -273.15</f>
        <v>7.3500000000000227</v>
      </c>
      <c r="H42" s="25">
        <f>282.4 - 273.1</f>
        <v>9.2999999999999545</v>
      </c>
      <c r="I42" s="25">
        <f>283.5 - 273.1</f>
        <v>10.399999999999977</v>
      </c>
      <c r="J42" s="25">
        <f>281 - 273.1</f>
        <v>7.8999999999999773</v>
      </c>
      <c r="K42" s="25">
        <f>280.8 - 273.1</f>
        <v>7.6999999999999886</v>
      </c>
      <c r="L42" s="25">
        <f>283.7 - 273.1</f>
        <v>10.599999999999966</v>
      </c>
      <c r="M42" s="25">
        <f>283.9 - 273.1</f>
        <v>10.799999999999955</v>
      </c>
      <c r="N42" s="25">
        <f>283.8 - 273.1</f>
        <v>10.699999999999989</v>
      </c>
      <c r="O42" s="25">
        <f>282.2 - 273.1</f>
        <v>9.0999999999999659</v>
      </c>
    </row>
    <row r="43" spans="1:15">
      <c r="A43" t="s">
        <v>45</v>
      </c>
      <c r="B43">
        <v>1.75</v>
      </c>
      <c r="C43">
        <v>4.05</v>
      </c>
      <c r="D43">
        <v>6.45</v>
      </c>
      <c r="E43">
        <v>3.95</v>
      </c>
      <c r="F43">
        <v>1.85</v>
      </c>
      <c r="G43">
        <f>276.9 - 273.1</f>
        <v>3.7999999999999545</v>
      </c>
      <c r="H43">
        <f>276.6 - 273.1</f>
        <v>3.5</v>
      </c>
      <c r="I43">
        <f>278.1 - 273.1</f>
        <v>5</v>
      </c>
      <c r="J43">
        <f>280.1 - 273.1</f>
        <v>7</v>
      </c>
      <c r="K43">
        <f>276.7 - 273.1</f>
        <v>3.5999999999999659</v>
      </c>
      <c r="L43">
        <f>277.3 - 273.1</f>
        <v>4.1999999999999886</v>
      </c>
      <c r="M43">
        <f>277.6 - 273.1</f>
        <v>4.5</v>
      </c>
      <c r="N43">
        <f>277.8 - 273.1</f>
        <v>4.6999999999999886</v>
      </c>
      <c r="O43" s="18">
        <f>278.1 - 273.1</f>
        <v>5</v>
      </c>
    </row>
    <row r="44" spans="1:15">
      <c r="A44" t="s">
        <v>46</v>
      </c>
      <c r="B44">
        <v>-0.14000000000000001</v>
      </c>
      <c r="C44">
        <v>0.55000000000000004</v>
      </c>
      <c r="D44">
        <v>0.15</v>
      </c>
      <c r="E44">
        <v>-3.15</v>
      </c>
      <c r="F44">
        <v>2.35</v>
      </c>
      <c r="G44">
        <f>273.6 - 273.1</f>
        <v>0.5</v>
      </c>
      <c r="H44">
        <f>274.5 - 273.1</f>
        <v>1.3999999999999773</v>
      </c>
      <c r="I44">
        <f>275.2 - 273.1</f>
        <v>2.0999999999999659</v>
      </c>
      <c r="J44">
        <f>277.9 - 273.1</f>
        <v>4.7999999999999545</v>
      </c>
      <c r="K44" s="18">
        <f>273 - 273.1</f>
        <v>-0.10000000000002274</v>
      </c>
      <c r="L44">
        <f>274.1 - 273.1</f>
        <v>1</v>
      </c>
      <c r="M44">
        <f>275.8 - 273.1</f>
        <v>2.6999999999999886</v>
      </c>
      <c r="N44">
        <f>276.1 - 273.1</f>
        <v>3</v>
      </c>
      <c r="O44">
        <f>274.6 - 273.1</f>
        <v>1.5</v>
      </c>
    </row>
    <row r="45" spans="1:15">
      <c r="A45" t="s">
        <v>35</v>
      </c>
      <c r="B45">
        <v>2.35</v>
      </c>
      <c r="C45">
        <v>-3.25</v>
      </c>
      <c r="D45">
        <v>-3.55</v>
      </c>
      <c r="E45">
        <v>-0.75</v>
      </c>
      <c r="F45">
        <v>0.35</v>
      </c>
      <c r="G45">
        <f>272.4 - 273.1</f>
        <v>-0.70000000000004547</v>
      </c>
      <c r="H45">
        <f>274.9 - 273.1</f>
        <v>1.7999999999999545</v>
      </c>
      <c r="I45">
        <f>273.7 - 273.1</f>
        <v>0.59999999999996589</v>
      </c>
      <c r="J45">
        <f>273.8 - 273.1</f>
        <v>0.69999999999998863</v>
      </c>
      <c r="K45">
        <f>267.8 - 273.1</f>
        <v>-5.3000000000000114</v>
      </c>
      <c r="L45">
        <f>276.6 - 273.1</f>
        <v>3.5</v>
      </c>
      <c r="M45">
        <f>272.1 - 273.1</f>
        <v>-1</v>
      </c>
      <c r="N45">
        <f>275.1 - 273.1</f>
        <v>2</v>
      </c>
      <c r="O45">
        <f>272.1 - 273.1</f>
        <v>-1</v>
      </c>
    </row>
    <row r="46" spans="1:15">
      <c r="A46" t="s">
        <v>77</v>
      </c>
      <c r="B46">
        <v>3.05</v>
      </c>
      <c r="C46">
        <v>-0.95</v>
      </c>
      <c r="D46">
        <v>-1.45</v>
      </c>
      <c r="E46">
        <v>-0.05</v>
      </c>
      <c r="F46">
        <v>-4.75</v>
      </c>
      <c r="G46">
        <f>270.7 - 273.1</f>
        <v>-2.4000000000000341</v>
      </c>
      <c r="H46">
        <f>276.3 - 273.1</f>
        <v>3.1999999999999886</v>
      </c>
      <c r="I46">
        <f>271 - 273.1</f>
        <v>-2.1000000000000227</v>
      </c>
      <c r="J46">
        <f>277.1 - 273.1</f>
        <v>4</v>
      </c>
      <c r="K46">
        <f>275.7 - 273.1</f>
        <v>2.5999999999999659</v>
      </c>
      <c r="L46">
        <f>270.5 - 273.1</f>
        <v>-2.6000000000000227</v>
      </c>
      <c r="M46">
        <f>275.6 - 273.1</f>
        <v>2.5</v>
      </c>
      <c r="N46">
        <f>277.9 - 273.1</f>
        <v>4.7999999999999545</v>
      </c>
      <c r="O46">
        <f>276.1 - 273.1</f>
        <v>3</v>
      </c>
    </row>
    <row r="47" spans="1:15">
      <c r="A47" t="s">
        <v>37</v>
      </c>
      <c r="B47">
        <v>3.75</v>
      </c>
      <c r="C47">
        <v>3.35</v>
      </c>
      <c r="D47">
        <v>3.65</v>
      </c>
      <c r="E47">
        <v>4.6500000000000004</v>
      </c>
      <c r="F47">
        <v>6.15</v>
      </c>
      <c r="G47">
        <f>274.2 - 273.1</f>
        <v>1.0999999999999659</v>
      </c>
      <c r="H47">
        <f>279.8 - 273.1</f>
        <v>6.6999999999999886</v>
      </c>
      <c r="I47">
        <f>278.3 - 273.1</f>
        <v>5.1999999999999886</v>
      </c>
      <c r="J47">
        <f>277.1 - 273.1</f>
        <v>4</v>
      </c>
      <c r="K47">
        <f>279.9 - 273.1</f>
        <v>6.7999999999999545</v>
      </c>
      <c r="L47">
        <f>276 - 273.1</f>
        <v>2.8999999999999773</v>
      </c>
      <c r="M47">
        <f>279.7 - 273.1</f>
        <v>6.5999999999999659</v>
      </c>
      <c r="N47">
        <f>278.1 - 273.1</f>
        <v>5</v>
      </c>
      <c r="O47">
        <f>277.5 - 273.1</f>
        <v>4.3999999999999773</v>
      </c>
    </row>
    <row r="48" spans="1:15">
      <c r="A48" t="s">
        <v>38</v>
      </c>
      <c r="B48">
        <v>7.65</v>
      </c>
      <c r="C48">
        <v>11.55</v>
      </c>
      <c r="D48">
        <v>7.95</v>
      </c>
      <c r="E48">
        <v>10.55</v>
      </c>
      <c r="F48">
        <v>7.85</v>
      </c>
      <c r="G48">
        <f>281.2  - 273.1</f>
        <v>8.0999999999999659</v>
      </c>
      <c r="H48">
        <f>283.2 - 273.1</f>
        <v>10.099999999999966</v>
      </c>
      <c r="I48">
        <f>281.6 - 273.1</f>
        <v>8.5</v>
      </c>
      <c r="J48">
        <f>281.5 - 273.1</f>
        <v>8.3999999999999773</v>
      </c>
      <c r="K48">
        <f>280.2 - 273.1</f>
        <v>7.0999999999999659</v>
      </c>
      <c r="L48">
        <f>286.1 - 273.1</f>
        <v>13</v>
      </c>
      <c r="M48">
        <f>282.6 - 273.1</f>
        <v>9.5</v>
      </c>
      <c r="N48">
        <f>283.5 - 273.1</f>
        <v>10.399999999999977</v>
      </c>
      <c r="O48">
        <f>278.9 - 273.1</f>
        <v>5.7999999999999545</v>
      </c>
    </row>
    <row r="49" spans="1:15">
      <c r="A49" t="s">
        <v>39</v>
      </c>
      <c r="B49">
        <v>14.05</v>
      </c>
      <c r="C49">
        <v>14.15</v>
      </c>
      <c r="D49">
        <v>10.65</v>
      </c>
      <c r="E49">
        <v>13.15</v>
      </c>
      <c r="F49">
        <v>13.05</v>
      </c>
      <c r="G49">
        <f>284 - 273.1</f>
        <v>10.899999999999977</v>
      </c>
      <c r="H49">
        <f>284.9 - 273.1</f>
        <v>11.799999999999955</v>
      </c>
      <c r="I49">
        <f>286.1 - 273.1</f>
        <v>13</v>
      </c>
      <c r="J49">
        <f>285.3 - 273.1</f>
        <v>12.199999999999989</v>
      </c>
      <c r="K49">
        <f>286.3 - 273.1</f>
        <v>13.199999999999989</v>
      </c>
      <c r="L49">
        <f>288.7 - 273.1</f>
        <v>15.599999999999966</v>
      </c>
      <c r="M49">
        <f>283.6 - 273.1</f>
        <v>10.5</v>
      </c>
      <c r="N49">
        <f>284.6 - 273.1</f>
        <v>11.5</v>
      </c>
      <c r="O49">
        <f>282.9 - 273.1</f>
        <v>9.7999999999999545</v>
      </c>
    </row>
    <row r="50" spans="1:15">
      <c r="A50" t="s">
        <v>40</v>
      </c>
      <c r="B50">
        <v>17.05</v>
      </c>
      <c r="C50">
        <v>14.85</v>
      </c>
      <c r="D50">
        <v>15.65</v>
      </c>
      <c r="E50">
        <v>15.55</v>
      </c>
      <c r="F50">
        <f>289.4 - 273.1</f>
        <v>16.299999999999955</v>
      </c>
      <c r="G50">
        <f>288.1 - 273.1</f>
        <v>15</v>
      </c>
      <c r="H50">
        <f>289.3 - 273.1</f>
        <v>16.199999999999989</v>
      </c>
      <c r="I50">
        <f>289.8 - 273.1</f>
        <v>16.699999999999989</v>
      </c>
      <c r="J50">
        <f>289.1 - 273.1</f>
        <v>16</v>
      </c>
      <c r="K50">
        <f>290.9 - 273.1</f>
        <v>17.799999999999955</v>
      </c>
      <c r="L50">
        <f>290.5 - 273.1</f>
        <v>17.399999999999977</v>
      </c>
      <c r="M50">
        <f>292.2 - 273.1</f>
        <v>19.099999999999966</v>
      </c>
      <c r="N50">
        <f>288.5 - 273.1</f>
        <v>15.399999999999977</v>
      </c>
      <c r="O50">
        <f>291.1 - 273.1</f>
        <v>18</v>
      </c>
    </row>
    <row r="51" spans="1:15">
      <c r="A51" t="s">
        <v>41</v>
      </c>
      <c r="B51">
        <v>17.45</v>
      </c>
      <c r="C51">
        <v>17.649999999999999</v>
      </c>
      <c r="D51">
        <v>18.75</v>
      </c>
      <c r="E51">
        <v>15.15</v>
      </c>
      <c r="F51">
        <f>290.3 - 273.1</f>
        <v>17.199999999999989</v>
      </c>
      <c r="G51">
        <f>292.1 - 273.1</f>
        <v>19</v>
      </c>
      <c r="H51">
        <f>290.8 - 273.1</f>
        <v>17.699999999999989</v>
      </c>
      <c r="I51">
        <f>293.9 - 273.1</f>
        <v>20.799999999999955</v>
      </c>
      <c r="J51">
        <f>291.4 - 273.1</f>
        <v>18.299999999999955</v>
      </c>
      <c r="K51">
        <f>291.2 - 273.1</f>
        <v>18.099999999999966</v>
      </c>
      <c r="L51">
        <f>292.4 - 273.1</f>
        <v>19.299999999999955</v>
      </c>
      <c r="M51">
        <f>291.8 - 273.1</f>
        <v>18.699999999999989</v>
      </c>
      <c r="N51">
        <f>291.1 - 273.1</f>
        <v>18</v>
      </c>
      <c r="O51">
        <f>290.4 - 273.1</f>
        <v>17.299999999999955</v>
      </c>
    </row>
    <row r="53" spans="1:15" ht="15.6">
      <c r="A53" t="s">
        <v>5</v>
      </c>
      <c r="B53" s="33">
        <v>0.54420000000000002</v>
      </c>
      <c r="C53" s="33">
        <v>0.40939999999999999</v>
      </c>
      <c r="D53" s="33">
        <v>0.3861</v>
      </c>
      <c r="E53" s="33">
        <v>0.41959999999999997</v>
      </c>
      <c r="F53" s="33">
        <v>0.47339999999999999</v>
      </c>
      <c r="G53" s="33">
        <v>0.60499999999999998</v>
      </c>
      <c r="H53" s="33">
        <v>0.51149999999999995</v>
      </c>
      <c r="I53" s="33">
        <v>0.38519999999999999</v>
      </c>
      <c r="J53" s="38" t="e">
        <v>#N/A</v>
      </c>
      <c r="K53" s="33">
        <v>0.34949999999999998</v>
      </c>
      <c r="L53" s="33">
        <v>0.44669999999999999</v>
      </c>
      <c r="M53" s="33">
        <v>0.37059999999999998</v>
      </c>
      <c r="N53" s="33">
        <v>0.61260000000000003</v>
      </c>
      <c r="O53" s="34">
        <v>0.50949999999999995</v>
      </c>
    </row>
    <row r="54" spans="1:15" ht="15.6">
      <c r="A54" t="s">
        <v>6</v>
      </c>
      <c r="B54" s="37">
        <v>130.31</v>
      </c>
      <c r="C54" s="38">
        <v>157.58000000000001</v>
      </c>
      <c r="D54" s="38">
        <v>162.53</v>
      </c>
      <c r="E54" s="38">
        <v>197.54</v>
      </c>
      <c r="F54" s="38" t="e">
        <v>#N/A</v>
      </c>
      <c r="G54" s="38">
        <v>150.66999999999999</v>
      </c>
      <c r="H54" s="38">
        <v>175.71</v>
      </c>
      <c r="I54" s="49">
        <v>220</v>
      </c>
      <c r="J54" s="38" t="e">
        <v>#N/A</v>
      </c>
      <c r="K54" s="38">
        <v>205</v>
      </c>
      <c r="L54" s="38">
        <v>162.65</v>
      </c>
      <c r="M54" s="38">
        <v>194</v>
      </c>
      <c r="N54" s="38">
        <v>135.88</v>
      </c>
      <c r="O54" s="38">
        <v>148</v>
      </c>
    </row>
    <row r="55" spans="1:15" ht="15.6">
      <c r="A55" t="s">
        <v>7</v>
      </c>
      <c r="B55" s="35">
        <v>70.94</v>
      </c>
      <c r="C55" s="36">
        <v>64.14</v>
      </c>
      <c r="D55" s="36">
        <v>62.11</v>
      </c>
      <c r="E55" s="36">
        <v>82.34</v>
      </c>
      <c r="F55" s="36">
        <v>80.430000000000007</v>
      </c>
      <c r="G55" s="36">
        <v>89.79</v>
      </c>
      <c r="H55" s="36">
        <v>89.41</v>
      </c>
      <c r="I55" s="50">
        <v>84.75</v>
      </c>
      <c r="J55" s="38" t="e">
        <v>#N/A</v>
      </c>
      <c r="K55" s="36">
        <v>71.8</v>
      </c>
      <c r="L55" s="36">
        <v>72.53</v>
      </c>
      <c r="M55" s="36">
        <v>71.900000000000006</v>
      </c>
      <c r="N55" s="36">
        <v>81.81</v>
      </c>
      <c r="O55" s="36">
        <v>75.33</v>
      </c>
    </row>
  </sheetData>
  <phoneticPr fontId="2"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c98fc4d-8b15-44de-a307-4eb703c8b099">
      <Terms xmlns="http://schemas.microsoft.com/office/infopath/2007/PartnerControls"/>
    </lcf76f155ced4ddcb4097134ff3c332f>
    <TaxCatchAll xmlns="f3879440-a74c-4f06-8d2f-9b05b9fa867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0C8762B57756844B869DBC2A02433C0" ma:contentTypeVersion="12" ma:contentTypeDescription="Ein neues Dokument erstellen." ma:contentTypeScope="" ma:versionID="7771024dc74c1f70ad3f8c930fddd506">
  <xsd:schema xmlns:xsd="http://www.w3.org/2001/XMLSchema" xmlns:xs="http://www.w3.org/2001/XMLSchema" xmlns:p="http://schemas.microsoft.com/office/2006/metadata/properties" xmlns:ns2="f3879440-a74c-4f06-8d2f-9b05b9fa8675" xmlns:ns3="5c98fc4d-8b15-44de-a307-4eb703c8b099" targetNamespace="http://schemas.microsoft.com/office/2006/metadata/properties" ma:root="true" ma:fieldsID="b3698bd8cddd1132e8fa2a71f5abf09e" ns2:_="" ns3:_="">
    <xsd:import namespace="f3879440-a74c-4f06-8d2f-9b05b9fa8675"/>
    <xsd:import namespace="5c98fc4d-8b15-44de-a307-4eb703c8b099"/>
    <xsd:element name="properties">
      <xsd:complexType>
        <xsd:sequence>
          <xsd:element name="documentManagement">
            <xsd:complexType>
              <xsd:all>
                <xsd:element ref="ns2:SharedWithUsers" minOccurs="0"/>
                <xsd:element ref="ns2:SharedWithDetails" minOccurs="0"/>
                <xsd:element ref="ns3:lcf76f155ced4ddcb4097134ff3c332f" minOccurs="0"/>
                <xsd:element ref="ns2:TaxCatchAll" minOccurs="0"/>
                <xsd:element ref="ns3:MediaServiceMetadata" minOccurs="0"/>
                <xsd:element ref="ns3:MediaServiceFastMetadata" minOccurs="0"/>
                <xsd:element ref="ns3:MediaServiceObjectDetectorVersions" minOccurs="0"/>
                <xsd:element ref="ns3:MediaServiceOCR" minOccurs="0"/>
                <xsd:element ref="ns3:MediaServiceGenerationTime" minOccurs="0"/>
                <xsd:element ref="ns3:MediaServiceEventHashCode"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879440-a74c-4f06-8d2f-9b05b9fa8675"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element name="TaxCatchAll" ma:index="12" nillable="true" ma:displayName="Taxonomy Catch All Column" ma:hidden="true" ma:list="{06496980-da9a-4d85-a71d-159860973a5a}" ma:internalName="TaxCatchAll" ma:showField="CatchAllData" ma:web="f3879440-a74c-4f06-8d2f-9b05b9fa867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c98fc4d-8b15-44de-a307-4eb703c8b099"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14ae72d6-1d51-44e0-a414-869ae22c088a" ma:termSetId="09814cd3-568e-fe90-9814-8d621ff8fb84" ma:anchorId="fba54fb3-c3e1-fe81-a776-ca4b69148c4d" ma:open="tru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568728-91A7-4A45-8100-453913330CCC}"/>
</file>

<file path=customXml/itemProps2.xml><?xml version="1.0" encoding="utf-8"?>
<ds:datastoreItem xmlns:ds="http://schemas.openxmlformats.org/officeDocument/2006/customXml" ds:itemID="{04908497-1322-4CD0-B92F-A73F6AFAB0BD}"/>
</file>

<file path=customXml/itemProps3.xml><?xml version="1.0" encoding="utf-8"?>
<ds:datastoreItem xmlns:ds="http://schemas.openxmlformats.org/officeDocument/2006/customXml" ds:itemID="{8740BE6B-3B0C-4163-B85C-3C7B29812A2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Lucky</dc:creator>
  <cp:keywords/>
  <dc:description/>
  <cp:lastModifiedBy>Ishani Sarkar</cp:lastModifiedBy>
  <cp:revision/>
  <dcterms:created xsi:type="dcterms:W3CDTF">2023-12-16T17:00:49Z</dcterms:created>
  <dcterms:modified xsi:type="dcterms:W3CDTF">2024-03-15T15:15:51Z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0x010100E0C8762B57756844B869DBC2A02433C0</vt:lpwstr>
  </property>
  <property fmtid="{D5CDD505-2E9C-101B-9397-08002B2CF9AE}" pid="3" name="MediaServiceImageTags">
    <vt:lpwstr/>
  </property>
</Properties>
</file>