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nong0003_e_ntu_edu_sg/Documents/Works/WangYong/Manuscript/Data/uploaded/"/>
    </mc:Choice>
  </mc:AlternateContent>
  <xr:revisionPtr revIDLastSave="49" documentId="8_{3C70958E-5205-4C3E-A66B-1D8CBC413FA2}" xr6:coauthVersionLast="47" xr6:coauthVersionMax="47" xr10:uidLastSave="{FD7F08FE-692B-4B26-A4F8-CA8BA23BE70C}"/>
  <bookViews>
    <workbookView xWindow="-110" yWindow="-110" windowWidth="38620" windowHeight="21220" tabRatio="835" activeTab="1" xr2:uid="{00000000-000D-0000-FFFF-FFFF00000000}"/>
  </bookViews>
  <sheets>
    <sheet name="Base" sheetId="1" r:id="rId1"/>
    <sheet name="OER-data" sheetId="2" r:id="rId2"/>
    <sheet name="Constant" sheetId="3" r:id="rId3"/>
    <sheet name="ActiveCenters-OH-inteactions" sheetId="25" r:id="rId4"/>
    <sheet name="O-coverage_deltaGO" sheetId="22" r:id="rId5"/>
    <sheet name="ScanSurface_deltaGO" sheetId="18" r:id="rId6"/>
    <sheet name="DataSummary" sheetId="20" r:id="rId7"/>
    <sheet name="Sufaces" sheetId="14" r:id="rId8"/>
    <sheet name="FormationEnthalpy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25" l="1"/>
  <c r="T2" i="25"/>
  <c r="S3" i="25"/>
  <c r="S4" i="25"/>
  <c r="S5" i="25"/>
  <c r="S6" i="25"/>
  <c r="S2" i="25"/>
  <c r="P6" i="25"/>
  <c r="T6" i="25" s="1"/>
  <c r="P5" i="25"/>
  <c r="T5" i="25" s="1"/>
  <c r="P4" i="25"/>
  <c r="T4" i="25" s="1"/>
  <c r="P3" i="25"/>
  <c r="P2" i="25"/>
  <c r="B5" i="20"/>
  <c r="B4" i="20"/>
  <c r="B3" i="20"/>
  <c r="J2" i="20"/>
  <c r="J3" i="20"/>
  <c r="J4" i="20"/>
  <c r="J5" i="20"/>
  <c r="J6" i="20"/>
  <c r="J7" i="20"/>
  <c r="I2" i="20"/>
  <c r="H2" i="20"/>
  <c r="H3" i="20"/>
  <c r="H4" i="20"/>
  <c r="H5" i="20"/>
  <c r="H6" i="20"/>
  <c r="H7" i="20"/>
  <c r="G2" i="20"/>
  <c r="G3" i="20"/>
  <c r="G4" i="20"/>
  <c r="G5" i="20"/>
  <c r="G6" i="20"/>
  <c r="G7" i="20"/>
  <c r="E2" i="20"/>
  <c r="E3" i="20"/>
  <c r="E4" i="20"/>
  <c r="E5" i="20"/>
  <c r="E6" i="20"/>
  <c r="E7" i="20"/>
  <c r="Q2" i="12"/>
  <c r="Q3" i="12"/>
  <c r="Q4" i="12"/>
  <c r="Q5" i="12"/>
  <c r="Q6" i="12"/>
  <c r="S2" i="12"/>
  <c r="S3" i="12"/>
  <c r="S4" i="12"/>
  <c r="S5" i="12"/>
  <c r="S6" i="12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H50" i="18" s="1"/>
  <c r="G55" i="18"/>
  <c r="G56" i="18"/>
  <c r="G57" i="18"/>
  <c r="G58" i="18"/>
  <c r="G59" i="18"/>
  <c r="G60" i="18"/>
  <c r="G61" i="18"/>
  <c r="G62" i="18"/>
  <c r="G63" i="18"/>
  <c r="G64" i="18"/>
  <c r="G65" i="18"/>
  <c r="G34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2" i="18"/>
  <c r="M13" i="14"/>
  <c r="D7" i="20" s="1"/>
  <c r="M12" i="14"/>
  <c r="D6" i="20" s="1"/>
  <c r="M11" i="14"/>
  <c r="M10" i="14"/>
  <c r="M9" i="14"/>
  <c r="M8" i="14"/>
  <c r="M7" i="14"/>
  <c r="M6" i="14"/>
  <c r="D3" i="20" s="1"/>
  <c r="M5" i="14"/>
  <c r="M4" i="14"/>
  <c r="D4" i="20" s="1"/>
  <c r="M3" i="14"/>
  <c r="M2" i="14"/>
  <c r="D2" i="20"/>
  <c r="L3" i="25"/>
  <c r="L4" i="25"/>
  <c r="L2" i="25"/>
  <c r="M3" i="25"/>
  <c r="A3" i="25"/>
  <c r="M4" i="25"/>
  <c r="M2" i="25"/>
  <c r="K6" i="25"/>
  <c r="J6" i="25"/>
  <c r="L6" i="25" s="1"/>
  <c r="F1" i="25"/>
  <c r="K5" i="25"/>
  <c r="M5" i="25" s="1"/>
  <c r="J5" i="25"/>
  <c r="I6" i="25"/>
  <c r="H6" i="25"/>
  <c r="A6" i="25"/>
  <c r="I5" i="25"/>
  <c r="H5" i="25"/>
  <c r="A4" i="25"/>
  <c r="A5" i="25"/>
  <c r="A2" i="25"/>
  <c r="E1" i="25"/>
  <c r="O5" i="2"/>
  <c r="R5" i="2" s="1"/>
  <c r="N5" i="2"/>
  <c r="M5" i="2"/>
  <c r="M7" i="2"/>
  <c r="N7" i="2"/>
  <c r="O7" i="2"/>
  <c r="N4" i="2"/>
  <c r="M4" i="2"/>
  <c r="M8" i="2"/>
  <c r="N8" i="2"/>
  <c r="O8" i="2"/>
  <c r="O4" i="2"/>
  <c r="M6" i="2"/>
  <c r="N6" i="2"/>
  <c r="O6" i="2"/>
  <c r="D4" i="22"/>
  <c r="H3" i="22"/>
  <c r="H2" i="22"/>
  <c r="D3" i="22"/>
  <c r="D5" i="22"/>
  <c r="D6" i="22"/>
  <c r="D2" i="22"/>
  <c r="H6" i="22"/>
  <c r="H5" i="22"/>
  <c r="I7" i="20"/>
  <c r="R13" i="14"/>
  <c r="C6" i="20"/>
  <c r="D5" i="20"/>
  <c r="F7" i="20"/>
  <c r="I6" i="20"/>
  <c r="F6" i="20"/>
  <c r="I5" i="20"/>
  <c r="F5" i="20"/>
  <c r="I4" i="20"/>
  <c r="F4" i="20"/>
  <c r="I3" i="20"/>
  <c r="F3" i="20"/>
  <c r="F2" i="20"/>
  <c r="R11" i="14"/>
  <c r="R12" i="14"/>
  <c r="F91" i="18"/>
  <c r="F92" i="18"/>
  <c r="F96" i="18"/>
  <c r="F68" i="18"/>
  <c r="F67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3" i="18"/>
  <c r="F94" i="18"/>
  <c r="F95" i="18"/>
  <c r="F97" i="18"/>
  <c r="F66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34" i="18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2" i="18"/>
  <c r="R10" i="14"/>
  <c r="K2" i="14"/>
  <c r="G9" i="14"/>
  <c r="K9" i="14" s="1"/>
  <c r="G10" i="14"/>
  <c r="K10" i="14" s="1"/>
  <c r="G8" i="14"/>
  <c r="K8" i="14" s="1"/>
  <c r="G6" i="14"/>
  <c r="K6" i="14" s="1"/>
  <c r="G7" i="14"/>
  <c r="K7" i="14" s="1"/>
  <c r="G5" i="14"/>
  <c r="K5" i="14" s="1"/>
  <c r="G3" i="14"/>
  <c r="K3" i="14" s="1"/>
  <c r="G4" i="14"/>
  <c r="K4" i="14" s="1"/>
  <c r="G2" i="14"/>
  <c r="R5" i="14"/>
  <c r="R6" i="14"/>
  <c r="R7" i="14"/>
  <c r="R8" i="14"/>
  <c r="R9" i="14"/>
  <c r="J10" i="14"/>
  <c r="J9" i="14"/>
  <c r="J8" i="14"/>
  <c r="J7" i="14"/>
  <c r="J6" i="14"/>
  <c r="J5" i="14"/>
  <c r="R3" i="14"/>
  <c r="R4" i="14"/>
  <c r="J2" i="14"/>
  <c r="J3" i="14"/>
  <c r="J4" i="14"/>
  <c r="R2" i="14"/>
  <c r="L3" i="12"/>
  <c r="L4" i="12"/>
  <c r="L2" i="12"/>
  <c r="L30" i="12"/>
  <c r="G30" i="12"/>
  <c r="L28" i="12"/>
  <c r="R6" i="12"/>
  <c r="R5" i="12"/>
  <c r="R4" i="12"/>
  <c r="R3" i="12"/>
  <c r="R2" i="12"/>
  <c r="L29" i="12"/>
  <c r="P1" i="12"/>
  <c r="L27" i="12"/>
  <c r="L26" i="12"/>
  <c r="L24" i="12"/>
  <c r="L16" i="12"/>
  <c r="L21" i="12"/>
  <c r="L22" i="12"/>
  <c r="L23" i="12"/>
  <c r="L20" i="12"/>
  <c r="L17" i="12"/>
  <c r="L18" i="12"/>
  <c r="L6" i="12"/>
  <c r="L7" i="12"/>
  <c r="L8" i="12"/>
  <c r="L9" i="12"/>
  <c r="L10" i="12"/>
  <c r="L11" i="12"/>
  <c r="L12" i="12"/>
  <c r="L13" i="12"/>
  <c r="L5" i="12"/>
  <c r="L14" i="12"/>
  <c r="L15" i="12"/>
  <c r="F4" i="12"/>
  <c r="F16" i="12" s="1"/>
  <c r="F3" i="12"/>
  <c r="G21" i="12" s="1"/>
  <c r="F2" i="12"/>
  <c r="F3" i="1"/>
  <c r="F5" i="1"/>
  <c r="F4" i="1"/>
  <c r="G26" i="12"/>
  <c r="G27" i="12"/>
  <c r="G22" i="12"/>
  <c r="F22" i="12"/>
  <c r="C3" i="20" s="1"/>
  <c r="G12" i="12"/>
  <c r="G17" i="12"/>
  <c r="G6" i="12"/>
  <c r="G10" i="12"/>
  <c r="G9" i="12"/>
  <c r="F7" i="12"/>
  <c r="G7" i="12"/>
  <c r="L2" i="3"/>
  <c r="K2" i="3"/>
  <c r="F2" i="3"/>
  <c r="G2" i="3"/>
  <c r="H4" i="22" s="1"/>
  <c r="H2" i="3"/>
  <c r="R6" i="2" s="1"/>
  <c r="V6" i="2" s="1"/>
  <c r="E2" i="3"/>
  <c r="G3" i="3" s="1"/>
  <c r="D2" i="3"/>
  <c r="M6" i="25"/>
  <c r="Q4" i="2" l="1"/>
  <c r="R7" i="2"/>
  <c r="V7" i="2" s="1"/>
  <c r="R4" i="2"/>
  <c r="U4" i="2" s="1"/>
  <c r="Q7" i="2"/>
  <c r="P7" i="2"/>
  <c r="Q6" i="2"/>
  <c r="U6" i="2" s="1"/>
  <c r="Q8" i="2"/>
  <c r="T8" i="2" s="1"/>
  <c r="P5" i="2"/>
  <c r="E3" i="25" s="1"/>
  <c r="P4" i="2"/>
  <c r="E2" i="25" s="1"/>
  <c r="P6" i="2"/>
  <c r="S6" i="2" s="1"/>
  <c r="P8" i="2"/>
  <c r="E6" i="25" s="1"/>
  <c r="Q5" i="2"/>
  <c r="T5" i="2" s="1"/>
  <c r="L5" i="25"/>
  <c r="H18" i="18"/>
  <c r="H34" i="18"/>
  <c r="H66" i="18"/>
  <c r="H82" i="18"/>
  <c r="H2" i="18"/>
  <c r="F26" i="12"/>
  <c r="F9" i="12"/>
  <c r="F17" i="12"/>
  <c r="F24" i="12"/>
  <c r="F11" i="12"/>
  <c r="G14" i="12"/>
  <c r="F5" i="12"/>
  <c r="P3" i="12"/>
  <c r="G29" i="12"/>
  <c r="F29" i="12"/>
  <c r="P5" i="12" s="1"/>
  <c r="G28" i="12"/>
  <c r="F30" i="12"/>
  <c r="F14" i="12"/>
  <c r="G5" i="12"/>
  <c r="G16" i="12"/>
  <c r="F10" i="12"/>
  <c r="F23" i="12"/>
  <c r="G8" i="12"/>
  <c r="G15" i="12"/>
  <c r="F6" i="12"/>
  <c r="F20" i="12"/>
  <c r="F21" i="12"/>
  <c r="F8" i="12"/>
  <c r="G24" i="12"/>
  <c r="G11" i="12"/>
  <c r="G13" i="12"/>
  <c r="F13" i="12"/>
  <c r="G20" i="12"/>
  <c r="G23" i="12"/>
  <c r="F27" i="12"/>
  <c r="G18" i="12"/>
  <c r="F28" i="12"/>
  <c r="C5" i="20" s="1"/>
  <c r="F15" i="12"/>
  <c r="F12" i="12"/>
  <c r="F18" i="12"/>
  <c r="S4" i="2"/>
  <c r="E4" i="25"/>
  <c r="V5" i="2"/>
  <c r="T7" i="2" l="1"/>
  <c r="T6" i="2"/>
  <c r="W6" i="2" s="1"/>
  <c r="X6" i="2" s="1"/>
  <c r="F4" i="25" s="1"/>
  <c r="U5" i="2"/>
  <c r="V4" i="2"/>
  <c r="E5" i="25"/>
  <c r="S7" i="2"/>
  <c r="W7" i="2" s="1"/>
  <c r="X7" i="2" s="1"/>
  <c r="F5" i="25" s="1"/>
  <c r="S8" i="2"/>
  <c r="T4" i="2"/>
  <c r="W4" i="2" s="1"/>
  <c r="X4" i="2" s="1"/>
  <c r="F2" i="25" s="1"/>
  <c r="S5" i="2"/>
  <c r="U7" i="2"/>
  <c r="P4" i="12"/>
  <c r="C4" i="20"/>
  <c r="W5" i="2"/>
  <c r="X5" i="2" s="1"/>
  <c r="F3" i="2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tc={607E3579-0A5A-4E34-A5DD-D36C336FDC1B}</author>
    <author>tc={839CB84E-446A-4278-85C5-B7CEFEE3BA7D}</author>
  </authors>
  <commentList>
    <comment ref="D6" authorId="0" shapeId="0" xr:uid="{607E3579-0A5A-4E34-A5DD-D36C336FDC1B}">
      <text>
        <t>[线程批注]
你的Excel版本可读取此线程批注; 但如果在更新版本的Excel中打开文件，则对批注所作的任何改动都将被删除。了解详细信息: https://go.microsoft.com/fwlink/?linkid=870924
注释:
    face-centred cubic, γ phase</t>
      </text>
    </comment>
    <comment ref="D7" authorId="1" shapeId="0" xr:uid="{839CB84E-446A-4278-85C5-B7CEFEE3BA7D}">
      <text>
        <t>[线程批注]
你的Excel版本可读取此线程批注; 但如果在更新版本的Excel中打开文件，则对批注所作的任何改动都将被删除。了解详细信息: https://go.microsoft.com/fwlink/?linkid=870924
注释:
    body-centred cubic phase, α phase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tc={83AD6AA5-CCF5-4CB0-952B-17B8D7BB9FB0}</author>
    <author>tc={C322AD1C-66BC-49DF-9909-A131B4A1F4E3}</author>
    <author>tc={58045C24-4A30-4AB5-A219-CDD04C4C1CF6}</author>
  </authors>
  <commentList>
    <comment ref="F1" authorId="0" shapeId="0" xr:uid="{83AD6AA5-CCF5-4CB0-952B-17B8D7BB9FB0}">
      <text>
        <t>[线程批注]
你的Excel版本可读取此线程批注; 但如果在更新版本的Excel中打开文件，则对批注所作的任何改动都将被删除。了解详细信息: https://go.microsoft.com/fwlink/?linkid=870924
注释:
    bcc-Fe + fcc-Ni</t>
      </text>
    </comment>
    <comment ref="G1" authorId="1" shapeId="0" xr:uid="{C322AD1C-66BC-49DF-9909-A131B4A1F4E3}">
      <text>
        <t>[线程批注]
你的Excel版本可读取此线程批注; 但如果在更新版本的Excel中打开文件，则对批注所作的任何改动都将被删除。了解详细信息: https://go.microsoft.com/fwlink/?linkid=870924
注释:
    fcc-Fe + fcc-Ni</t>
      </text>
    </comment>
    <comment ref="B5" authorId="2" shapeId="0" xr:uid="{58045C24-4A30-4AB5-A219-CDD04C4C1CF6}">
      <text>
        <t>[线程批注]
你的Excel版本可读取此线程批注; 但如果在更新版本的Excel中打开文件，则对批注所作的任何改动都将被删除。了解详细信息: https://go.microsoft.com/fwlink/?linkid=870924
注释:
    unit cell</t>
      </text>
    </comment>
  </commentList>
</comments>
</file>

<file path=xl/sharedStrings.xml><?xml version="1.0" encoding="utf-8"?>
<sst xmlns="http://schemas.openxmlformats.org/spreadsheetml/2006/main" count="539" uniqueCount="179">
  <si>
    <t>ShortName</t>
    <phoneticPr fontId="1" type="noConversion"/>
  </si>
  <si>
    <t>FullName</t>
    <phoneticPr fontId="1" type="noConversion"/>
  </si>
  <si>
    <t>Fe (at.%)</t>
    <phoneticPr fontId="1" type="noConversion"/>
  </si>
  <si>
    <t>Ni</t>
    <phoneticPr fontId="1" type="noConversion"/>
  </si>
  <si>
    <t>Fe</t>
    <phoneticPr fontId="1" type="noConversion"/>
  </si>
  <si>
    <r>
      <rPr>
        <i/>
        <sz val="12"/>
        <color theme="1"/>
        <rFont val="Arial"/>
        <family val="2"/>
      </rPr>
      <t xml:space="preserve">a </t>
    </r>
    <r>
      <rPr>
        <sz val="12"/>
        <color theme="1"/>
        <rFont val="Arial"/>
        <family val="2"/>
      </rPr>
      <t>(Å)-standard</t>
    </r>
    <phoneticPr fontId="1" type="noConversion"/>
  </si>
  <si>
    <r>
      <rPr>
        <i/>
        <sz val="12"/>
        <color theme="1"/>
        <rFont val="Arial"/>
        <family val="2"/>
      </rPr>
      <t xml:space="preserve">a </t>
    </r>
    <r>
      <rPr>
        <sz val="12"/>
        <color theme="1"/>
        <rFont val="Arial"/>
        <family val="2"/>
      </rPr>
      <t>(Å)-this work</t>
    </r>
    <phoneticPr fontId="1" type="noConversion"/>
  </si>
  <si>
    <t>NA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</si>
  <si>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</si>
  <si>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</si>
  <si>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</si>
  <si>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</si>
  <si>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</si>
  <si>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</si>
  <si>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</si>
  <si>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</si>
  <si>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</si>
  <si>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</si>
  <si>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</si>
  <si>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</si>
  <si>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</si>
  <si>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</si>
  <si>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</si>
  <si>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</si>
  <si>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</si>
  <si>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</si>
  <si>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</si>
  <si>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</si>
  <si>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</si>
  <si>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</si>
  <si>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</si>
  <si>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Comment</t>
    <phoneticPr fontId="1" type="noConversion"/>
  </si>
  <si>
    <t>Index</t>
    <phoneticPr fontId="1" type="noConversion"/>
  </si>
  <si>
    <t>FormalName</t>
    <phoneticPr fontId="1" type="noConversion"/>
  </si>
  <si>
    <t>Mag</t>
    <phoneticPr fontId="1" type="noConversion"/>
  </si>
  <si>
    <t>Esub</t>
    <phoneticPr fontId="1" type="noConversion"/>
  </si>
  <si>
    <t>E_*OOH</t>
    <phoneticPr fontId="1" type="noConversion"/>
  </si>
  <si>
    <t>E_*O</t>
    <phoneticPr fontId="1" type="noConversion"/>
  </si>
  <si>
    <t>E_*OH</t>
    <phoneticPr fontId="1" type="noConversion"/>
  </si>
  <si>
    <t>G*OOH</t>
    <phoneticPr fontId="1" type="noConversion"/>
  </si>
  <si>
    <t>G*O</t>
    <phoneticPr fontId="1" type="noConversion"/>
  </si>
  <si>
    <t>G*OH</t>
    <phoneticPr fontId="1" type="noConversion"/>
  </si>
  <si>
    <t>ΔG*OOH</t>
    <phoneticPr fontId="1" type="noConversion"/>
  </si>
  <si>
    <t>ΔG*O</t>
    <phoneticPr fontId="1" type="noConversion"/>
  </si>
  <si>
    <t>ΔG*OH</t>
    <phoneticPr fontId="1" type="noConversion"/>
  </si>
  <si>
    <t>ΔG2.OER</t>
  </si>
  <si>
    <t>ΔGmax.OER</t>
    <phoneticPr fontId="1" type="noConversion"/>
  </si>
  <si>
    <t>Overpotential.OER</t>
    <phoneticPr fontId="1" type="noConversion"/>
  </si>
  <si>
    <t>G_H2O</t>
  </si>
  <si>
    <t>G_H2</t>
  </si>
  <si>
    <t>G_H</t>
  </si>
  <si>
    <t>G_O2</t>
  </si>
  <si>
    <t>G_OOH</t>
  </si>
  <si>
    <t>G_O</t>
  </si>
  <si>
    <t>G_OH</t>
  </si>
  <si>
    <t>E_H2O</t>
    <phoneticPr fontId="1" type="noConversion"/>
  </si>
  <si>
    <t>E_H2</t>
    <phoneticPr fontId="1" type="noConversion"/>
  </si>
  <si>
    <t>E_OOH</t>
    <phoneticPr fontId="1" type="noConversion"/>
  </si>
  <si>
    <t>E_OH</t>
    <phoneticPr fontId="1" type="noConversion"/>
  </si>
  <si>
    <t>DFT-D3</t>
    <phoneticPr fontId="1" type="noConversion"/>
  </si>
  <si>
    <t>ZPE_*OOH</t>
    <phoneticPr fontId="1" type="noConversion"/>
  </si>
  <si>
    <t>10</t>
  </si>
  <si>
    <r>
      <t>Ni</t>
    </r>
    <r>
      <rPr>
        <vertAlign val="subscript"/>
        <sz val="12"/>
        <color theme="1"/>
        <rFont val="Arial"/>
        <family val="2"/>
      </rPr>
      <t>0.75</t>
    </r>
    <r>
      <rPr>
        <sz val="12"/>
        <color theme="1"/>
        <rFont val="Arial"/>
        <family val="2"/>
      </rPr>
      <t>Fe</t>
    </r>
    <r>
      <rPr>
        <vertAlign val="subscript"/>
        <sz val="12"/>
        <color theme="1"/>
        <rFont val="Arial"/>
        <family val="2"/>
      </rPr>
      <t>0.25</t>
    </r>
    <phoneticPr fontId="1" type="noConversion"/>
  </si>
  <si>
    <r>
      <t>Ni</t>
    </r>
    <r>
      <rPr>
        <vertAlign val="subscript"/>
        <sz val="12"/>
        <color theme="1"/>
        <rFont val="Arial"/>
        <family val="2"/>
      </rPr>
      <t>0.5</t>
    </r>
    <r>
      <rPr>
        <sz val="12"/>
        <color theme="1"/>
        <rFont val="Arial"/>
        <family val="2"/>
      </rPr>
      <t>Fe</t>
    </r>
    <r>
      <rPr>
        <vertAlign val="subscript"/>
        <sz val="12"/>
        <color theme="1"/>
        <rFont val="Arial"/>
        <family val="2"/>
      </rPr>
      <t>0.5</t>
    </r>
    <phoneticPr fontId="1" type="noConversion"/>
  </si>
  <si>
    <r>
      <t>Ni</t>
    </r>
    <r>
      <rPr>
        <vertAlign val="subscript"/>
        <sz val="12"/>
        <color theme="1"/>
        <rFont val="Arial"/>
        <family val="2"/>
      </rPr>
      <t>0.25</t>
    </r>
    <r>
      <rPr>
        <sz val="12"/>
        <color theme="1"/>
        <rFont val="Arial"/>
        <family val="2"/>
      </rPr>
      <t>Fe</t>
    </r>
    <r>
      <rPr>
        <vertAlign val="subscript"/>
        <sz val="12"/>
        <color theme="1"/>
        <rFont val="Arial"/>
        <family val="2"/>
      </rPr>
      <t>0.75</t>
    </r>
    <phoneticPr fontId="1" type="noConversion"/>
  </si>
  <si>
    <t>fcc-Ni</t>
    <phoneticPr fontId="1" type="noConversion"/>
  </si>
  <si>
    <t>fcc-Fe</t>
    <phoneticPr fontId="1" type="noConversion"/>
  </si>
  <si>
    <t>Average</t>
    <phoneticPr fontId="1" type="noConversion"/>
  </si>
  <si>
    <t>Structure</t>
    <phoneticPr fontId="1" type="noConversion"/>
  </si>
  <si>
    <t>25Fe</t>
    <phoneticPr fontId="1" type="noConversion"/>
  </si>
  <si>
    <t>50Fe</t>
    <phoneticPr fontId="1" type="noConversion"/>
  </si>
  <si>
    <t>75Fe</t>
    <phoneticPr fontId="1" type="noConversion"/>
  </si>
  <si>
    <t>No. atoms</t>
    <phoneticPr fontId="1" type="noConversion"/>
  </si>
  <si>
    <t>a (Å)</t>
    <phoneticPr fontId="1" type="noConversion"/>
  </si>
  <si>
    <t>bcc-Fe</t>
    <phoneticPr fontId="1" type="noConversion"/>
  </si>
  <si>
    <t>Alloy</t>
    <phoneticPr fontId="1" type="noConversion"/>
  </si>
  <si>
    <t>Fe0.5Ni0.5</t>
    <phoneticPr fontId="1" type="noConversion"/>
  </si>
  <si>
    <t>hexSQS</t>
    <phoneticPr fontId="1" type="noConversion"/>
  </si>
  <si>
    <t>cubicSQS</t>
    <phoneticPr fontId="1" type="noConversion"/>
  </si>
  <si>
    <t>randomSQS</t>
    <phoneticPr fontId="1" type="noConversion"/>
  </si>
  <si>
    <t>Fe0.25Ni0.75</t>
    <phoneticPr fontId="1" type="noConversion"/>
  </si>
  <si>
    <t>ΔHf1 (eV)</t>
    <phoneticPr fontId="1" type="noConversion"/>
  </si>
  <si>
    <t>ΔHf2 (eV)</t>
    <phoneticPr fontId="1" type="noConversion"/>
  </si>
  <si>
    <t>Mag/atom</t>
    <phoneticPr fontId="1" type="noConversion"/>
  </si>
  <si>
    <t>εd[-10,5](eV)</t>
    <phoneticPr fontId="1" type="noConversion"/>
  </si>
  <si>
    <t>hexSQS1-1</t>
    <phoneticPr fontId="1" type="noConversion"/>
  </si>
  <si>
    <t>hexSQS1-2</t>
    <phoneticPr fontId="1" type="noConversion"/>
  </si>
  <si>
    <t>hexSQS2</t>
    <phoneticPr fontId="1" type="noConversion"/>
  </si>
  <si>
    <t>hexSQS3</t>
    <phoneticPr fontId="1" type="noConversion"/>
  </si>
  <si>
    <t>hexSQS4</t>
  </si>
  <si>
    <t>hexSQS5</t>
  </si>
  <si>
    <t>hexSQS6</t>
  </si>
  <si>
    <t>hexSQS7</t>
  </si>
  <si>
    <t>hexSQS8</t>
  </si>
  <si>
    <t>FeNi</t>
    <phoneticPr fontId="1" type="noConversion"/>
  </si>
  <si>
    <t>Et (eV)</t>
    <phoneticPr fontId="1" type="noConversion"/>
  </si>
  <si>
    <t>Tetragonal-FeNi</t>
    <phoneticPr fontId="1" type="noConversion"/>
  </si>
  <si>
    <t>FeNi3</t>
    <phoneticPr fontId="1" type="noConversion"/>
  </si>
  <si>
    <t>cubicA1-FeNi3</t>
    <phoneticPr fontId="1" type="noConversion"/>
  </si>
  <si>
    <t>randomSQS*</t>
    <phoneticPr fontId="1" type="noConversion"/>
  </si>
  <si>
    <t>*7 pairs 2 triplets</t>
    <phoneticPr fontId="1" type="noConversion"/>
  </si>
  <si>
    <t>Fe0.75Ni0.25</t>
    <phoneticPr fontId="1" type="noConversion"/>
  </si>
  <si>
    <t>Nanoparticles</t>
    <phoneticPr fontId="1" type="noConversion"/>
  </si>
  <si>
    <t>Surface</t>
    <phoneticPr fontId="1" type="noConversion"/>
  </si>
  <si>
    <t>Natoms</t>
    <phoneticPr fontId="1" type="noConversion"/>
  </si>
  <si>
    <r>
      <t>Mag(μ</t>
    </r>
    <r>
      <rPr>
        <vertAlign val="subscript"/>
        <sz val="12"/>
        <rFont val="Arial"/>
        <family val="2"/>
      </rPr>
      <t>B</t>
    </r>
    <r>
      <rPr>
        <sz val="12"/>
        <rFont val="Arial"/>
        <family val="2"/>
      </rPr>
      <t>)</t>
    </r>
    <phoneticPr fontId="1" type="noConversion"/>
  </si>
  <si>
    <t>shapeSQS</t>
    <phoneticPr fontId="1" type="noConversion"/>
  </si>
  <si>
    <t>slice1</t>
    <phoneticPr fontId="1" type="noConversion"/>
  </si>
  <si>
    <r>
      <t>γ</t>
    </r>
    <r>
      <rPr>
        <sz val="13.2"/>
        <color theme="1"/>
        <rFont val="Arial"/>
        <family val="2"/>
      </rPr>
      <t xml:space="preserve"> (eV/Å2)</t>
    </r>
    <phoneticPr fontId="1" type="noConversion"/>
  </si>
  <si>
    <t>slice2</t>
  </si>
  <si>
    <t>slice3</t>
  </si>
  <si>
    <t>x(Fe)</t>
    <phoneticPr fontId="1" type="noConversion"/>
  </si>
  <si>
    <t>εd_dn (eV)</t>
    <phoneticPr fontId="1" type="noConversion"/>
  </si>
  <si>
    <t>Fe3Ni</t>
    <phoneticPr fontId="1" type="noConversion"/>
  </si>
  <si>
    <t>cubicA1-Fe3Ni</t>
    <phoneticPr fontId="1" type="noConversion"/>
  </si>
  <si>
    <t>64</t>
    <phoneticPr fontId="1" type="noConversion"/>
  </si>
  <si>
    <t>n(Ni)</t>
    <phoneticPr fontId="1" type="noConversion"/>
  </si>
  <si>
    <t>n(Fe)</t>
    <phoneticPr fontId="1" type="noConversion"/>
  </si>
  <si>
    <t>x.av(Fe)</t>
    <phoneticPr fontId="1" type="noConversion"/>
  </si>
  <si>
    <t>x.s(Fe)</t>
    <phoneticPr fontId="1" type="noConversion"/>
  </si>
  <si>
    <t>x.b(Fe)</t>
    <phoneticPr fontId="1" type="noConversion"/>
  </si>
  <si>
    <t>ZPE_*OH</t>
    <phoneticPr fontId="1" type="noConversion"/>
  </si>
  <si>
    <t>ZPE_*O</t>
    <phoneticPr fontId="1" type="noConversion"/>
  </si>
  <si>
    <t>ΔG1.OER</t>
    <phoneticPr fontId="1" type="noConversion"/>
  </si>
  <si>
    <t>ΔG3.OER</t>
  </si>
  <si>
    <t>ΔG4.OER</t>
  </si>
  <si>
    <t>Fe0.5Ni0.5</t>
  </si>
  <si>
    <t>50Fe</t>
  </si>
  <si>
    <t>FCC-Ni</t>
    <phoneticPr fontId="1" type="noConversion"/>
  </si>
  <si>
    <t>hcp</t>
    <phoneticPr fontId="1" type="noConversion"/>
  </si>
  <si>
    <t>fcc</t>
    <phoneticPr fontId="1" type="noConversion"/>
  </si>
  <si>
    <t>Nanoparticle</t>
    <phoneticPr fontId="1" type="noConversion"/>
  </si>
  <si>
    <t>Site</t>
    <phoneticPr fontId="1" type="noConversion"/>
  </si>
  <si>
    <t>Fe0.25Ni0.75</t>
  </si>
  <si>
    <t>Fe0.75Ni0.25</t>
  </si>
  <si>
    <t>No.</t>
    <phoneticPr fontId="1" type="noConversion"/>
  </si>
  <si>
    <t>E-Emin</t>
    <phoneticPr fontId="1" type="noConversion"/>
  </si>
  <si>
    <t>E*O(spin-opt)</t>
    <phoneticPr fontId="1" type="noConversion"/>
  </si>
  <si>
    <t>Sample</t>
    <phoneticPr fontId="1" type="noConversion"/>
  </si>
  <si>
    <t>FCC-Fe</t>
    <phoneticPr fontId="1" type="noConversion"/>
  </si>
  <si>
    <t>BCC-Fe</t>
    <phoneticPr fontId="1" type="noConversion"/>
  </si>
  <si>
    <t>ed.dn.bulk</t>
    <phoneticPr fontId="1" type="noConversion"/>
  </si>
  <si>
    <t>ed.dn.surf</t>
    <phoneticPr fontId="1" type="noConversion"/>
  </si>
  <si>
    <t>dHf</t>
    <phoneticPr fontId="1" type="noConversion"/>
  </si>
  <si>
    <t>Es</t>
    <phoneticPr fontId="1" type="noConversion"/>
  </si>
  <si>
    <t>(111)</t>
    <phoneticPr fontId="1" type="noConversion"/>
  </si>
  <si>
    <t>(110)</t>
    <phoneticPr fontId="1" type="noConversion"/>
  </si>
  <si>
    <t>ZPE</t>
    <phoneticPr fontId="1" type="noConversion"/>
  </si>
  <si>
    <t>Et(sub)</t>
    <phoneticPr fontId="1" type="noConversion"/>
  </si>
  <si>
    <t>ΔG*O/O</t>
    <phoneticPr fontId="1" type="noConversion"/>
  </si>
  <si>
    <t>n(*O)</t>
    <phoneticPr fontId="1" type="noConversion"/>
  </si>
  <si>
    <t>Coverage</t>
    <phoneticPr fontId="1" type="noConversion"/>
  </si>
  <si>
    <t>Et(n*O)</t>
    <phoneticPr fontId="1" type="noConversion"/>
  </si>
  <si>
    <r>
      <t>O-precoverage with θ</t>
    </r>
    <r>
      <rPr>
        <vertAlign val="subscript"/>
        <sz val="12"/>
        <color theme="0"/>
        <rFont val="Arial"/>
        <family val="2"/>
      </rPr>
      <t>*O</t>
    </r>
    <r>
      <rPr>
        <sz val="12"/>
        <color theme="0"/>
        <rFont val="Arial"/>
        <family val="2"/>
      </rPr>
      <t xml:space="preserve"> = 1/4</t>
    </r>
    <phoneticPr fontId="1" type="noConversion"/>
  </si>
  <si>
    <t>dBandCenter.dn</t>
    <phoneticPr fontId="1" type="noConversion"/>
  </si>
  <si>
    <t>bridge</t>
    <phoneticPr fontId="1" type="noConversion"/>
  </si>
  <si>
    <t>hcp4</t>
  </si>
  <si>
    <t>top4, O@fcc4-3</t>
    <phoneticPr fontId="1" type="noConversion"/>
  </si>
  <si>
    <t>ICOHP.up</t>
    <phoneticPr fontId="1" type="noConversion"/>
  </si>
  <si>
    <t>ICOHP.dn</t>
    <phoneticPr fontId="1" type="noConversion"/>
  </si>
  <si>
    <t>dBandCenter.up</t>
    <phoneticPr fontId="1" type="noConversion"/>
  </si>
  <si>
    <t>delta.dCenter</t>
    <phoneticPr fontId="1" type="noConversion"/>
  </si>
  <si>
    <t>top4, O@fcc</t>
    <phoneticPr fontId="1" type="noConversion"/>
  </si>
  <si>
    <t>dCenter.active.up</t>
    <phoneticPr fontId="1" type="noConversion"/>
  </si>
  <si>
    <t>dCenter.active.dn</t>
    <phoneticPr fontId="1" type="noConversion"/>
  </si>
  <si>
    <t>dBandCenter.dn.all.av</t>
    <phoneticPr fontId="1" type="noConversion"/>
  </si>
  <si>
    <t>x.Fe</t>
    <phoneticPr fontId="1" type="noConversion"/>
  </si>
  <si>
    <t>I.anti.up0</t>
    <phoneticPr fontId="1" type="noConversion"/>
  </si>
  <si>
    <t>I.anti.dn0</t>
    <phoneticPr fontId="1" type="noConversion"/>
  </si>
  <si>
    <t>dBandCenter.av</t>
    <phoneticPr fontId="1" type="noConversion"/>
  </si>
  <si>
    <t>Overpotential.OER.exp</t>
    <phoneticPr fontId="1" type="noConversion"/>
  </si>
  <si>
    <t>ed.up.bulk</t>
    <phoneticPr fontId="1" type="noConversion"/>
  </si>
  <si>
    <t>ed.av.bulk</t>
    <phoneticPr fontId="1" type="noConversion"/>
  </si>
  <si>
    <t>ed.up.surf</t>
    <phoneticPr fontId="1" type="noConversion"/>
  </si>
  <si>
    <t>ed.av.surf</t>
    <phoneticPr fontId="1" type="noConversion"/>
  </si>
  <si>
    <t>up</t>
    <phoneticPr fontId="1" type="noConversion"/>
  </si>
  <si>
    <t>down</t>
    <phoneticPr fontId="1" type="noConversion"/>
  </si>
  <si>
    <t>average</t>
    <phoneticPr fontId="1" type="noConversion"/>
  </si>
  <si>
    <t>I.anti.up[,]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</si>
</sst>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_ "/>
    <numFmt numFmtId="177" formatCode="0.00_ "/>
    <numFmt numFmtId="178" formatCode="0.000_ "/>
    <numFmt numFmtId="179" formatCode="0_ "/>
    <numFmt numFmtId="180" formatCode="0.000"/>
    <numFmt numFmtId="181" formatCode="0.0000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2"/>
      <color theme="5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vertAlign val="subscript"/>
      <sz val="12"/>
      <name val="Arial"/>
      <family val="2"/>
    </font>
    <font>
      <sz val="13.2"/>
      <color theme="1"/>
      <name val="Arial"/>
      <family val="2"/>
    </font>
    <font>
      <sz val="12"/>
      <color theme="1"/>
      <name val="Arial"/>
      <family val="1"/>
    </font>
    <font>
      <sz val="11"/>
      <name val="Arial"/>
      <family val="2"/>
    </font>
    <font>
      <vertAlign val="subscript"/>
      <sz val="12"/>
      <color theme="0"/>
      <name val="Arial"/>
      <family val="2"/>
    </font>
    <font>
      <b/>
      <sz val="11"/>
      <color theme="5"/>
      <name val="Arial"/>
      <family val="2"/>
    </font>
    <font>
      <sz val="11"/>
      <color theme="0" tint="-0.34998626667073579"/>
      <name val="Arial"/>
      <family val="2"/>
    </font>
    <font>
      <b/>
      <sz val="11"/>
      <color rgb="FFFF0000"/>
      <name val="Arial"/>
      <family val="2"/>
    </font>
    <font>
      <sz val="11"/>
      <color theme="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9">
    <xf numFmtId="0" fontId="0" fillId="0" borderId="0" xfId="0"/>
    <xf numFmtId="0" fontId="2" fillId="0" borderId="0" xfId="0" applyFont="1"/>
    <xf numFmtId="9" fontId="2" fillId="0" borderId="0" xfId="0" applyNumberFormat="1" applyFont="1"/>
    <xf numFmtId="176" fontId="2" fillId="0" borderId="0" xfId="0" applyNumberFormat="1" applyFont="1"/>
    <xf numFmtId="177" fontId="7" fillId="0" borderId="0" xfId="0" applyNumberFormat="1" applyFont="1" applyAlignment="1">
      <alignment vertical="center"/>
    </xf>
    <xf numFmtId="177" fontId="7" fillId="0" borderId="0" xfId="0" applyNumberFormat="1" applyFont="1" applyFill="1" applyAlignment="1">
      <alignment vertical="center"/>
    </xf>
    <xf numFmtId="177" fontId="7" fillId="0" borderId="0" xfId="0" quotePrefix="1" applyNumberFormat="1" applyFont="1" applyAlignment="1">
      <alignment vertical="center"/>
    </xf>
    <xf numFmtId="177" fontId="2" fillId="0" borderId="0" xfId="1" applyNumberFormat="1" applyFont="1">
      <alignment vertical="center"/>
    </xf>
    <xf numFmtId="177" fontId="6" fillId="0" borderId="0" xfId="0" applyNumberFormat="1" applyFont="1" applyFill="1" applyAlignment="1">
      <alignment vertical="center"/>
    </xf>
    <xf numFmtId="177" fontId="6" fillId="2" borderId="0" xfId="0" quotePrefix="1" applyNumberFormat="1" applyFont="1" applyFill="1" applyAlignment="1">
      <alignment vertical="center"/>
    </xf>
    <xf numFmtId="0" fontId="9" fillId="0" borderId="0" xfId="0" applyFont="1"/>
    <xf numFmtId="178" fontId="2" fillId="0" borderId="0" xfId="0" applyNumberFormat="1" applyFont="1"/>
    <xf numFmtId="0" fontId="2" fillId="3" borderId="0" xfId="0" applyFont="1" applyFill="1"/>
    <xf numFmtId="177" fontId="2" fillId="0" borderId="0" xfId="0" applyNumberFormat="1" applyFont="1" applyFill="1"/>
    <xf numFmtId="177" fontId="8" fillId="0" borderId="0" xfId="0" applyNumberFormat="1" applyFont="1"/>
    <xf numFmtId="2" fontId="2" fillId="0" borderId="0" xfId="0" applyNumberFormat="1" applyFont="1"/>
    <xf numFmtId="0" fontId="2" fillId="4" borderId="0" xfId="0" applyFont="1" applyFill="1"/>
    <xf numFmtId="180" fontId="2" fillId="0" borderId="0" xfId="0" applyNumberFormat="1" applyFont="1"/>
    <xf numFmtId="178" fontId="7" fillId="0" borderId="0" xfId="0" applyNumberFormat="1" applyFont="1" applyFill="1"/>
    <xf numFmtId="179" fontId="7" fillId="0" borderId="0" xfId="0" applyNumberFormat="1" applyFont="1" applyFill="1"/>
    <xf numFmtId="177" fontId="7" fillId="0" borderId="0" xfId="0" applyNumberFormat="1" applyFont="1" applyFill="1"/>
    <xf numFmtId="178" fontId="7" fillId="0" borderId="0" xfId="0" quotePrefix="1" applyNumberFormat="1" applyFont="1" applyFill="1"/>
    <xf numFmtId="178" fontId="7" fillId="5" borderId="0" xfId="0" applyNumberFormat="1" applyFont="1" applyFill="1"/>
    <xf numFmtId="179" fontId="7" fillId="5" borderId="0" xfId="0" applyNumberFormat="1" applyFont="1" applyFill="1"/>
    <xf numFmtId="177" fontId="7" fillId="5" borderId="0" xfId="0" applyNumberFormat="1" applyFont="1" applyFill="1"/>
    <xf numFmtId="177" fontId="12" fillId="5" borderId="0" xfId="0" applyNumberFormat="1" applyFont="1" applyFill="1"/>
    <xf numFmtId="0" fontId="2" fillId="0" borderId="0" xfId="0" quotePrefix="1" applyFont="1"/>
    <xf numFmtId="177" fontId="2" fillId="0" borderId="0" xfId="0" applyNumberFormat="1" applyFont="1"/>
    <xf numFmtId="177" fontId="2" fillId="0" borderId="0" xfId="0" quotePrefix="1" applyNumberFormat="1" applyFont="1"/>
    <xf numFmtId="177" fontId="9" fillId="5" borderId="0" xfId="0" applyNumberFormat="1" applyFont="1" applyFill="1"/>
    <xf numFmtId="177" fontId="9" fillId="0" borderId="0" xfId="0" applyNumberFormat="1" applyFont="1" applyFill="1"/>
    <xf numFmtId="178" fontId="7" fillId="6" borderId="0" xfId="0" applyNumberFormat="1" applyFont="1" applyFill="1"/>
    <xf numFmtId="179" fontId="7" fillId="6" borderId="0" xfId="0" applyNumberFormat="1" applyFont="1" applyFill="1"/>
    <xf numFmtId="177" fontId="7" fillId="6" borderId="0" xfId="0" applyNumberFormat="1" applyFont="1" applyFill="1"/>
    <xf numFmtId="178" fontId="7" fillId="7" borderId="0" xfId="0" applyNumberFormat="1" applyFont="1" applyFill="1"/>
    <xf numFmtId="179" fontId="7" fillId="7" borderId="0" xfId="0" applyNumberFormat="1" applyFont="1" applyFill="1"/>
    <xf numFmtId="177" fontId="7" fillId="7" borderId="0" xfId="0" applyNumberFormat="1" applyFont="1" applyFill="1"/>
    <xf numFmtId="177" fontId="13" fillId="7" borderId="0" xfId="0" applyNumberFormat="1" applyFont="1" applyFill="1"/>
    <xf numFmtId="0" fontId="2" fillId="0" borderId="0" xfId="0" applyFont="1" applyFill="1"/>
    <xf numFmtId="181" fontId="2" fillId="4" borderId="0" xfId="0" applyNumberFormat="1" applyFont="1" applyFill="1"/>
    <xf numFmtId="0" fontId="2" fillId="4" borderId="0" xfId="0" quotePrefix="1" applyFont="1" applyFill="1"/>
    <xf numFmtId="177" fontId="2" fillId="4" borderId="0" xfId="0" applyNumberFormat="1" applyFont="1" applyFill="1"/>
    <xf numFmtId="177" fontId="11" fillId="4" borderId="0" xfId="0" applyNumberFormat="1" applyFont="1" applyFill="1"/>
    <xf numFmtId="177" fontId="9" fillId="4" borderId="0" xfId="0" applyNumberFormat="1" applyFont="1" applyFill="1"/>
    <xf numFmtId="177" fontId="9" fillId="0" borderId="0" xfId="0" applyNumberFormat="1" applyFont="1"/>
    <xf numFmtId="0" fontId="9" fillId="4" borderId="0" xfId="0" applyFont="1" applyFill="1"/>
    <xf numFmtId="181" fontId="9" fillId="4" borderId="0" xfId="0" applyNumberFormat="1" applyFont="1" applyFill="1"/>
    <xf numFmtId="0" fontId="9" fillId="4" borderId="0" xfId="0" quotePrefix="1" applyFont="1" applyFill="1"/>
    <xf numFmtId="0" fontId="9" fillId="0" borderId="0" xfId="0" quotePrefix="1" applyFont="1"/>
    <xf numFmtId="177" fontId="11" fillId="0" borderId="0" xfId="0" applyNumberFormat="1" applyFont="1"/>
    <xf numFmtId="177" fontId="2" fillId="0" borderId="0" xfId="0" quotePrefix="1" applyNumberFormat="1" applyFont="1" applyFill="1"/>
    <xf numFmtId="178" fontId="11" fillId="0" borderId="0" xfId="0" applyNumberFormat="1" applyFont="1"/>
    <xf numFmtId="176" fontId="11" fillId="0" borderId="0" xfId="0" applyNumberFormat="1" applyFont="1"/>
    <xf numFmtId="177" fontId="11" fillId="0" borderId="0" xfId="0" applyNumberFormat="1" applyFont="1" applyFill="1"/>
    <xf numFmtId="177" fontId="16" fillId="0" borderId="0" xfId="0" applyNumberFormat="1" applyFont="1"/>
    <xf numFmtId="177" fontId="11" fillId="0" borderId="0" xfId="0" quotePrefix="1" applyNumberFormat="1" applyFont="1" applyFill="1"/>
    <xf numFmtId="177" fontId="17" fillId="0" borderId="0" xfId="0" applyNumberFormat="1" applyFont="1"/>
    <xf numFmtId="177" fontId="19" fillId="0" borderId="0" xfId="0" applyNumberFormat="1" applyFont="1"/>
    <xf numFmtId="177" fontId="20" fillId="0" borderId="0" xfId="0" applyNumberFormat="1" applyFont="1"/>
    <xf numFmtId="177" fontId="13" fillId="0" borderId="0" xfId="0" applyNumberFormat="1" applyFont="1" applyFill="1" applyAlignment="1">
      <alignment vertical="center"/>
    </xf>
    <xf numFmtId="177" fontId="8" fillId="0" borderId="0" xfId="0" quotePrefix="1" applyNumberFormat="1" applyFont="1"/>
    <xf numFmtId="177" fontId="10" fillId="0" borderId="0" xfId="0" applyNumberFormat="1" applyFont="1"/>
    <xf numFmtId="177" fontId="21" fillId="0" borderId="0" xfId="0" applyNumberFormat="1" applyFont="1"/>
    <xf numFmtId="177" fontId="22" fillId="0" borderId="0" xfId="0" applyNumberFormat="1" applyFont="1"/>
    <xf numFmtId="177" fontId="7" fillId="0" borderId="0" xfId="0" applyNumberFormat="1" applyFont="1"/>
    <xf numFmtId="0" fontId="7" fillId="0" borderId="0" xfId="0" applyFont="1"/>
    <xf numFmtId="177" fontId="7" fillId="0" borderId="0" xfId="0" quotePrefix="1" applyNumberFormat="1" applyFont="1"/>
    <xf numFmtId="177" fontId="6" fillId="8" borderId="0" xfId="0" applyNumberFormat="1" applyFont="1" applyFill="1" applyAlignment="1">
      <alignment horizontal="center" vertical="center"/>
    </xf>
    <xf numFmtId="177" fontId="7" fillId="0" borderId="0" xfId="0" applyNumberFormat="1" applyFont="1" applyFill="1" applyAlignment="1">
      <alignment horizontal="center"/>
    </xf>
  </cellXfs>
  <cellStyles count="2">
    <cellStyle name="常规" xfId="0" builtinId="0"/>
    <cellStyle name="常规 2" xfId="1" xr:uid="{4BB5556B-4923-4FD0-9AA6-D335C936FD6C}"/>
  </cellStyles>
  <dxfs count="8"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'ActiveCenters-OH-inteactions'!$I$1</c:f>
              <c:strCache>
                <c:ptCount val="1"/>
                <c:pt idx="0">
                  <c:v>ICOHP.dn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6838291323641469E-2"/>
                  <c:y val="-0.16327868301414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'ActiveCenters-OH-inteactions'!$H$2:$H$6</c:f>
              <c:numCache>
                <c:formatCode>0.00_ </c:formatCode>
                <c:ptCount val="5"/>
                <c:pt idx="0">
                  <c:v>-0.38661000000000001</c:v>
                </c:pt>
                <c:pt idx="1">
                  <c:v>-0.75417999999999996</c:v>
                </c:pt>
                <c:pt idx="2">
                  <c:v>-0.85965000000000003</c:v>
                </c:pt>
                <c:pt idx="3">
                  <c:v>-0.40110666666666667</c:v>
                </c:pt>
                <c:pt idx="4">
                  <c:v>-0.42915999999999999</c:v>
                </c:pt>
              </c:numCache>
            </c:numRef>
          </c:xVal>
          <c:yVal>
            <c:numRef>
              <c:f>'ActiveCenters-OH-inteactions'!$I$2:$I$6</c:f>
              <c:numCache>
                <c:formatCode>0.00_ </c:formatCode>
                <c:ptCount val="5"/>
                <c:pt idx="0">
                  <c:v>-0.65605999999999998</c:v>
                </c:pt>
                <c:pt idx="1">
                  <c:v>-1.21753</c:v>
                </c:pt>
                <c:pt idx="2">
                  <c:v>-1.21753</c:v>
                </c:pt>
                <c:pt idx="3">
                  <c:v>-0.68717333333333341</c:v>
                </c:pt>
                <c:pt idx="4">
                  <c:v>-0.69110666666666665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1E-43F8-AD98-E566D0AB2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877072"/>
        <c:axId val="264866256"/>
      </c:scatterChart>
      <c:valAx>
        <c:axId val="26487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4866256"/>
        <c:crosses val="autoZero"/>
        <c:crossBetween val="midCat"/>
      </c:valAx>
      <c:valAx>
        <c:axId val="26486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487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'ActiveCenters-OH-inteactions'!$M$1</c:f>
              <c:strCache>
                <c:ptCount val="1"/>
                <c:pt idx="0">
                  <c:v>delta.dCenter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147141000164353"/>
                  <c:y val="-5.80512038071365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'ActiveCenters-OH-inteactions'!$F$2:$F$7</c:f>
              <c:numCache>
                <c:formatCode>0.00_ </c:formatCode>
                <c:ptCount val="6"/>
                <c:pt idx="0">
                  <c:v>1.7252999999999998</c:v>
                </c:pt>
                <c:pt idx="1">
                  <c:v>1.7911000000000001</c:v>
                </c:pt>
                <c:pt idx="2">
                  <c:v>0.69010000000000016</c:v>
                </c:pt>
                <c:pt idx="3">
                  <c:v>1.2938000000000001</c:v>
                </c:pt>
              </c:numCache>
            </c:numRef>
          </c:xVal>
          <c:yVal>
            <c:numRef>
              <c:f>'ActiveCenters-OH-inteactions'!$M$2:$M$7</c:f>
              <c:numCache>
                <c:formatCode>0.00_ </c:formatCode>
                <c:ptCount val="6"/>
                <c:pt idx="0">
                  <c:v>1.0102</c:v>
                </c:pt>
                <c:pt idx="1">
                  <c:v>0.82890000000000019</c:v>
                </c:pt>
                <c:pt idx="2">
                  <c:v>2.4443000000000001</c:v>
                </c:pt>
                <c:pt idx="3">
                  <c:v>1.3003666666666667</c:v>
                </c:pt>
                <c:pt idx="4">
                  <c:v>2.2513333333333332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2-4450-A22A-82B9D346D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256239"/>
        <c:axId val="679258319"/>
      </c:scatterChart>
      <c:valAx>
        <c:axId val="67925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9258319"/>
        <c:crosses val="autoZero"/>
        <c:crossBetween val="midCat"/>
      </c:valAx>
      <c:valAx>
        <c:axId val="67925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925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'ActiveCenters-OH-inteactions'!$K$1</c:f>
              <c:strCache>
                <c:ptCount val="1"/>
                <c:pt idx="0">
                  <c:v>dBandCenter.dn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999340166278097"/>
                  <c:y val="-0.13256083429895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'ActiveCenters-OH-inteactions'!$F$2:$F$6</c:f>
              <c:numCache>
                <c:formatCode>0.00_ </c:formatCode>
                <c:ptCount val="5"/>
                <c:pt idx="0">
                  <c:v>1.7252999999999998</c:v>
                </c:pt>
                <c:pt idx="1">
                  <c:v>1.7911000000000001</c:v>
                </c:pt>
                <c:pt idx="2">
                  <c:v>0.69010000000000016</c:v>
                </c:pt>
                <c:pt idx="3">
                  <c:v>1.2938000000000001</c:v>
                </c:pt>
              </c:numCache>
            </c:numRef>
          </c:xVal>
          <c:yVal>
            <c:numRef>
              <c:f>'ActiveCenters-OH-inteactions'!$K$2:$K$6</c:f>
              <c:numCache>
                <c:formatCode>0.00_ </c:formatCode>
                <c:ptCount val="5"/>
                <c:pt idx="0">
                  <c:v>-1.2867</c:v>
                </c:pt>
                <c:pt idx="1">
                  <c:v>-1.2059</c:v>
                </c:pt>
                <c:pt idx="2">
                  <c:v>-0.16350000000000001</c:v>
                </c:pt>
                <c:pt idx="3">
                  <c:v>-0.85853333333333326</c:v>
                </c:pt>
                <c:pt idx="4">
                  <c:v>6.6900000000000001E-2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33-42CB-A20F-B083E3974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008879"/>
        <c:axId val="280010127"/>
      </c:scatterChart>
      <c:valAx>
        <c:axId val="28000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0010127"/>
        <c:crosses val="autoZero"/>
        <c:crossBetween val="midCat"/>
      </c:valAx>
      <c:valAx>
        <c:axId val="28001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000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'ActiveCenters-OH-inteactions'!$G$1</c:f>
              <c:strCache>
                <c:ptCount val="1"/>
                <c:pt idx="0">
                  <c:v>Overpotential.OER.exp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'ActiveCenters-OH-inteactions'!$B$2:$B$11</c:f>
              <c:numCache>
                <c:formatCode>0.00_ </c:formatCode>
                <c:ptCount val="1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'ActiveCenters-OH-inteactions'!$G$2:$G$11</c:f>
              <c:numCache>
                <c:formatCode>0.00_ </c:formatCode>
                <c:ptCount val="10"/>
                <c:pt idx="0">
                  <c:v>0.44</c:v>
                </c:pt>
                <c:pt idx="1">
                  <c:v>0.34899999999999998</c:v>
                </c:pt>
                <c:pt idx="2">
                  <c:v>0.219</c:v>
                </c:pt>
                <c:pt idx="3">
                  <c:v>0.315</c:v>
                </c:pt>
                <c:pt idx="4">
                  <c:v>0.49099999999999999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E3-473A-A7AD-6FC6FDF69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58304"/>
        <c:axId val="59059136"/>
      </c:scatterChart>
      <c:valAx>
        <c:axId val="5905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59136"/>
        <c:crosses val="autoZero"/>
        <c:crossBetween val="midCat"/>
      </c:valAx>
      <c:valAx>
        <c:axId val="5905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5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FormationEnthalpy!$R$1</c:f>
              <c:strCache>
                <c:ptCount val="1"/>
                <c:pt idx="0">
                  <c:v>εd_dn (eV)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99519342633122"/>
                  <c:y val="-7.1246376667813471E-2"/>
                </c:manualLayout>
              </c:layout>
              <c:numFmt formatCode="#,##0.00_);[Red]\(#,##0.00\)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FormationEnthalpy!$O$2:$O$6</c:f>
              <c:numCache>
                <c:formatCode>0.000_ 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FormationEnthalpy!$R$2:$R$6</c:f>
              <c:numCache>
                <c:formatCode>0.000_ </c:formatCode>
                <c:ptCount val="5"/>
                <c:pt idx="0">
                  <c:v>-1.2690999999999999</c:v>
                </c:pt>
                <c:pt idx="1">
                  <c:v>-0.89349999999999996</c:v>
                </c:pt>
                <c:pt idx="2">
                  <c:v>-0.51859999999999995</c:v>
                </c:pt>
                <c:pt idx="3">
                  <c:v>-9.2999999999999999E-2</c:v>
                </c:pt>
                <c:pt idx="4">
                  <c:v>0.51949999999999996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4-4DE3-9B57-0F1BDA88C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947296"/>
        <c:axId val="2014950624"/>
      </c:scatterChart>
      <c:valAx>
        <c:axId val="201494729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2014950624"/>
        <c:crosses val="autoZero"/>
        <c:crossBetween val="midCat"/>
      </c:valAx>
      <c:valAx>
        <c:axId val="20149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201494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537308</xdr:colOff>
      <xdr:row>7</xdr:row>
      <xdr:rowOff>44695</xdr:rowOff>
    </xdr:from>
    <xdr:to>
      <xdr:col>12</xdr:col>
      <xdr:colOff>219807</xdr:colOff>
      <xdr:row>23</xdr:row>
      <xdr:rowOff>34191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6CC183-FE68-4CCC-9460-AAEE7A6BC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617933</xdr:colOff>
      <xdr:row>6</xdr:row>
      <xdr:rowOff>173791</xdr:rowOff>
    </xdr:from>
    <xdr:to>
      <xdr:col>7</xdr:col>
      <xdr:colOff>151423</xdr:colOff>
      <xdr:row>22</xdr:row>
      <xdr:rowOff>163779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B39C8B9-A788-4CAF-92B4-31237F83F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82551</xdr:colOff>
      <xdr:row>7</xdr:row>
      <xdr:rowOff>23489</xdr:rowOff>
    </xdr:from>
    <xdr:to>
      <xdr:col>3</xdr:col>
      <xdr:colOff>195384</xdr:colOff>
      <xdr:row>23</xdr:row>
      <xdr:rowOff>24423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397B9C1-5C8F-4D86-B6A7-2716DB0FF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317500</xdr:colOff>
      <xdr:row>7</xdr:row>
      <xdr:rowOff>66918</xdr:rowOff>
    </xdr:from>
    <xdr:to>
      <xdr:col>16</xdr:col>
      <xdr:colOff>727808</xdr:colOff>
      <xdr:row>23</xdr:row>
      <xdr:rowOff>48846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E11CC7C-85DA-41A6-B81A-E290D866B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2443</xdr:colOff>
      <xdr:row>6</xdr:row>
      <xdr:rowOff>157281</xdr:rowOff>
    </xdr:from>
    <xdr:to>
      <xdr:col>18</xdr:col>
      <xdr:colOff>376116</xdr:colOff>
      <xdr:row>21</xdr:row>
      <xdr:rowOff>48845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80781C4-C2FB-42FB-B805-F983F4E61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#NONG WEI#" id="{74FDC95A-8017-4A30-9A49-14AED899D000}" userId="#NONG WEI#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1-08-28T07:07:04.69" personId="{74FDC95A-8017-4A30-9A49-14AED899D000}" id="{607E3579-0A5A-4E34-A5DD-D36C336FDC1B}">
    <text>face-centred cubic, γ phase</text>
  </threadedComment>
  <threadedComment ref="D7" dT="2021-08-28T07:06:25.48" personId="{74FDC95A-8017-4A30-9A49-14AED899D000}" id="{839CB84E-446A-4278-85C5-B7CEFEE3BA7D}">
    <text>body-centred cubic phase, α phase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1-12-17T15:35:39.35" personId="{74FDC95A-8017-4A30-9A49-14AED899D000}" id="{83AD6AA5-CCF5-4CB0-952B-17B8D7BB9FB0}">
    <text>bcc-Fe + fcc-Ni</text>
  </threadedComment>
  <threadedComment ref="G1" dT="2021-12-17T15:35:50.71" personId="{74FDC95A-8017-4A30-9A49-14AED899D000}" id="{C322AD1C-66BC-49DF-9909-A131B4A1F4E3}">
    <text>fcc-Fe + fcc-Ni</text>
  </threadedComment>
  <threadedComment ref="B5" dT="2021-12-15T07:24:22.85" personId="{74FDC95A-8017-4A30-9A49-14AED899D000}" id="{58045C24-4A30-4AB5-A219-CDD04C4C1CF6}">
    <text>unit cell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15" zoomScaleNormal="115" workbookViewId="0">
      <selection activeCell="H11" sqref="H11"/>
    </sheetView>
  </sheetViews>
  <sheetFormatPr defaultColWidth="9.08203125" defaultRowHeight="15.5" x14ac:dyDescent="0.35"/>
  <cols>
    <col min="1" max="1" width="11.75" style="1" bestFit="1" customWidth="1"/>
    <col min="2" max="2" width="11.4140625" style="1" bestFit="1" customWidth="1"/>
    <col min="3" max="3" width="9.6640625" style="1" bestFit="1" customWidth="1"/>
    <col min="4" max="5" width="15.1640625" style="1" bestFit="1" customWidth="1"/>
    <col min="6" max="16384" width="9.082031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67</v>
      </c>
    </row>
    <row r="2" spans="1:6" x14ac:dyDescent="0.35">
      <c r="A2" s="1" t="s">
        <v>65</v>
      </c>
      <c r="B2" s="1" t="s">
        <v>3</v>
      </c>
      <c r="C2" s="2">
        <v>0</v>
      </c>
      <c r="D2" s="11">
        <v>3.5238</v>
      </c>
      <c r="E2" s="17">
        <v>3.5243000000000002</v>
      </c>
    </row>
    <row r="3" spans="1:6" ht="16.5" x14ac:dyDescent="0.4">
      <c r="A3" s="1" t="s">
        <v>69</v>
      </c>
      <c r="B3" s="12" t="s">
        <v>62</v>
      </c>
      <c r="C3" s="2">
        <v>0.25</v>
      </c>
      <c r="D3" s="3" t="s">
        <v>7</v>
      </c>
      <c r="E3" s="1">
        <v>3.5449999999999999</v>
      </c>
      <c r="F3" s="15">
        <f>$D$2*0.75+$D$6*0.25</f>
        <v>3.5406000000000004</v>
      </c>
    </row>
    <row r="4" spans="1:6" ht="16.5" x14ac:dyDescent="0.4">
      <c r="A4" s="1" t="s">
        <v>70</v>
      </c>
      <c r="B4" s="12" t="s">
        <v>63</v>
      </c>
      <c r="C4" s="2">
        <v>0.5</v>
      </c>
      <c r="D4" s="3" t="s">
        <v>7</v>
      </c>
      <c r="E4" s="1">
        <v>3.5710000000000002</v>
      </c>
      <c r="F4" s="15">
        <f>D2*0.5+D6*0.5</f>
        <v>3.5574000000000003</v>
      </c>
    </row>
    <row r="5" spans="1:6" ht="16.5" x14ac:dyDescent="0.4">
      <c r="A5" s="1" t="s">
        <v>71</v>
      </c>
      <c r="B5" s="12" t="s">
        <v>64</v>
      </c>
      <c r="C5" s="2">
        <v>0.75</v>
      </c>
      <c r="D5" s="3" t="s">
        <v>7</v>
      </c>
      <c r="E5" s="1">
        <v>3.5750000000000002</v>
      </c>
      <c r="F5" s="15">
        <f>D2*0.25+D6*0.75</f>
        <v>3.5741999999999998</v>
      </c>
    </row>
    <row r="6" spans="1:6" x14ac:dyDescent="0.35">
      <c r="A6" s="1" t="s">
        <v>66</v>
      </c>
      <c r="B6" s="1" t="s">
        <v>4</v>
      </c>
      <c r="C6" s="2">
        <v>1</v>
      </c>
      <c r="D6" s="1">
        <v>3.5910000000000002</v>
      </c>
      <c r="E6" s="17">
        <v>2.8664999999999998</v>
      </c>
    </row>
    <row r="7" spans="1:6" x14ac:dyDescent="0.35">
      <c r="A7" s="1" t="s">
        <v>74</v>
      </c>
      <c r="D7" s="3">
        <v>2.8664000000000001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1DE9-5739-4C64-8471-B94AA11DB9ED}">
  <dimension ref="A1:X8"/>
  <sheetViews>
    <sheetView tabSelected="1" zoomScale="110" zoomScaleNormal="110" workbookViewId="0">
      <selection activeCell="G17" sqref="G17"/>
    </sheetView>
  </sheetViews>
  <sheetFormatPr defaultColWidth="8.5" defaultRowHeight="15.5" x14ac:dyDescent="0.3"/>
  <cols>
    <col min="1" max="1" width="15.75" style="4" customWidth="1"/>
    <col min="2" max="2" width="7.08203125" style="4" customWidth="1"/>
    <col min="3" max="3" width="12.58203125" style="4" customWidth="1"/>
    <col min="4" max="11" width="10.08203125" style="4" customWidth="1"/>
    <col min="12" max="12" width="10.83203125" style="4" customWidth="1"/>
    <col min="13" max="15" width="10.08203125" style="4" customWidth="1"/>
    <col min="16" max="16" width="10.08203125" style="5" customWidth="1"/>
    <col min="17" max="24" width="10.08203125" style="4" customWidth="1"/>
    <col min="25" max="16384" width="8.5" style="4"/>
  </cols>
  <sheetData>
    <row r="1" spans="1:24" s="8" customForma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61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</row>
    <row r="2" spans="1:24" x14ac:dyDescent="0.3">
      <c r="A2" s="4" t="s">
        <v>31</v>
      </c>
      <c r="B2" s="4" t="s">
        <v>32</v>
      </c>
      <c r="C2" s="4" t="s">
        <v>33</v>
      </c>
      <c r="D2" s="4" t="s">
        <v>34</v>
      </c>
      <c r="E2" s="4" t="s">
        <v>165</v>
      </c>
      <c r="F2" s="4" t="s">
        <v>35</v>
      </c>
      <c r="G2" s="6" t="s">
        <v>38</v>
      </c>
      <c r="H2" s="6" t="s">
        <v>37</v>
      </c>
      <c r="I2" s="4" t="s">
        <v>36</v>
      </c>
      <c r="J2" s="6" t="s">
        <v>121</v>
      </c>
      <c r="K2" s="6" t="s">
        <v>122</v>
      </c>
      <c r="L2" s="6" t="s">
        <v>60</v>
      </c>
      <c r="M2" s="4" t="s">
        <v>41</v>
      </c>
      <c r="N2" s="4" t="s">
        <v>40</v>
      </c>
      <c r="O2" s="4" t="s">
        <v>39</v>
      </c>
      <c r="P2" s="5" t="s">
        <v>44</v>
      </c>
      <c r="Q2" s="4" t="s">
        <v>43</v>
      </c>
      <c r="R2" s="4" t="s">
        <v>42</v>
      </c>
      <c r="S2" s="4" t="s">
        <v>123</v>
      </c>
      <c r="T2" s="4" t="s">
        <v>45</v>
      </c>
      <c r="U2" s="4" t="s">
        <v>124</v>
      </c>
      <c r="V2" s="4" t="s">
        <v>125</v>
      </c>
      <c r="W2" s="4" t="s">
        <v>46</v>
      </c>
      <c r="X2" s="5" t="s">
        <v>47</v>
      </c>
    </row>
    <row r="3" spans="1:24" ht="16.5" x14ac:dyDescent="0.3">
      <c r="A3" s="67" t="s">
        <v>153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</row>
    <row r="4" spans="1:24" x14ac:dyDescent="0.3">
      <c r="A4" s="4" t="s">
        <v>129</v>
      </c>
      <c r="B4" s="6" t="s">
        <v>8</v>
      </c>
      <c r="C4" s="4" t="s">
        <v>128</v>
      </c>
      <c r="D4" s="4">
        <v>43.127000000000002</v>
      </c>
      <c r="E4" s="4">
        <v>-1.1012</v>
      </c>
      <c r="F4" s="4">
        <v>-376.24855100000002</v>
      </c>
      <c r="G4" s="4">
        <v>-386.695896</v>
      </c>
      <c r="H4" s="4">
        <v>-382.688422</v>
      </c>
      <c r="I4" s="4">
        <v>-390.89316300000002</v>
      </c>
      <c r="J4" s="4">
        <v>0.34699999999999998</v>
      </c>
      <c r="K4" s="4">
        <v>8.3000000000000004E-2</v>
      </c>
      <c r="L4" s="4">
        <v>0.42299999999999999</v>
      </c>
      <c r="M4" s="4">
        <f>ROUND(G4-F4+J4,4)</f>
        <v>-10.100300000000001</v>
      </c>
      <c r="N4" s="4">
        <f t="shared" ref="N4" si="0">ROUND(H4-F4+K4,4)</f>
        <v>-6.3569000000000004</v>
      </c>
      <c r="O4" s="4">
        <f>ROUND(I4-F4+L4,4)</f>
        <v>-14.2216</v>
      </c>
      <c r="P4" s="5">
        <f>ROUND(M4-Constant!$F$2,4)</f>
        <v>0.71970000000000001</v>
      </c>
      <c r="Q4" s="5">
        <f>ROUND(N4-Constant!$G$2,4)</f>
        <v>1.0630999999999999</v>
      </c>
      <c r="R4" s="5">
        <f>ROUND(O4-Constant!$H$2,4)</f>
        <v>4.0183999999999997</v>
      </c>
      <c r="S4" s="4">
        <f t="shared" ref="S4" si="1">P4</f>
        <v>0.71970000000000001</v>
      </c>
      <c r="T4" s="4">
        <f t="shared" ref="T4" si="2">Q4-P4</f>
        <v>0.34339999999999993</v>
      </c>
      <c r="U4" s="4">
        <f t="shared" ref="U4" si="3">R4-Q4</f>
        <v>2.9552999999999998</v>
      </c>
      <c r="V4" s="4">
        <f t="shared" ref="V4" si="4">4*1.23-R4</f>
        <v>0.90160000000000018</v>
      </c>
      <c r="W4" s="4">
        <f t="shared" ref="W4" si="5">MAX(S4:V4)</f>
        <v>2.9552999999999998</v>
      </c>
      <c r="X4" s="59">
        <f t="shared" ref="X4" si="6">W4-1.23</f>
        <v>1.7252999999999998</v>
      </c>
    </row>
    <row r="5" spans="1:24" x14ac:dyDescent="0.3">
      <c r="A5" s="4" t="s">
        <v>162</v>
      </c>
      <c r="B5" s="6" t="s">
        <v>9</v>
      </c>
      <c r="C5" s="4" t="s">
        <v>80</v>
      </c>
      <c r="D5" s="4">
        <v>73.569500000000005</v>
      </c>
      <c r="E5" s="4">
        <v>-0.9093</v>
      </c>
      <c r="F5" s="4">
        <v>-419.45651099999998</v>
      </c>
      <c r="G5" s="4">
        <v>-429.70334500000001</v>
      </c>
      <c r="H5" s="5">
        <v>-426.08319399999999</v>
      </c>
      <c r="I5" s="5">
        <v>-434.21908999999999</v>
      </c>
      <c r="J5" s="4">
        <v>0.34399999999999997</v>
      </c>
      <c r="K5" s="4">
        <v>8.5000000000000006E-2</v>
      </c>
      <c r="L5" s="4">
        <v>0.42199999999999999</v>
      </c>
      <c r="M5" s="4">
        <f t="shared" ref="M5" si="7">ROUND(G5-F5+J5,4)</f>
        <v>-9.9027999999999992</v>
      </c>
      <c r="N5" s="4">
        <f t="shared" ref="N5" si="8">ROUND(H5-F5+K5,4)</f>
        <v>-6.5416999999999996</v>
      </c>
      <c r="O5" s="4">
        <f t="shared" ref="O5" si="9">ROUND(I5-F5+L5,4)</f>
        <v>-14.3406</v>
      </c>
      <c r="P5" s="5">
        <f>ROUND(M5-Constant!$F$2,4)</f>
        <v>0.91720000000000002</v>
      </c>
      <c r="Q5" s="5">
        <f>ROUND(N5-Constant!$G$2,4)</f>
        <v>0.87829999999999997</v>
      </c>
      <c r="R5" s="5">
        <f>ROUND(O5-Constant!$H$2,4)</f>
        <v>3.8994</v>
      </c>
      <c r="S5" s="4">
        <f t="shared" ref="S5" si="10">P5</f>
        <v>0.91720000000000002</v>
      </c>
      <c r="T5" s="4">
        <f t="shared" ref="T5" si="11">Q5-P5</f>
        <v>-3.8900000000000046E-2</v>
      </c>
      <c r="U5" s="4">
        <f t="shared" ref="U5" si="12">R5-Q5</f>
        <v>3.0211000000000001</v>
      </c>
      <c r="V5" s="4">
        <f t="shared" ref="V5" si="13">4*1.23-R5</f>
        <v>1.0206</v>
      </c>
      <c r="W5" s="4">
        <f t="shared" ref="W5" si="14">MAX(S5:V5)</f>
        <v>3.0211000000000001</v>
      </c>
      <c r="X5" s="59">
        <f>W5-1.23</f>
        <v>1.7911000000000001</v>
      </c>
    </row>
    <row r="6" spans="1:24" x14ac:dyDescent="0.3">
      <c r="A6" s="4" t="s">
        <v>157</v>
      </c>
      <c r="B6" s="6" t="s">
        <v>10</v>
      </c>
      <c r="C6" s="4" t="s">
        <v>76</v>
      </c>
      <c r="D6" s="4">
        <v>101.5087</v>
      </c>
      <c r="E6" s="4">
        <v>-0.54120000000000001</v>
      </c>
      <c r="F6" s="4">
        <v>-460.03199599999999</v>
      </c>
      <c r="G6" s="4">
        <v>-470.44754999999998</v>
      </c>
      <c r="H6" s="4">
        <v>-464.878488</v>
      </c>
      <c r="I6" s="4">
        <v>-474.555228</v>
      </c>
      <c r="J6" s="4">
        <v>0.32900000000000001</v>
      </c>
      <c r="K6" s="5">
        <v>0.08</v>
      </c>
      <c r="L6" s="4">
        <v>0.42099999999999999</v>
      </c>
      <c r="M6" s="4">
        <f t="shared" ref="M6" si="15">ROUND(G6-F6+J6,4)</f>
        <v>-10.086600000000001</v>
      </c>
      <c r="N6" s="4">
        <f t="shared" ref="N6" si="16">ROUND(H6-F6+K6,4)</f>
        <v>-4.7664999999999997</v>
      </c>
      <c r="O6" s="4">
        <f t="shared" ref="O6" si="17">ROUND(I6-F6+L6,4)</f>
        <v>-14.1022</v>
      </c>
      <c r="P6" s="5">
        <f>ROUND(M6-Constant!$F$2,4)</f>
        <v>0.73340000000000005</v>
      </c>
      <c r="Q6" s="59">
        <f>ROUND(N6-Constant!$G$2,4)</f>
        <v>2.6535000000000002</v>
      </c>
      <c r="R6" s="5">
        <f>ROUND(O6-Constant!$H$2,4)</f>
        <v>4.1378000000000004</v>
      </c>
      <c r="S6" s="4">
        <f t="shared" ref="S6" si="18">P6</f>
        <v>0.73340000000000005</v>
      </c>
      <c r="T6" s="4">
        <f t="shared" ref="T6" si="19">Q6-P6</f>
        <v>1.9201000000000001</v>
      </c>
      <c r="U6" s="4">
        <f t="shared" ref="U6" si="20">R6-Q6</f>
        <v>1.4843000000000002</v>
      </c>
      <c r="V6" s="4">
        <f t="shared" ref="V6" si="21">4*1.23-R6</f>
        <v>0.78219999999999956</v>
      </c>
      <c r="W6" s="4">
        <f t="shared" ref="W6" si="22">MAX(S6:V6)</f>
        <v>1.9201000000000001</v>
      </c>
      <c r="X6" s="59">
        <f>W6-1.23</f>
        <v>0.69010000000000016</v>
      </c>
    </row>
    <row r="7" spans="1:24" x14ac:dyDescent="0.3">
      <c r="A7" s="4" t="s">
        <v>156</v>
      </c>
      <c r="B7" s="6" t="s">
        <v>11</v>
      </c>
      <c r="C7" s="4" t="s">
        <v>101</v>
      </c>
      <c r="D7" s="4">
        <v>87.076599999999999</v>
      </c>
      <c r="E7" s="4">
        <v>-0.52680000000000005</v>
      </c>
      <c r="F7" s="4">
        <v>-499.71634899999998</v>
      </c>
      <c r="G7" s="4">
        <v>-511.44401699999997</v>
      </c>
      <c r="H7" s="4">
        <v>-505.882521</v>
      </c>
      <c r="I7" s="5">
        <v>-515.97319040000002</v>
      </c>
      <c r="J7" s="4">
        <v>0.33500000000000002</v>
      </c>
      <c r="K7" s="4">
        <v>7.9000000000000001E-2</v>
      </c>
      <c r="L7" s="4">
        <v>0.41299999999999998</v>
      </c>
      <c r="M7" s="4">
        <f t="shared" ref="M7" si="23">ROUND(G7-F7+J7,4)</f>
        <v>-11.3927</v>
      </c>
      <c r="N7" s="4">
        <f t="shared" ref="N7" si="24">ROUND(H7-F7+K7,4)</f>
        <v>-6.0872000000000002</v>
      </c>
      <c r="O7" s="4">
        <f t="shared" ref="O7" si="25">ROUND(I7-F7+L7,4)</f>
        <v>-15.8438</v>
      </c>
      <c r="P7" s="5">
        <f>ROUND(M7-Constant!$F$2,4)</f>
        <v>-0.57269999999999999</v>
      </c>
      <c r="Q7" s="5">
        <f>ROUND(N7-Constant!$G$2,4)</f>
        <v>1.3328</v>
      </c>
      <c r="R7" s="5">
        <f>ROUND(O7-Constant!$H$2,4)</f>
        <v>2.3961999999999999</v>
      </c>
      <c r="S7" s="4">
        <f t="shared" ref="S7" si="26">P7</f>
        <v>-0.57269999999999999</v>
      </c>
      <c r="T7" s="4">
        <f t="shared" ref="T7" si="27">Q7-P7</f>
        <v>1.9055</v>
      </c>
      <c r="U7" s="4">
        <f t="shared" ref="U7" si="28">R7-Q7</f>
        <v>1.0633999999999999</v>
      </c>
      <c r="V7" s="4">
        <f t="shared" ref="V7" si="29">4*1.23-R7</f>
        <v>2.5238</v>
      </c>
      <c r="W7" s="4">
        <f t="shared" ref="W7" si="30">MAX(S7:V7)</f>
        <v>2.5238</v>
      </c>
      <c r="X7" s="59">
        <f t="shared" ref="X7" si="31">W7-1.23</f>
        <v>1.2938000000000001</v>
      </c>
    </row>
    <row r="8" spans="1:24" x14ac:dyDescent="0.3">
      <c r="A8" s="4" t="s">
        <v>155</v>
      </c>
      <c r="B8" s="6" t="s">
        <v>12</v>
      </c>
      <c r="C8" s="4" t="s">
        <v>140</v>
      </c>
      <c r="D8" s="4">
        <v>159.20750000000001</v>
      </c>
      <c r="E8" s="4">
        <v>0.31190000000000001</v>
      </c>
      <c r="F8" s="4">
        <v>-545.64333899999997</v>
      </c>
      <c r="G8" s="4">
        <v>-557.11277099999995</v>
      </c>
      <c r="H8" s="4">
        <v>-552.20840499999997</v>
      </c>
      <c r="J8" s="4">
        <v>0.34799999999999998</v>
      </c>
      <c r="K8" s="4">
        <v>7.1999999999999995E-2</v>
      </c>
      <c r="M8" s="4">
        <f>ROUND(G8-F8+J8,4)</f>
        <v>-11.1214</v>
      </c>
      <c r="N8" s="4">
        <f>ROUND(H8-F8+K8,4)</f>
        <v>-6.4931000000000001</v>
      </c>
      <c r="O8" s="4">
        <f>ROUND(I8-F8+L8,4)</f>
        <v>545.64329999999995</v>
      </c>
      <c r="P8" s="5">
        <f>ROUND(M8-Constant!$F$2,4)</f>
        <v>-0.3014</v>
      </c>
      <c r="Q8" s="5">
        <f>ROUND(N8-Constant!$G$2,4)</f>
        <v>0.92689999999999995</v>
      </c>
      <c r="R8" s="5"/>
      <c r="S8" s="4">
        <f>P8</f>
        <v>-0.3014</v>
      </c>
      <c r="T8" s="4">
        <f>Q8-P8</f>
        <v>1.2282999999999999</v>
      </c>
      <c r="X8" s="5"/>
    </row>
  </sheetData>
  <mergeCells count="1">
    <mergeCell ref="A3:X3"/>
  </mergeCells>
  <phoneticPr fontId="1" type="noConversion"/>
  <conditionalFormatting sqref="X2 X6:X8">
    <cfRule type="cellIs" dxfId="7" priority="8" operator="lessThanOrEqual">
      <formula>0.85</formula>
    </cfRule>
  </conditionalFormatting>
  <conditionalFormatting sqref="X4">
    <cfRule type="cellIs" dxfId="6" priority="5" operator="lessThanOrEqual">
      <formula>0.85</formula>
    </cfRule>
  </conditionalFormatting>
  <conditionalFormatting sqref="X5">
    <cfRule type="cellIs" dxfId="5" priority="2" operator="lessThanOrEqual">
      <formula>0.85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080B-D6F2-4527-88DB-948C767FFED3}">
  <dimension ref="A1:L3"/>
  <sheetViews>
    <sheetView zoomScale="115" zoomScaleNormal="115" workbookViewId="0">
      <selection activeCell="H11" sqref="H11"/>
    </sheetView>
  </sheetViews>
  <sheetFormatPr defaultColWidth="9.08203125" defaultRowHeight="15.5" x14ac:dyDescent="0.3"/>
  <cols>
    <col min="1" max="1" width="10.25" style="7" customWidth="1"/>
    <col min="2" max="16384" width="9.08203125" style="7"/>
  </cols>
  <sheetData>
    <row r="1" spans="1:12" x14ac:dyDescent="0.3">
      <c r="A1" s="7" t="s">
        <v>31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54</v>
      </c>
      <c r="G1" s="7" t="s">
        <v>53</v>
      </c>
      <c r="H1" s="7" t="s">
        <v>52</v>
      </c>
      <c r="I1" s="7" t="s">
        <v>55</v>
      </c>
      <c r="J1" s="7" t="s">
        <v>56</v>
      </c>
      <c r="K1" s="7" t="s">
        <v>57</v>
      </c>
      <c r="L1" s="7" t="s">
        <v>58</v>
      </c>
    </row>
    <row r="2" spans="1:12" x14ac:dyDescent="0.3">
      <c r="A2" s="7" t="s">
        <v>59</v>
      </c>
      <c r="B2" s="7">
        <v>-14.22</v>
      </c>
      <c r="C2" s="7">
        <v>-6.8</v>
      </c>
      <c r="D2" s="7">
        <f>C2/2</f>
        <v>-3.4</v>
      </c>
      <c r="E2" s="7">
        <f t="shared" ref="E2" si="0">4*1.23-(2*C2-2*B2)</f>
        <v>-9.9200000000000017</v>
      </c>
      <c r="F2" s="7">
        <f>B2-C2/2</f>
        <v>-10.82</v>
      </c>
      <c r="G2" s="7">
        <f t="shared" ref="G2" si="1">B2-C2</f>
        <v>-7.4200000000000008</v>
      </c>
      <c r="H2" s="7">
        <f>2*B2-3/2*C2</f>
        <v>-18.240000000000002</v>
      </c>
      <c r="I2" s="7">
        <v>-14.222977</v>
      </c>
      <c r="J2" s="7">
        <v>-6.7711224300000001</v>
      </c>
      <c r="K2" s="7">
        <f>I2*2-3*J2/2</f>
        <v>-18.289270354999999</v>
      </c>
      <c r="L2" s="7">
        <f>I2-J2/2</f>
        <v>-10.837415785000001</v>
      </c>
    </row>
    <row r="3" spans="1:12" x14ac:dyDescent="0.3">
      <c r="G3" s="7">
        <f>E2/2-G2</f>
        <v>2.46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8AA7-7C95-48BA-9305-9A8C585E760B}">
  <dimension ref="A1:T11"/>
  <sheetViews>
    <sheetView zoomScale="130" zoomScaleNormal="130" workbookViewId="0">
      <selection activeCell="J30" sqref="J30"/>
    </sheetView>
  </sheetViews>
  <sheetFormatPr defaultColWidth="8.6640625" defaultRowHeight="14" x14ac:dyDescent="0.3"/>
  <cols>
    <col min="1" max="1" width="13.1640625" style="14" customWidth="1"/>
    <col min="2" max="2" width="10.33203125" style="14" customWidth="1"/>
    <col min="3" max="4" width="14.75" style="14" customWidth="1"/>
    <col min="5" max="5" width="8.6640625" style="14"/>
    <col min="6" max="7" width="11.25" style="14" customWidth="1"/>
    <col min="8" max="13" width="8.6640625" style="14"/>
    <col min="14" max="14" width="9.5" style="14" customWidth="1"/>
    <col min="15" max="15" width="8.6640625" style="14"/>
    <col min="16" max="16" width="9.08203125" style="14" customWidth="1"/>
    <col min="17" max="17" width="10.25" style="14" customWidth="1"/>
    <col min="18" max="18" width="8.6640625" style="14"/>
    <col min="19" max="19" width="9.58203125" style="14" customWidth="1"/>
    <col min="20" max="16384" width="8.6640625" style="14"/>
  </cols>
  <sheetData>
    <row r="1" spans="1:20" x14ac:dyDescent="0.3">
      <c r="A1" s="14" t="s">
        <v>138</v>
      </c>
      <c r="B1" s="14" t="s">
        <v>166</v>
      </c>
      <c r="C1" s="14" t="s">
        <v>163</v>
      </c>
      <c r="D1" s="14" t="s">
        <v>164</v>
      </c>
      <c r="E1" s="14" t="str">
        <f>'OER-data'!P2</f>
        <v>ΔG*OH</v>
      </c>
      <c r="F1" s="14" t="str">
        <f>'OER-data'!X2</f>
        <v>Overpotential.OER</v>
      </c>
      <c r="G1" s="14" t="s">
        <v>170</v>
      </c>
      <c r="H1" s="60" t="s">
        <v>158</v>
      </c>
      <c r="I1" s="60" t="s">
        <v>159</v>
      </c>
      <c r="J1" s="14" t="s">
        <v>160</v>
      </c>
      <c r="K1" s="14" t="s">
        <v>154</v>
      </c>
      <c r="L1" s="14" t="s">
        <v>169</v>
      </c>
      <c r="M1" s="14" t="s">
        <v>161</v>
      </c>
      <c r="N1" s="14" t="s">
        <v>178</v>
      </c>
      <c r="O1" s="14" t="s">
        <v>167</v>
      </c>
      <c r="P1" s="14" t="s">
        <v>178</v>
      </c>
      <c r="Q1" s="14" t="s">
        <v>178</v>
      </c>
      <c r="R1" s="14" t="s">
        <v>168</v>
      </c>
      <c r="S1" s="14" t="s">
        <v>178</v>
      </c>
      <c r="T1" s="14" t="s">
        <v>178</v>
      </c>
    </row>
    <row r="2" spans="1:20" x14ac:dyDescent="0.3">
      <c r="A2" s="14" t="str">
        <f>'OER-data'!C4</f>
        <v>FCC-Ni</v>
      </c>
      <c r="B2" s="14">
        <v>0</v>
      </c>
      <c r="C2" s="14">
        <v>-2.3462000000000001</v>
      </c>
      <c r="D2" s="14">
        <v>-1.1972</v>
      </c>
      <c r="E2" s="14">
        <f>'OER-data'!P4</f>
        <v>0.71970000000000001</v>
      </c>
      <c r="F2" s="14">
        <f>'OER-data'!X4</f>
        <v>1.7252999999999998</v>
      </c>
      <c r="G2" s="14">
        <v>0.44</v>
      </c>
      <c r="H2" s="14">
        <v>-0.38661000000000001</v>
      </c>
      <c r="I2" s="14">
        <v>-0.65605999999999998</v>
      </c>
      <c r="J2" s="14">
        <v>-2.2968999999999999</v>
      </c>
      <c r="K2" s="14">
        <v>-1.2867</v>
      </c>
      <c r="L2" s="14">
        <f>AVERAGE(J2,K2)</f>
        <v>-1.7917999999999998</v>
      </c>
      <c r="M2" s="14">
        <f>K2-J2</f>
        <v>1.0102</v>
      </c>
      <c r="N2" s="14">
        <v>0.86</v>
      </c>
      <c r="O2" s="14">
        <v>0.7</v>
      </c>
      <c r="P2" s="14">
        <f>ROUND(O2/N2,2)</f>
        <v>0.81</v>
      </c>
      <c r="Q2" s="14">
        <v>1.6240000000000001</v>
      </c>
      <c r="R2" s="14">
        <v>0.82899999999999996</v>
      </c>
      <c r="S2" s="14">
        <f>ROUND(R2/Q2,2)</f>
        <v>0.51</v>
      </c>
      <c r="T2" s="14">
        <f>ROUND(AVERAGE(P2,S2),2)</f>
        <v>0.66</v>
      </c>
    </row>
    <row r="3" spans="1:20" x14ac:dyDescent="0.3">
      <c r="A3" s="14" t="str">
        <f>'OER-data'!C5</f>
        <v>Fe0.25Ni0.75</v>
      </c>
      <c r="B3" s="14">
        <v>0.25</v>
      </c>
      <c r="C3" s="14">
        <v>-1.6785000000000001</v>
      </c>
      <c r="D3" s="14">
        <v>-0.98160000000000003</v>
      </c>
      <c r="E3" s="14">
        <f>'OER-data'!P5</f>
        <v>0.91720000000000002</v>
      </c>
      <c r="F3" s="14">
        <f>'OER-data'!X5</f>
        <v>1.7911000000000001</v>
      </c>
      <c r="G3" s="14">
        <v>0.34899999999999998</v>
      </c>
      <c r="H3" s="14">
        <v>-0.75417999999999996</v>
      </c>
      <c r="I3" s="14">
        <v>-1.21753</v>
      </c>
      <c r="J3" s="14">
        <v>-2.0348000000000002</v>
      </c>
      <c r="K3" s="14">
        <v>-1.2059</v>
      </c>
      <c r="L3" s="14">
        <f t="shared" ref="L3:L6" si="0">AVERAGE(J3,K3)</f>
        <v>-1.6203500000000002</v>
      </c>
      <c r="M3" s="14">
        <f t="shared" ref="M3" si="1">K3-J3</f>
        <v>0.82890000000000019</v>
      </c>
      <c r="N3" s="14">
        <v>1.29</v>
      </c>
      <c r="O3" s="14">
        <v>1.085</v>
      </c>
      <c r="P3" s="14">
        <f t="shared" ref="P3:P6" si="2">ROUND(O3/N3,2)</f>
        <v>0.84</v>
      </c>
      <c r="Q3" s="14">
        <v>1.23</v>
      </c>
      <c r="R3" s="14">
        <v>0.61499999999999999</v>
      </c>
      <c r="S3" s="14">
        <f>ROUND(R3/Q3,2)</f>
        <v>0.5</v>
      </c>
      <c r="T3" s="14">
        <f>ROUND(AVERAGE(P3,S3),2)</f>
        <v>0.67</v>
      </c>
    </row>
    <row r="4" spans="1:20" x14ac:dyDescent="0.3">
      <c r="A4" s="14" t="str">
        <f>'OER-data'!C6</f>
        <v>Fe0.5Ni0.5</v>
      </c>
      <c r="B4" s="14">
        <v>0.5</v>
      </c>
      <c r="C4" s="14">
        <v>-2.3690000000000002</v>
      </c>
      <c r="D4" s="14">
        <v>0.29139999999999999</v>
      </c>
      <c r="E4" s="14">
        <f>'OER-data'!P6</f>
        <v>0.73340000000000005</v>
      </c>
      <c r="F4" s="14">
        <f>'OER-data'!X6</f>
        <v>0.69010000000000016</v>
      </c>
      <c r="G4" s="14">
        <v>0.219</v>
      </c>
      <c r="H4" s="61">
        <v>-0.85965000000000003</v>
      </c>
      <c r="I4" s="61">
        <v>-1.21753</v>
      </c>
      <c r="J4" s="14">
        <v>-2.6078000000000001</v>
      </c>
      <c r="K4" s="62">
        <v>-0.16350000000000001</v>
      </c>
      <c r="L4" s="14">
        <f t="shared" si="0"/>
        <v>-1.38565</v>
      </c>
      <c r="M4" s="14">
        <f t="shared" ref="M4:M6" si="3">K4-J4</f>
        <v>2.4443000000000001</v>
      </c>
      <c r="N4" s="14">
        <v>1.5780000000000001</v>
      </c>
      <c r="O4" s="14">
        <v>1.3149999999999999</v>
      </c>
      <c r="P4" s="61">
        <f t="shared" si="2"/>
        <v>0.83</v>
      </c>
      <c r="Q4" s="14">
        <v>1.22</v>
      </c>
      <c r="R4" s="14">
        <v>0.189</v>
      </c>
      <c r="S4" s="61">
        <f>ROUND(R4/Q4,2)</f>
        <v>0.15</v>
      </c>
      <c r="T4" s="62">
        <f>ROUND(AVERAGE(P4,S4),2)</f>
        <v>0.49</v>
      </c>
    </row>
    <row r="5" spans="1:20" x14ac:dyDescent="0.3">
      <c r="A5" s="14" t="str">
        <f>'OER-data'!C7</f>
        <v>Fe0.75Ni0.25</v>
      </c>
      <c r="B5" s="14">
        <v>0.75</v>
      </c>
      <c r="C5" s="14">
        <v>-2.1368333333333331</v>
      </c>
      <c r="D5" s="14">
        <v>-0.78173333333333339</v>
      </c>
      <c r="E5" s="14">
        <f>'OER-data'!P7</f>
        <v>-0.57269999999999999</v>
      </c>
      <c r="F5" s="14">
        <f>'OER-data'!X7</f>
        <v>1.2938000000000001</v>
      </c>
      <c r="G5" s="14">
        <v>0.315</v>
      </c>
      <c r="H5" s="14">
        <f>AVERAGE(-0.49454,-0.34069,-0.36809)</f>
        <v>-0.40110666666666667</v>
      </c>
      <c r="I5" s="14">
        <f>AVERAGE(-1.01225,-0.5137,-0.53557)</f>
        <v>-0.68717333333333341</v>
      </c>
      <c r="J5" s="14">
        <f>AVERAGE( -2.3925,-2.083,-2.0012)</f>
        <v>-2.1589</v>
      </c>
      <c r="K5" s="14">
        <f>AVERAGE(0.0011,-1.3127,-1.264)</f>
        <v>-0.85853333333333326</v>
      </c>
      <c r="L5" s="14">
        <f t="shared" si="0"/>
        <v>-1.5087166666666667</v>
      </c>
      <c r="M5" s="14">
        <f t="shared" si="3"/>
        <v>1.3003666666666667</v>
      </c>
      <c r="N5" s="14">
        <v>0.86299999999999999</v>
      </c>
      <c r="O5" s="14">
        <v>0.68799999999999994</v>
      </c>
      <c r="P5" s="14">
        <f t="shared" si="2"/>
        <v>0.8</v>
      </c>
      <c r="Q5" s="14">
        <v>0.73899999999999999</v>
      </c>
      <c r="R5" s="14">
        <v>0.376</v>
      </c>
      <c r="S5" s="14">
        <f>ROUND(R5/Q5,2)</f>
        <v>0.51</v>
      </c>
      <c r="T5" s="14">
        <f>ROUND(AVERAGE(P5,S5),2)</f>
        <v>0.66</v>
      </c>
    </row>
    <row r="6" spans="1:20" x14ac:dyDescent="0.3">
      <c r="A6" s="14" t="str">
        <f>'OER-data'!C8</f>
        <v>BCC-Fe</v>
      </c>
      <c r="B6" s="14">
        <v>1</v>
      </c>
      <c r="C6" s="14">
        <v>-2.2452333333333332</v>
      </c>
      <c r="D6" s="14">
        <v>0.15810000000000002</v>
      </c>
      <c r="E6" s="14">
        <f>'OER-data'!P8</f>
        <v>-0.3014</v>
      </c>
      <c r="F6" s="60"/>
      <c r="G6" s="60">
        <v>0.49099999999999999</v>
      </c>
      <c r="H6" s="14">
        <f>AVERAGE(-0.41978,-0.4336,-0.4341)</f>
        <v>-0.42915999999999999</v>
      </c>
      <c r="I6" s="14">
        <f>AVERAGE(-0.77214,-0.65106,-0.65012)</f>
        <v>-0.69110666666666665</v>
      </c>
      <c r="J6" s="14">
        <f>AVERAGE(-2.3014,-2.1243,-2.1276)</f>
        <v>-2.1844333333333332</v>
      </c>
      <c r="K6" s="14">
        <f>AVERAGE(0.2209,-0.0066,-0.0136)</f>
        <v>6.6900000000000001E-2</v>
      </c>
      <c r="L6" s="14">
        <f t="shared" si="0"/>
        <v>-1.0587666666666666</v>
      </c>
      <c r="M6" s="14">
        <f t="shared" si="3"/>
        <v>2.2513333333333332</v>
      </c>
      <c r="N6" s="14">
        <v>0.88749999999999996</v>
      </c>
      <c r="O6" s="14">
        <v>0.66759999999999997</v>
      </c>
      <c r="P6" s="14">
        <f t="shared" si="2"/>
        <v>0.75</v>
      </c>
      <c r="Q6" s="14">
        <v>0.62</v>
      </c>
      <c r="R6" s="14">
        <v>0.32800000000000001</v>
      </c>
      <c r="S6" s="14">
        <f>ROUND(R6/Q6,2)</f>
        <v>0.53</v>
      </c>
      <c r="T6" s="14">
        <f>ROUND(AVERAGE(P6,S6),2)</f>
        <v>0.64</v>
      </c>
    </row>
    <row r="11" spans="1:20" x14ac:dyDescent="0.3">
      <c r="C11" s="6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EE7F-D2E3-4182-8BBE-D8C2CB8102B2}">
  <dimension ref="A1:H8"/>
  <sheetViews>
    <sheetView zoomScale="130" zoomScaleNormal="130" workbookViewId="0">
      <selection activeCell="H7" sqref="H7"/>
    </sheetView>
  </sheetViews>
  <sheetFormatPr defaultColWidth="8.6640625" defaultRowHeight="14" x14ac:dyDescent="0.3"/>
  <cols>
    <col min="1" max="1" width="11.1640625" style="14" customWidth="1"/>
    <col min="2" max="16384" width="8.6640625" style="14"/>
  </cols>
  <sheetData>
    <row r="1" spans="1:8" x14ac:dyDescent="0.3">
      <c r="A1" s="14" t="s">
        <v>138</v>
      </c>
      <c r="B1" s="14" t="s">
        <v>111</v>
      </c>
      <c r="C1" s="14" t="s">
        <v>150</v>
      </c>
      <c r="D1" s="14" t="s">
        <v>151</v>
      </c>
      <c r="E1" s="14" t="s">
        <v>148</v>
      </c>
      <c r="F1" s="14" t="s">
        <v>152</v>
      </c>
      <c r="G1" s="14" t="s">
        <v>147</v>
      </c>
      <c r="H1" s="14" t="s">
        <v>149</v>
      </c>
    </row>
    <row r="2" spans="1:8" x14ac:dyDescent="0.3">
      <c r="A2" s="14" t="s">
        <v>128</v>
      </c>
      <c r="B2" s="14">
        <v>0</v>
      </c>
      <c r="C2" s="14">
        <v>1</v>
      </c>
      <c r="D2" s="14">
        <f>C2/16</f>
        <v>6.25E-2</v>
      </c>
      <c r="E2" s="14">
        <v>-346.71341899999999</v>
      </c>
      <c r="F2" s="14">
        <v>-354.08607699999999</v>
      </c>
      <c r="G2" s="14">
        <v>7.8E-2</v>
      </c>
      <c r="H2" s="14">
        <f>(F2-E2+G2-C2*Constant!$G$2)/C2</f>
        <v>0.12534199999999984</v>
      </c>
    </row>
    <row r="3" spans="1:8" x14ac:dyDescent="0.3">
      <c r="C3" s="14">
        <v>4</v>
      </c>
      <c r="D3" s="14">
        <f t="shared" ref="D3:D6" si="0">C3/16</f>
        <v>0.25</v>
      </c>
      <c r="E3" s="14">
        <v>-346.71341899999999</v>
      </c>
      <c r="F3" s="14">
        <v>-376.24855100000002</v>
      </c>
      <c r="G3" s="56">
        <v>0.318</v>
      </c>
      <c r="H3" s="14">
        <f>(F3-E3+G3-C3*Constant!$G$2)/C3</f>
        <v>0.11571699999999296</v>
      </c>
    </row>
    <row r="4" spans="1:8" ht="12.75" customHeight="1" x14ac:dyDescent="0.3">
      <c r="A4" s="14" t="s">
        <v>126</v>
      </c>
      <c r="B4" s="14">
        <v>0.5</v>
      </c>
      <c r="C4" s="14">
        <v>1</v>
      </c>
      <c r="D4" s="14">
        <f t="shared" si="0"/>
        <v>6.25E-2</v>
      </c>
      <c r="E4" s="14">
        <v>-429.92510900000002</v>
      </c>
      <c r="F4" s="14">
        <v>-438.01844599999998</v>
      </c>
      <c r="G4" s="58">
        <v>7.8E-2</v>
      </c>
      <c r="H4" s="63">
        <f>(F4-E4+G4-C4*Constant!$G$2)/C4</f>
        <v>-0.59533699999996248</v>
      </c>
    </row>
    <row r="5" spans="1:8" ht="15.5" x14ac:dyDescent="0.3">
      <c r="A5" s="4"/>
      <c r="C5" s="14">
        <v>4</v>
      </c>
      <c r="D5" s="14">
        <f t="shared" si="0"/>
        <v>0.25</v>
      </c>
      <c r="E5" s="14">
        <v>-429.92510900000002</v>
      </c>
      <c r="F5" s="14">
        <v>-460.03199599999999</v>
      </c>
      <c r="G5" s="14">
        <v>0.3</v>
      </c>
      <c r="H5" s="57">
        <f>(F5-E5+G5-C5*Constant!$G$2)/C5</f>
        <v>-3.1721749999991999E-2</v>
      </c>
    </row>
    <row r="6" spans="1:8" x14ac:dyDescent="0.3">
      <c r="C6" s="14">
        <v>8</v>
      </c>
      <c r="D6" s="14">
        <f t="shared" si="0"/>
        <v>0.5</v>
      </c>
      <c r="E6" s="14">
        <v>-429.92510900000002</v>
      </c>
      <c r="F6" s="14">
        <v>-486.66341799999998</v>
      </c>
      <c r="G6" s="14">
        <v>0.66200000000000003</v>
      </c>
      <c r="H6" s="14">
        <f>(F6-E6+G6-C6*Constant!$G$2)/C6</f>
        <v>0.4104613750000059</v>
      </c>
    </row>
    <row r="8" spans="1:8" ht="15.5" x14ac:dyDescent="0.3">
      <c r="A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F1A8-B213-42AC-88AC-86EC2CFB62D4}">
  <dimension ref="A1:H97"/>
  <sheetViews>
    <sheetView zoomScale="110" zoomScaleNormal="110" workbookViewId="0">
      <selection activeCell="A4" sqref="A4"/>
    </sheetView>
  </sheetViews>
  <sheetFormatPr defaultColWidth="8.6640625" defaultRowHeight="15.5" x14ac:dyDescent="0.35"/>
  <cols>
    <col min="1" max="1" width="14.58203125" style="27" customWidth="1"/>
    <col min="2" max="2" width="12.1640625" style="27" customWidth="1"/>
    <col min="3" max="4" width="8.6640625" style="27"/>
    <col min="5" max="5" width="12.25" style="13" customWidth="1"/>
    <col min="6" max="6" width="8.6640625" style="11"/>
    <col min="7" max="7" width="8.6640625" style="27"/>
    <col min="8" max="8" width="9.08203125" style="27" bestFit="1" customWidth="1"/>
    <col min="9" max="16384" width="8.6640625" style="27"/>
  </cols>
  <sheetData>
    <row r="1" spans="1:8" x14ac:dyDescent="0.35">
      <c r="A1" s="27" t="s">
        <v>131</v>
      </c>
      <c r="B1" s="27" t="s">
        <v>75</v>
      </c>
      <c r="C1" s="27" t="s">
        <v>132</v>
      </c>
      <c r="D1" s="27" t="s">
        <v>135</v>
      </c>
      <c r="E1" s="13" t="s">
        <v>137</v>
      </c>
      <c r="F1" s="11" t="s">
        <v>136</v>
      </c>
      <c r="G1" s="54" t="s">
        <v>43</v>
      </c>
      <c r="H1" s="27" t="s">
        <v>67</v>
      </c>
    </row>
    <row r="2" spans="1:8" x14ac:dyDescent="0.35">
      <c r="A2" s="27" t="s">
        <v>133</v>
      </c>
      <c r="B2" s="27" t="s">
        <v>133</v>
      </c>
      <c r="C2" s="27" t="s">
        <v>130</v>
      </c>
      <c r="D2" s="28" t="s">
        <v>8</v>
      </c>
      <c r="E2" s="13">
        <v>-396.64417900000001</v>
      </c>
      <c r="F2" s="11">
        <f>E2-MIN($E$2:$E$33)</f>
        <v>0.17115200000000641</v>
      </c>
      <c r="G2" s="27">
        <f>E2-$A$3+0.078-(-7.42)</f>
        <v>3.5498999999968639E-2</v>
      </c>
      <c r="H2" s="27">
        <f>AVERAGE(G2:G17)</f>
        <v>-4.1164562500033419E-2</v>
      </c>
    </row>
    <row r="3" spans="1:8" x14ac:dyDescent="0.35">
      <c r="A3" s="27">
        <v>-389.18167799999998</v>
      </c>
      <c r="B3" s="27" t="s">
        <v>133</v>
      </c>
      <c r="C3" s="27" t="s">
        <v>130</v>
      </c>
      <c r="D3" s="28" t="s">
        <v>9</v>
      </c>
      <c r="E3" s="13">
        <v>-396.65074800000002</v>
      </c>
      <c r="F3" s="11">
        <f t="shared" ref="F3:F33" si="0">E3-MIN($E$2:$E$33)</f>
        <v>0.16458299999999326</v>
      </c>
      <c r="G3" s="27">
        <f t="shared" ref="G3:G33" si="1">E3-$A$3+0.078-(-7.42)</f>
        <v>2.8929999999955491E-2</v>
      </c>
    </row>
    <row r="4" spans="1:8" s="49" customFormat="1" x14ac:dyDescent="0.35">
      <c r="B4" s="27" t="s">
        <v>133</v>
      </c>
      <c r="C4" s="53" t="s">
        <v>130</v>
      </c>
      <c r="D4" s="55" t="s">
        <v>10</v>
      </c>
      <c r="E4" s="53">
        <v>-396.81022000000002</v>
      </c>
      <c r="F4" s="51">
        <f t="shared" si="0"/>
        <v>5.1109999999994216E-3</v>
      </c>
      <c r="G4" s="27">
        <f t="shared" si="1"/>
        <v>-0.13054200000003835</v>
      </c>
    </row>
    <row r="5" spans="1:8" x14ac:dyDescent="0.35">
      <c r="B5" s="27" t="s">
        <v>133</v>
      </c>
      <c r="C5" s="27" t="s">
        <v>130</v>
      </c>
      <c r="D5" s="28" t="s">
        <v>11</v>
      </c>
      <c r="E5" s="13">
        <v>-396.63393000000002</v>
      </c>
      <c r="F5" s="11">
        <f t="shared" si="0"/>
        <v>0.18140099999999393</v>
      </c>
      <c r="G5" s="27">
        <f t="shared" si="1"/>
        <v>4.5747999999956157E-2</v>
      </c>
    </row>
    <row r="6" spans="1:8" x14ac:dyDescent="0.35">
      <c r="B6" s="27" t="s">
        <v>133</v>
      </c>
      <c r="C6" s="27" t="s">
        <v>130</v>
      </c>
      <c r="D6" s="28" t="s">
        <v>12</v>
      </c>
      <c r="E6" s="13">
        <v>-396.812568</v>
      </c>
      <c r="F6" s="11">
        <f t="shared" si="0"/>
        <v>2.7630000000158361E-3</v>
      </c>
      <c r="G6" s="27">
        <f t="shared" si="1"/>
        <v>-0.13289000000002194</v>
      </c>
    </row>
    <row r="7" spans="1:8" s="49" customFormat="1" x14ac:dyDescent="0.35">
      <c r="B7" s="27" t="s">
        <v>133</v>
      </c>
      <c r="C7" s="53" t="s">
        <v>130</v>
      </c>
      <c r="D7" s="55" t="s">
        <v>13</v>
      </c>
      <c r="E7" s="53">
        <v>-396.81108699999999</v>
      </c>
      <c r="F7" s="51">
        <f t="shared" si="0"/>
        <v>4.2440000000283362E-3</v>
      </c>
      <c r="G7" s="27">
        <f t="shared" si="1"/>
        <v>-0.13140900000000943</v>
      </c>
    </row>
    <row r="8" spans="1:8" s="49" customFormat="1" x14ac:dyDescent="0.35">
      <c r="B8" s="27" t="s">
        <v>133</v>
      </c>
      <c r="C8" s="53" t="s">
        <v>130</v>
      </c>
      <c r="D8" s="55" t="s">
        <v>14</v>
      </c>
      <c r="E8" s="53">
        <v>-396.81533100000001</v>
      </c>
      <c r="F8" s="51">
        <f t="shared" si="0"/>
        <v>0</v>
      </c>
      <c r="G8" s="27">
        <f t="shared" si="1"/>
        <v>-0.13565300000003777</v>
      </c>
    </row>
    <row r="9" spans="1:8" x14ac:dyDescent="0.35">
      <c r="B9" s="27" t="s">
        <v>133</v>
      </c>
      <c r="C9" s="27" t="s">
        <v>130</v>
      </c>
      <c r="D9" s="28" t="s">
        <v>15</v>
      </c>
      <c r="E9" s="13">
        <v>-396.78847300000001</v>
      </c>
      <c r="F9" s="11">
        <f t="shared" si="0"/>
        <v>2.6858000000004267E-2</v>
      </c>
      <c r="G9" s="27">
        <f t="shared" si="1"/>
        <v>-0.1087950000000335</v>
      </c>
    </row>
    <row r="10" spans="1:8" x14ac:dyDescent="0.35">
      <c r="B10" s="27" t="s">
        <v>133</v>
      </c>
      <c r="C10" s="27" t="s">
        <v>130</v>
      </c>
      <c r="D10" s="28" t="s">
        <v>16</v>
      </c>
      <c r="E10" s="13">
        <v>-396.59286500000002</v>
      </c>
      <c r="F10" s="11">
        <f t="shared" si="0"/>
        <v>0.22246599999999717</v>
      </c>
      <c r="G10" s="27">
        <f t="shared" si="1"/>
        <v>8.6812999999959395E-2</v>
      </c>
    </row>
    <row r="11" spans="1:8" x14ac:dyDescent="0.35">
      <c r="B11" s="27" t="s">
        <v>133</v>
      </c>
      <c r="C11" s="27" t="s">
        <v>130</v>
      </c>
      <c r="D11" s="28" t="s">
        <v>61</v>
      </c>
      <c r="E11" s="13">
        <v>-396.77937700000001</v>
      </c>
      <c r="F11" s="11">
        <f t="shared" si="0"/>
        <v>3.5954000000003816E-2</v>
      </c>
      <c r="G11" s="27">
        <f t="shared" si="1"/>
        <v>-9.9699000000033955E-2</v>
      </c>
    </row>
    <row r="12" spans="1:8" x14ac:dyDescent="0.35">
      <c r="B12" s="27" t="s">
        <v>133</v>
      </c>
      <c r="C12" s="27" t="s">
        <v>130</v>
      </c>
      <c r="D12" s="28" t="s">
        <v>17</v>
      </c>
      <c r="E12" s="13">
        <v>-396.60072700000001</v>
      </c>
      <c r="F12" s="11">
        <f t="shared" si="0"/>
        <v>0.21460400000000845</v>
      </c>
      <c r="G12" s="27">
        <f t="shared" si="1"/>
        <v>7.8950999999970684E-2</v>
      </c>
    </row>
    <row r="13" spans="1:8" s="49" customFormat="1" x14ac:dyDescent="0.35">
      <c r="B13" s="27" t="s">
        <v>133</v>
      </c>
      <c r="C13" s="53" t="s">
        <v>130</v>
      </c>
      <c r="D13" s="55" t="s">
        <v>18</v>
      </c>
      <c r="E13" s="53">
        <v>-396.81495699999999</v>
      </c>
      <c r="F13" s="52">
        <f t="shared" si="0"/>
        <v>3.7400000002207889E-4</v>
      </c>
      <c r="G13" s="27">
        <f t="shared" si="1"/>
        <v>-0.13527900000001569</v>
      </c>
    </row>
    <row r="14" spans="1:8" x14ac:dyDescent="0.35">
      <c r="B14" s="27" t="s">
        <v>133</v>
      </c>
      <c r="C14" s="27" t="s">
        <v>130</v>
      </c>
      <c r="D14" s="28" t="s">
        <v>19</v>
      </c>
      <c r="E14" s="13">
        <v>-396.61927500000002</v>
      </c>
      <c r="F14" s="11">
        <f t="shared" si="0"/>
        <v>0.19605599999999868</v>
      </c>
      <c r="G14" s="27">
        <f t="shared" si="1"/>
        <v>6.0402999999960905E-2</v>
      </c>
    </row>
    <row r="15" spans="1:8" x14ac:dyDescent="0.35">
      <c r="B15" s="27" t="s">
        <v>133</v>
      </c>
      <c r="C15" s="27" t="s">
        <v>130</v>
      </c>
      <c r="D15" s="28" t="s">
        <v>20</v>
      </c>
      <c r="E15" s="13">
        <v>-396.74562600000002</v>
      </c>
      <c r="F15" s="11">
        <f t="shared" si="0"/>
        <v>6.9704999999999018E-2</v>
      </c>
      <c r="G15" s="27">
        <f t="shared" si="1"/>
        <v>-6.5948000000038753E-2</v>
      </c>
    </row>
    <row r="16" spans="1:8" x14ac:dyDescent="0.35">
      <c r="B16" s="27" t="s">
        <v>133</v>
      </c>
      <c r="C16" s="27" t="s">
        <v>130</v>
      </c>
      <c r="D16" s="28" t="s">
        <v>21</v>
      </c>
      <c r="E16" s="13">
        <v>-396.77843300000001</v>
      </c>
      <c r="F16" s="11">
        <f t="shared" si="0"/>
        <v>3.6898000000007869E-2</v>
      </c>
      <c r="G16" s="27">
        <f t="shared" si="1"/>
        <v>-9.8755000000029902E-2</v>
      </c>
    </row>
    <row r="17" spans="2:8" x14ac:dyDescent="0.35">
      <c r="B17" s="27" t="s">
        <v>133</v>
      </c>
      <c r="C17" s="27" t="s">
        <v>130</v>
      </c>
      <c r="D17" s="28" t="s">
        <v>22</v>
      </c>
      <c r="E17" s="13">
        <v>-396.63568500000002</v>
      </c>
      <c r="F17" s="11">
        <f t="shared" si="0"/>
        <v>0.17964599999999109</v>
      </c>
      <c r="G17" s="27">
        <f t="shared" si="1"/>
        <v>4.3992999999953319E-2</v>
      </c>
    </row>
    <row r="18" spans="2:8" x14ac:dyDescent="0.35">
      <c r="B18" s="27" t="s">
        <v>133</v>
      </c>
      <c r="C18" s="27" t="s">
        <v>129</v>
      </c>
      <c r="D18" s="28" t="s">
        <v>8</v>
      </c>
      <c r="E18" s="13">
        <v>-396.70307600000001</v>
      </c>
      <c r="F18" s="11">
        <f t="shared" si="0"/>
        <v>0.11225500000000466</v>
      </c>
      <c r="G18" s="27">
        <f t="shared" si="1"/>
        <v>-2.3398000000033115E-2</v>
      </c>
      <c r="H18" s="27">
        <f>AVERAGE(G18:G33)</f>
        <v>3.7916187499969389E-2</v>
      </c>
    </row>
    <row r="19" spans="2:8" x14ac:dyDescent="0.35">
      <c r="B19" s="27" t="s">
        <v>133</v>
      </c>
      <c r="C19" s="27" t="s">
        <v>129</v>
      </c>
      <c r="D19" s="28" t="s">
        <v>9</v>
      </c>
      <c r="E19" s="13">
        <v>-396.49332800000002</v>
      </c>
      <c r="F19" s="11">
        <f t="shared" si="0"/>
        <v>0.32200299999999515</v>
      </c>
      <c r="G19" s="27">
        <f t="shared" si="1"/>
        <v>0.18634999999995738</v>
      </c>
    </row>
    <row r="20" spans="2:8" x14ac:dyDescent="0.35">
      <c r="B20" s="27" t="s">
        <v>133</v>
      </c>
      <c r="C20" s="27" t="s">
        <v>129</v>
      </c>
      <c r="D20" s="28" t="s">
        <v>10</v>
      </c>
      <c r="E20" s="13">
        <v>-396.76946700000002</v>
      </c>
      <c r="F20" s="11">
        <f t="shared" si="0"/>
        <v>4.5863999999994576E-2</v>
      </c>
      <c r="G20" s="27">
        <f t="shared" si="1"/>
        <v>-8.9789000000043195E-2</v>
      </c>
    </row>
    <row r="21" spans="2:8" x14ac:dyDescent="0.35">
      <c r="B21" s="27" t="s">
        <v>133</v>
      </c>
      <c r="C21" s="27" t="s">
        <v>129</v>
      </c>
      <c r="D21" s="28" t="s">
        <v>11</v>
      </c>
      <c r="E21" s="13">
        <v>-396.48418099999998</v>
      </c>
      <c r="F21" s="11">
        <f t="shared" si="0"/>
        <v>0.33115000000003647</v>
      </c>
      <c r="G21" s="27">
        <f t="shared" si="1"/>
        <v>0.1954969999999987</v>
      </c>
    </row>
    <row r="22" spans="2:8" x14ac:dyDescent="0.35">
      <c r="B22" s="27" t="s">
        <v>133</v>
      </c>
      <c r="C22" s="27" t="s">
        <v>129</v>
      </c>
      <c r="D22" s="28" t="s">
        <v>12</v>
      </c>
      <c r="E22" s="13">
        <v>-396.73158599999999</v>
      </c>
      <c r="F22" s="11">
        <f t="shared" si="0"/>
        <v>8.3745000000021719E-2</v>
      </c>
      <c r="G22" s="27">
        <f t="shared" si="1"/>
        <v>-5.1908000000016052E-2</v>
      </c>
    </row>
    <row r="23" spans="2:8" x14ac:dyDescent="0.35">
      <c r="B23" s="27" t="s">
        <v>133</v>
      </c>
      <c r="C23" s="27" t="s">
        <v>129</v>
      </c>
      <c r="D23" s="28" t="s">
        <v>13</v>
      </c>
      <c r="E23" s="13">
        <v>-396.74193700000001</v>
      </c>
      <c r="F23" s="11">
        <f t="shared" si="0"/>
        <v>7.3394000000007509E-2</v>
      </c>
      <c r="G23" s="27">
        <f t="shared" si="1"/>
        <v>-6.2259000000030262E-2</v>
      </c>
    </row>
    <row r="24" spans="2:8" x14ac:dyDescent="0.35">
      <c r="B24" s="27" t="s">
        <v>133</v>
      </c>
      <c r="C24" s="27" t="s">
        <v>129</v>
      </c>
      <c r="D24" s="28" t="s">
        <v>14</v>
      </c>
      <c r="E24" s="13">
        <v>-396.75897900000001</v>
      </c>
      <c r="F24" s="11">
        <f t="shared" si="0"/>
        <v>5.6352000000003954E-2</v>
      </c>
      <c r="G24" s="27">
        <f t="shared" si="1"/>
        <v>-7.9301000000033817E-2</v>
      </c>
    </row>
    <row r="25" spans="2:8" x14ac:dyDescent="0.35">
      <c r="B25" s="27" t="s">
        <v>133</v>
      </c>
      <c r="C25" s="27" t="s">
        <v>129</v>
      </c>
      <c r="D25" s="28" t="s">
        <v>15</v>
      </c>
      <c r="E25" s="13">
        <v>-396.74318199999999</v>
      </c>
      <c r="F25" s="11">
        <f t="shared" si="0"/>
        <v>7.2149000000024444E-2</v>
      </c>
      <c r="G25" s="27">
        <f t="shared" si="1"/>
        <v>-6.3504000000013328E-2</v>
      </c>
    </row>
    <row r="26" spans="2:8" x14ac:dyDescent="0.35">
      <c r="B26" s="27" t="s">
        <v>133</v>
      </c>
      <c r="C26" s="27" t="s">
        <v>129</v>
      </c>
      <c r="D26" s="28" t="s">
        <v>16</v>
      </c>
      <c r="E26" s="13">
        <v>-396.525015</v>
      </c>
      <c r="F26" s="11">
        <f t="shared" si="0"/>
        <v>0.29031600000001845</v>
      </c>
      <c r="G26" s="27">
        <f t="shared" si="1"/>
        <v>0.15466299999998068</v>
      </c>
    </row>
    <row r="27" spans="2:8" x14ac:dyDescent="0.35">
      <c r="B27" s="27" t="s">
        <v>133</v>
      </c>
      <c r="C27" s="27" t="s">
        <v>129</v>
      </c>
      <c r="D27" s="28" t="s">
        <v>61</v>
      </c>
      <c r="E27" s="13">
        <v>-396.65613100000002</v>
      </c>
      <c r="F27" s="11">
        <f t="shared" si="0"/>
        <v>0.15919999999999845</v>
      </c>
      <c r="G27" s="27">
        <f t="shared" si="1"/>
        <v>2.3546999999960683E-2</v>
      </c>
    </row>
    <row r="28" spans="2:8" x14ac:dyDescent="0.35">
      <c r="B28" s="27" t="s">
        <v>133</v>
      </c>
      <c r="C28" s="27" t="s">
        <v>129</v>
      </c>
      <c r="D28" s="28" t="s">
        <v>17</v>
      </c>
      <c r="E28" s="13">
        <v>-396.53887200000003</v>
      </c>
      <c r="F28" s="11">
        <f t="shared" si="0"/>
        <v>0.27645899999998846</v>
      </c>
      <c r="G28" s="27">
        <f t="shared" si="1"/>
        <v>0.14080599999995069</v>
      </c>
    </row>
    <row r="29" spans="2:8" x14ac:dyDescent="0.35">
      <c r="B29" s="27" t="s">
        <v>133</v>
      </c>
      <c r="C29" s="27" t="s">
        <v>129</v>
      </c>
      <c r="D29" s="28" t="s">
        <v>18</v>
      </c>
      <c r="E29" s="13">
        <v>-396.55539900000002</v>
      </c>
      <c r="F29" s="11">
        <f t="shared" si="0"/>
        <v>0.25993199999999206</v>
      </c>
      <c r="G29" s="27">
        <f t="shared" si="1"/>
        <v>0.12427899999995429</v>
      </c>
    </row>
    <row r="30" spans="2:8" x14ac:dyDescent="0.35">
      <c r="B30" s="27" t="s">
        <v>133</v>
      </c>
      <c r="C30" s="27" t="s">
        <v>129</v>
      </c>
      <c r="D30" s="28" t="s">
        <v>19</v>
      </c>
      <c r="E30" s="13">
        <v>-396.52977900000002</v>
      </c>
      <c r="F30" s="11">
        <f t="shared" si="0"/>
        <v>0.28555199999999559</v>
      </c>
      <c r="G30" s="27">
        <f t="shared" si="1"/>
        <v>0.14989899999995782</v>
      </c>
    </row>
    <row r="31" spans="2:8" x14ac:dyDescent="0.35">
      <c r="B31" s="27" t="s">
        <v>133</v>
      </c>
      <c r="C31" s="27" t="s">
        <v>129</v>
      </c>
      <c r="D31" s="28" t="s">
        <v>20</v>
      </c>
      <c r="E31" s="13">
        <v>-396.7473</v>
      </c>
      <c r="F31" s="11">
        <f t="shared" si="0"/>
        <v>6.8031000000019048E-2</v>
      </c>
      <c r="G31" s="27">
        <f t="shared" si="1"/>
        <v>-6.7622000000018723E-2</v>
      </c>
    </row>
    <row r="32" spans="2:8" x14ac:dyDescent="0.35">
      <c r="B32" s="27" t="s">
        <v>133</v>
      </c>
      <c r="C32" s="27" t="s">
        <v>129</v>
      </c>
      <c r="D32" s="28" t="s">
        <v>21</v>
      </c>
      <c r="E32" s="13">
        <v>-396.74645700000002</v>
      </c>
      <c r="F32" s="11">
        <f t="shared" si="0"/>
        <v>6.8873999999993885E-2</v>
      </c>
      <c r="G32" s="27">
        <f t="shared" si="1"/>
        <v>-6.6779000000043887E-2</v>
      </c>
    </row>
    <row r="33" spans="1:8" x14ac:dyDescent="0.35">
      <c r="B33" s="27" t="s">
        <v>133</v>
      </c>
      <c r="C33" s="27" t="s">
        <v>129</v>
      </c>
      <c r="D33" s="28" t="s">
        <v>22</v>
      </c>
      <c r="E33" s="13">
        <v>-396.54349999999999</v>
      </c>
      <c r="F33" s="11">
        <f t="shared" si="0"/>
        <v>0.27183100000002014</v>
      </c>
      <c r="G33" s="27">
        <f t="shared" si="1"/>
        <v>0.13617799999998237</v>
      </c>
    </row>
    <row r="34" spans="1:8" x14ac:dyDescent="0.35">
      <c r="A34" s="27" t="s">
        <v>126</v>
      </c>
      <c r="B34" s="27" t="s">
        <v>126</v>
      </c>
      <c r="C34" s="27" t="s">
        <v>130</v>
      </c>
      <c r="D34" s="28" t="s">
        <v>8</v>
      </c>
      <c r="E34" s="13">
        <v>-437.89000800000002</v>
      </c>
      <c r="F34" s="11">
        <f t="shared" ref="F34:F65" si="2">E34-MIN($E$34:$E$65)</f>
        <v>0.12843799999996008</v>
      </c>
      <c r="G34" s="27">
        <f>E34-$A$35+0.078-(-7.42)</f>
        <v>-0.4668990000000024</v>
      </c>
      <c r="H34" s="27">
        <f>AVERAGE(G34:G49)</f>
        <v>-0.19621499999997827</v>
      </c>
    </row>
    <row r="35" spans="1:8" x14ac:dyDescent="0.35">
      <c r="A35" s="27">
        <v>-429.92510900000002</v>
      </c>
      <c r="B35" s="27" t="s">
        <v>126</v>
      </c>
      <c r="C35" s="27" t="s">
        <v>130</v>
      </c>
      <c r="D35" s="28" t="s">
        <v>9</v>
      </c>
      <c r="E35" s="13">
        <v>-437.49926799999997</v>
      </c>
      <c r="F35" s="11">
        <f t="shared" si="2"/>
        <v>0.5191780000000108</v>
      </c>
      <c r="G35" s="27">
        <f t="shared" ref="G35:G65" si="3">E35-$A$35+0.078-(-7.42)</f>
        <v>-7.6158999999951682E-2</v>
      </c>
    </row>
    <row r="36" spans="1:8" s="13" customFormat="1" x14ac:dyDescent="0.35">
      <c r="B36" s="27" t="s">
        <v>126</v>
      </c>
      <c r="C36" s="13" t="s">
        <v>130</v>
      </c>
      <c r="D36" s="50" t="s">
        <v>10</v>
      </c>
      <c r="E36" s="13">
        <v>-437.26904300000001</v>
      </c>
      <c r="F36" s="11">
        <f t="shared" si="2"/>
        <v>0.74940299999997251</v>
      </c>
      <c r="G36" s="27">
        <f t="shared" si="3"/>
        <v>0.15406600000001003</v>
      </c>
    </row>
    <row r="37" spans="1:8" x14ac:dyDescent="0.35">
      <c r="B37" s="27" t="s">
        <v>126</v>
      </c>
      <c r="C37" s="27" t="s">
        <v>130</v>
      </c>
      <c r="D37" s="28" t="s">
        <v>11</v>
      </c>
      <c r="E37" s="13">
        <v>-437.876081</v>
      </c>
      <c r="F37" s="11">
        <f t="shared" si="2"/>
        <v>0.14236499999998387</v>
      </c>
      <c r="G37" s="27">
        <f t="shared" si="3"/>
        <v>-0.45297199999997861</v>
      </c>
    </row>
    <row r="38" spans="1:8" x14ac:dyDescent="0.35">
      <c r="B38" s="27" t="s">
        <v>126</v>
      </c>
      <c r="C38" s="27" t="s">
        <v>130</v>
      </c>
      <c r="D38" s="28" t="s">
        <v>12</v>
      </c>
      <c r="E38" s="13">
        <v>-437.932345</v>
      </c>
      <c r="F38" s="11">
        <f t="shared" si="2"/>
        <v>8.6100999999985106E-2</v>
      </c>
      <c r="G38" s="27">
        <f t="shared" si="3"/>
        <v>-0.50923599999997737</v>
      </c>
    </row>
    <row r="39" spans="1:8" x14ac:dyDescent="0.35">
      <c r="B39" s="27" t="s">
        <v>126</v>
      </c>
      <c r="C39" s="27" t="s">
        <v>130</v>
      </c>
      <c r="D39" s="28" t="s">
        <v>13</v>
      </c>
      <c r="E39" s="13">
        <v>-437.879278</v>
      </c>
      <c r="F39" s="11">
        <f t="shared" si="2"/>
        <v>0.13916799999998375</v>
      </c>
      <c r="G39" s="27">
        <f t="shared" si="3"/>
        <v>-0.45616899999997873</v>
      </c>
    </row>
    <row r="40" spans="1:8" x14ac:dyDescent="0.35">
      <c r="B40" s="27" t="s">
        <v>126</v>
      </c>
      <c r="C40" s="27" t="s">
        <v>130</v>
      </c>
      <c r="D40" s="28" t="s">
        <v>14</v>
      </c>
      <c r="E40" s="13">
        <v>-437.48472199999998</v>
      </c>
      <c r="F40" s="11">
        <f t="shared" si="2"/>
        <v>0.53372400000000653</v>
      </c>
      <c r="G40" s="27">
        <f t="shared" si="3"/>
        <v>-6.1612999999955953E-2</v>
      </c>
    </row>
    <row r="41" spans="1:8" x14ac:dyDescent="0.35">
      <c r="B41" s="27" t="s">
        <v>126</v>
      </c>
      <c r="C41" s="27" t="s">
        <v>130</v>
      </c>
      <c r="D41" s="28" t="s">
        <v>15</v>
      </c>
      <c r="E41" s="13">
        <v>-437.03509500000001</v>
      </c>
      <c r="F41" s="11">
        <f t="shared" si="2"/>
        <v>0.98335099999997055</v>
      </c>
      <c r="G41" s="27">
        <f t="shared" si="3"/>
        <v>0.38801400000000807</v>
      </c>
    </row>
    <row r="42" spans="1:8" x14ac:dyDescent="0.35">
      <c r="B42" s="27" t="s">
        <v>126</v>
      </c>
      <c r="C42" s="27" t="s">
        <v>130</v>
      </c>
      <c r="D42" s="28" t="s">
        <v>16</v>
      </c>
      <c r="E42" s="13">
        <v>-437.55197299999998</v>
      </c>
      <c r="F42" s="11">
        <f t="shared" si="2"/>
        <v>0.46647300000000769</v>
      </c>
      <c r="G42" s="27">
        <f t="shared" si="3"/>
        <v>-0.12886399999995479</v>
      </c>
    </row>
    <row r="43" spans="1:8" x14ac:dyDescent="0.35">
      <c r="B43" s="27" t="s">
        <v>126</v>
      </c>
      <c r="C43" s="27" t="s">
        <v>130</v>
      </c>
      <c r="D43" s="28" t="s">
        <v>61</v>
      </c>
      <c r="E43" s="13">
        <v>-437.90364299999999</v>
      </c>
      <c r="F43" s="11">
        <f t="shared" si="2"/>
        <v>0.11480299999999488</v>
      </c>
      <c r="G43" s="27">
        <f t="shared" si="3"/>
        <v>-0.4805339999999676</v>
      </c>
    </row>
    <row r="44" spans="1:8" x14ac:dyDescent="0.35">
      <c r="B44" s="27" t="s">
        <v>126</v>
      </c>
      <c r="C44" s="27" t="s">
        <v>130</v>
      </c>
      <c r="D44" s="28" t="s">
        <v>17</v>
      </c>
      <c r="E44" s="13">
        <v>-437.55673300000001</v>
      </c>
      <c r="F44" s="11">
        <f t="shared" si="2"/>
        <v>0.46171299999997473</v>
      </c>
      <c r="G44" s="27">
        <f t="shared" si="3"/>
        <v>-0.13362399999998775</v>
      </c>
    </row>
    <row r="45" spans="1:8" x14ac:dyDescent="0.35">
      <c r="B45" s="27" t="s">
        <v>126</v>
      </c>
      <c r="C45" s="27" t="s">
        <v>130</v>
      </c>
      <c r="D45" s="28" t="s">
        <v>18</v>
      </c>
      <c r="E45" s="13">
        <v>-437.81732</v>
      </c>
      <c r="F45" s="11">
        <f t="shared" si="2"/>
        <v>0.20112599999998793</v>
      </c>
      <c r="G45" s="27">
        <f t="shared" si="3"/>
        <v>-0.39421099999997455</v>
      </c>
    </row>
    <row r="46" spans="1:8" x14ac:dyDescent="0.35">
      <c r="B46" s="27" t="s">
        <v>126</v>
      </c>
      <c r="C46" s="27" t="s">
        <v>130</v>
      </c>
      <c r="D46" s="28" t="s">
        <v>19</v>
      </c>
      <c r="E46" s="13">
        <v>-437.234148</v>
      </c>
      <c r="F46" s="11">
        <f t="shared" si="2"/>
        <v>0.7842979999999784</v>
      </c>
      <c r="G46" s="27">
        <f t="shared" si="3"/>
        <v>0.18896100000001592</v>
      </c>
    </row>
    <row r="47" spans="1:8" x14ac:dyDescent="0.35">
      <c r="B47" s="27" t="s">
        <v>126</v>
      </c>
      <c r="C47" s="27" t="s">
        <v>130</v>
      </c>
      <c r="D47" s="28" t="s">
        <v>20</v>
      </c>
      <c r="E47" s="13">
        <v>-437.57308499999999</v>
      </c>
      <c r="F47" s="11">
        <f t="shared" si="2"/>
        <v>0.44536099999999124</v>
      </c>
      <c r="G47" s="27">
        <f t="shared" si="3"/>
        <v>-0.14997599999997124</v>
      </c>
    </row>
    <row r="48" spans="1:8" x14ac:dyDescent="0.35">
      <c r="B48" s="27" t="s">
        <v>126</v>
      </c>
      <c r="C48" s="27" t="s">
        <v>130</v>
      </c>
      <c r="D48" s="28" t="s">
        <v>21</v>
      </c>
      <c r="E48" s="13">
        <v>-437.535707</v>
      </c>
      <c r="F48" s="11">
        <f t="shared" si="2"/>
        <v>0.48273899999998093</v>
      </c>
      <c r="G48" s="27">
        <f t="shared" si="3"/>
        <v>-0.11259799999998155</v>
      </c>
    </row>
    <row r="49" spans="2:8" x14ac:dyDescent="0.35">
      <c r="B49" s="27" t="s">
        <v>126</v>
      </c>
      <c r="C49" s="27" t="s">
        <v>130</v>
      </c>
      <c r="D49" s="28" t="s">
        <v>22</v>
      </c>
      <c r="E49" s="13">
        <v>-437.87073500000002</v>
      </c>
      <c r="F49" s="11">
        <f t="shared" si="2"/>
        <v>0.1477109999999584</v>
      </c>
      <c r="G49" s="27">
        <f t="shared" si="3"/>
        <v>-0.44762600000000408</v>
      </c>
    </row>
    <row r="50" spans="2:8" s="49" customFormat="1" x14ac:dyDescent="0.35">
      <c r="B50" s="27" t="s">
        <v>126</v>
      </c>
      <c r="C50" s="53" t="s">
        <v>129</v>
      </c>
      <c r="D50" s="55" t="s">
        <v>8</v>
      </c>
      <c r="E50" s="53">
        <v>-438.01844599999998</v>
      </c>
      <c r="F50" s="51">
        <f t="shared" si="2"/>
        <v>0</v>
      </c>
      <c r="G50" s="27">
        <f t="shared" si="3"/>
        <v>-0.59533699999996337</v>
      </c>
      <c r="H50" s="27">
        <f>AVERAGE(G50:G65)</f>
        <v>-0.14595437499998548</v>
      </c>
    </row>
    <row r="51" spans="2:8" x14ac:dyDescent="0.35">
      <c r="B51" s="27" t="s">
        <v>126</v>
      </c>
      <c r="C51" s="27" t="s">
        <v>129</v>
      </c>
      <c r="D51" s="28" t="s">
        <v>9</v>
      </c>
      <c r="E51" s="13">
        <v>-437.37587600000001</v>
      </c>
      <c r="F51" s="11">
        <f t="shared" si="2"/>
        <v>0.64256999999997788</v>
      </c>
      <c r="G51" s="27">
        <f t="shared" si="3"/>
        <v>4.7233000000015402E-2</v>
      </c>
    </row>
    <row r="52" spans="2:8" x14ac:dyDescent="0.35">
      <c r="B52" s="27" t="s">
        <v>126</v>
      </c>
      <c r="C52" s="27" t="s">
        <v>129</v>
      </c>
      <c r="D52" s="28" t="s">
        <v>10</v>
      </c>
      <c r="E52" s="13">
        <v>-437.547912</v>
      </c>
      <c r="F52" s="11">
        <f t="shared" si="2"/>
        <v>0.47053399999998646</v>
      </c>
      <c r="G52" s="27">
        <f t="shared" si="3"/>
        <v>-0.12480299999997602</v>
      </c>
    </row>
    <row r="53" spans="2:8" x14ac:dyDescent="0.35">
      <c r="B53" s="27" t="s">
        <v>126</v>
      </c>
      <c r="C53" s="27" t="s">
        <v>129</v>
      </c>
      <c r="D53" s="28" t="s">
        <v>11</v>
      </c>
      <c r="E53" s="13">
        <v>-437.45382000000001</v>
      </c>
      <c r="F53" s="11">
        <f t="shared" si="2"/>
        <v>0.56462599999997565</v>
      </c>
      <c r="G53" s="27">
        <f t="shared" si="3"/>
        <v>-3.0710999999986832E-2</v>
      </c>
    </row>
    <row r="54" spans="2:8" x14ac:dyDescent="0.35">
      <c r="B54" s="27" t="s">
        <v>126</v>
      </c>
      <c r="C54" s="27" t="s">
        <v>129</v>
      </c>
      <c r="D54" s="28" t="s">
        <v>12</v>
      </c>
      <c r="E54" s="13">
        <v>-437.79760700000003</v>
      </c>
      <c r="F54" s="11">
        <f t="shared" si="2"/>
        <v>0.22083899999995538</v>
      </c>
      <c r="G54" s="27">
        <f t="shared" si="3"/>
        <v>-0.3744980000000071</v>
      </c>
    </row>
    <row r="55" spans="2:8" x14ac:dyDescent="0.35">
      <c r="B55" s="27" t="s">
        <v>126</v>
      </c>
      <c r="C55" s="27" t="s">
        <v>129</v>
      </c>
      <c r="D55" s="28" t="s">
        <v>13</v>
      </c>
      <c r="E55" s="13">
        <v>-437.490002</v>
      </c>
      <c r="F55" s="11">
        <f t="shared" si="2"/>
        <v>0.52844399999997904</v>
      </c>
      <c r="G55" s="27">
        <f t="shared" si="3"/>
        <v>-6.6892999999983438E-2</v>
      </c>
    </row>
    <row r="56" spans="2:8" x14ac:dyDescent="0.35">
      <c r="B56" s="27" t="s">
        <v>126</v>
      </c>
      <c r="C56" s="27" t="s">
        <v>129</v>
      </c>
      <c r="D56" s="28" t="s">
        <v>14</v>
      </c>
      <c r="E56" s="13">
        <v>-437.74139500000001</v>
      </c>
      <c r="F56" s="11">
        <f t="shared" si="2"/>
        <v>0.27705099999997174</v>
      </c>
      <c r="G56" s="27">
        <f t="shared" si="3"/>
        <v>-0.31828599999999074</v>
      </c>
    </row>
    <row r="57" spans="2:8" x14ac:dyDescent="0.35">
      <c r="B57" s="27" t="s">
        <v>126</v>
      </c>
      <c r="C57" s="27" t="s">
        <v>129</v>
      </c>
      <c r="D57" s="28" t="s">
        <v>15</v>
      </c>
      <c r="E57" s="13">
        <v>-437.43684300000001</v>
      </c>
      <c r="F57" s="11">
        <f t="shared" si="2"/>
        <v>0.58160299999997278</v>
      </c>
      <c r="G57" s="27">
        <f t="shared" si="3"/>
        <v>-1.3733999999989699E-2</v>
      </c>
    </row>
    <row r="58" spans="2:8" x14ac:dyDescent="0.35">
      <c r="B58" s="27" t="s">
        <v>126</v>
      </c>
      <c r="C58" s="27" t="s">
        <v>129</v>
      </c>
      <c r="D58" s="28" t="s">
        <v>16</v>
      </c>
      <c r="E58" s="13">
        <v>-437.42938600000002</v>
      </c>
      <c r="F58" s="11">
        <f t="shared" si="2"/>
        <v>0.58905999999996084</v>
      </c>
      <c r="G58" s="27">
        <f t="shared" si="3"/>
        <v>-6.2770000000016424E-3</v>
      </c>
    </row>
    <row r="59" spans="2:8" x14ac:dyDescent="0.35">
      <c r="B59" s="27" t="s">
        <v>126</v>
      </c>
      <c r="C59" s="27" t="s">
        <v>129</v>
      </c>
      <c r="D59" s="28" t="s">
        <v>61</v>
      </c>
      <c r="E59" s="13">
        <v>-437.47477600000002</v>
      </c>
      <c r="F59" s="11">
        <f t="shared" si="2"/>
        <v>0.54366999999996324</v>
      </c>
      <c r="G59" s="27">
        <f t="shared" si="3"/>
        <v>-5.1666999999999241E-2</v>
      </c>
    </row>
    <row r="60" spans="2:8" x14ac:dyDescent="0.35">
      <c r="B60" s="27" t="s">
        <v>126</v>
      </c>
      <c r="C60" s="27" t="s">
        <v>129</v>
      </c>
      <c r="D60" s="28" t="s">
        <v>17</v>
      </c>
      <c r="E60" s="13">
        <v>-437.78573</v>
      </c>
      <c r="F60" s="11">
        <f t="shared" si="2"/>
        <v>0.23271599999998216</v>
      </c>
      <c r="G60" s="27">
        <f t="shared" si="3"/>
        <v>-0.36262099999998032</v>
      </c>
    </row>
    <row r="61" spans="2:8" x14ac:dyDescent="0.35">
      <c r="B61" s="27" t="s">
        <v>126</v>
      </c>
      <c r="C61" s="27" t="s">
        <v>129</v>
      </c>
      <c r="D61" s="28" t="s">
        <v>18</v>
      </c>
      <c r="E61" s="13">
        <v>-437.53887400000002</v>
      </c>
      <c r="F61" s="11">
        <f t="shared" si="2"/>
        <v>0.47957199999996192</v>
      </c>
      <c r="G61" s="27">
        <f t="shared" si="3"/>
        <v>-0.11576500000000056</v>
      </c>
    </row>
    <row r="62" spans="2:8" x14ac:dyDescent="0.35">
      <c r="B62" s="27" t="s">
        <v>126</v>
      </c>
      <c r="C62" s="27" t="s">
        <v>129</v>
      </c>
      <c r="D62" s="28" t="s">
        <v>19</v>
      </c>
      <c r="E62" s="13">
        <v>-437.506754</v>
      </c>
      <c r="F62" s="11">
        <f t="shared" si="2"/>
        <v>0.51169199999998227</v>
      </c>
      <c r="G62" s="27">
        <f t="shared" si="3"/>
        <v>-8.3644999999980207E-2</v>
      </c>
    </row>
    <row r="63" spans="2:8" x14ac:dyDescent="0.35">
      <c r="B63" s="27" t="s">
        <v>126</v>
      </c>
      <c r="C63" s="13" t="s">
        <v>129</v>
      </c>
      <c r="D63" s="50" t="s">
        <v>20</v>
      </c>
      <c r="E63" s="13">
        <v>-437.15311500000001</v>
      </c>
      <c r="F63" s="11">
        <f t="shared" si="2"/>
        <v>0.86533099999996921</v>
      </c>
      <c r="G63" s="27">
        <f t="shared" si="3"/>
        <v>0.26999400000000673</v>
      </c>
    </row>
    <row r="64" spans="2:8" x14ac:dyDescent="0.35">
      <c r="B64" s="27" t="s">
        <v>126</v>
      </c>
      <c r="C64" s="27" t="s">
        <v>129</v>
      </c>
      <c r="D64" s="28" t="s">
        <v>21</v>
      </c>
      <c r="E64" s="13">
        <v>-437.52425799999997</v>
      </c>
      <c r="F64" s="11">
        <f t="shared" si="2"/>
        <v>0.49418800000000829</v>
      </c>
      <c r="G64" s="27">
        <f t="shared" si="3"/>
        <v>-0.10114899999995419</v>
      </c>
    </row>
    <row r="65" spans="1:8" x14ac:dyDescent="0.35">
      <c r="B65" s="27" t="s">
        <v>126</v>
      </c>
      <c r="C65" s="27" t="s">
        <v>129</v>
      </c>
      <c r="D65" s="28" t="s">
        <v>22</v>
      </c>
      <c r="E65" s="13">
        <v>-437.83022</v>
      </c>
      <c r="F65" s="11">
        <f t="shared" si="2"/>
        <v>0.18822599999998602</v>
      </c>
      <c r="G65" s="27">
        <f t="shared" si="3"/>
        <v>-0.40711099999997646</v>
      </c>
    </row>
    <row r="66" spans="1:8" x14ac:dyDescent="0.35">
      <c r="A66" s="27" t="s">
        <v>134</v>
      </c>
      <c r="B66" s="27" t="s">
        <v>134</v>
      </c>
      <c r="C66" s="27" t="s">
        <v>130</v>
      </c>
      <c r="D66" s="28" t="s">
        <v>8</v>
      </c>
      <c r="E66" s="13">
        <v>-475.99989900000003</v>
      </c>
      <c r="F66" s="11">
        <f>E66-MIN($E$66:$E$97)</f>
        <v>1.2629849999999578</v>
      </c>
      <c r="G66" s="27">
        <f>E66-$A$67+0.078-(-7.42)</f>
        <v>0.99674099999999566</v>
      </c>
      <c r="H66" s="27">
        <f>AVERAGE(G66:G81)</f>
        <v>0.73975275000001828</v>
      </c>
    </row>
    <row r="67" spans="1:8" x14ac:dyDescent="0.35">
      <c r="A67" s="27">
        <v>-469.49864000000002</v>
      </c>
      <c r="B67" s="27" t="s">
        <v>134</v>
      </c>
      <c r="C67" s="27" t="s">
        <v>130</v>
      </c>
      <c r="D67" s="28" t="s">
        <v>9</v>
      </c>
      <c r="E67" s="13">
        <v>-476.19181400000002</v>
      </c>
      <c r="F67" s="11">
        <f t="shared" ref="F67:F97" si="4">E67-MIN($E$66:$E$97)</f>
        <v>1.0710699999999633</v>
      </c>
      <c r="G67" s="27">
        <f t="shared" ref="G67:G97" si="5">E67-$A$67+0.078-(-7.42)</f>
        <v>0.80482600000000115</v>
      </c>
    </row>
    <row r="68" spans="1:8" x14ac:dyDescent="0.35">
      <c r="B68" s="27" t="s">
        <v>134</v>
      </c>
      <c r="C68" s="13" t="s">
        <v>130</v>
      </c>
      <c r="D68" s="50" t="s">
        <v>10</v>
      </c>
      <c r="E68" s="13">
        <v>-474.83406100000002</v>
      </c>
      <c r="F68" s="11">
        <f t="shared" si="4"/>
        <v>2.4288229999999658</v>
      </c>
      <c r="G68" s="27">
        <f t="shared" si="5"/>
        <v>2.1625790000000036</v>
      </c>
    </row>
    <row r="69" spans="1:8" x14ac:dyDescent="0.35">
      <c r="B69" s="27" t="s">
        <v>134</v>
      </c>
      <c r="C69" s="27" t="s">
        <v>130</v>
      </c>
      <c r="D69" s="28" t="s">
        <v>11</v>
      </c>
      <c r="E69" s="13">
        <v>-475.70053000000001</v>
      </c>
      <c r="F69" s="11">
        <f t="shared" si="4"/>
        <v>1.5623539999999707</v>
      </c>
      <c r="G69" s="27">
        <f t="shared" si="5"/>
        <v>1.2961100000000085</v>
      </c>
    </row>
    <row r="70" spans="1:8" x14ac:dyDescent="0.35">
      <c r="B70" s="27" t="s">
        <v>134</v>
      </c>
      <c r="C70" s="27" t="s">
        <v>130</v>
      </c>
      <c r="D70" s="28" t="s">
        <v>12</v>
      </c>
      <c r="E70" s="13">
        <v>-476.29063300000001</v>
      </c>
      <c r="F70" s="11">
        <f t="shared" si="4"/>
        <v>0.97225099999997155</v>
      </c>
      <c r="G70" s="27">
        <f t="shared" si="5"/>
        <v>0.70600700000000938</v>
      </c>
    </row>
    <row r="71" spans="1:8" x14ac:dyDescent="0.35">
      <c r="B71" s="27" t="s">
        <v>134</v>
      </c>
      <c r="C71" s="27" t="s">
        <v>130</v>
      </c>
      <c r="D71" s="28" t="s">
        <v>13</v>
      </c>
      <c r="E71" s="13">
        <v>-476.19461999999999</v>
      </c>
      <c r="F71" s="11">
        <f t="shared" si="4"/>
        <v>1.0682639999999992</v>
      </c>
      <c r="G71" s="27">
        <f t="shared" si="5"/>
        <v>0.80202000000003704</v>
      </c>
    </row>
    <row r="72" spans="1:8" x14ac:dyDescent="0.35">
      <c r="B72" s="27" t="s">
        <v>134</v>
      </c>
      <c r="C72" s="27" t="s">
        <v>130</v>
      </c>
      <c r="D72" s="28" t="s">
        <v>14</v>
      </c>
      <c r="E72" s="13">
        <v>-476.61445600000002</v>
      </c>
      <c r="F72" s="11">
        <f t="shared" si="4"/>
        <v>0.64842799999996714</v>
      </c>
      <c r="G72" s="27">
        <f t="shared" si="5"/>
        <v>0.38218400000000496</v>
      </c>
    </row>
    <row r="73" spans="1:8" x14ac:dyDescent="0.35">
      <c r="B73" s="27" t="s">
        <v>134</v>
      </c>
      <c r="C73" s="27" t="s">
        <v>130</v>
      </c>
      <c r="D73" s="28" t="s">
        <v>15</v>
      </c>
      <c r="E73" s="13">
        <v>-476.12845499999997</v>
      </c>
      <c r="F73" s="11">
        <f t="shared" si="4"/>
        <v>1.1344290000000115</v>
      </c>
      <c r="G73" s="27">
        <f t="shared" si="5"/>
        <v>0.86818500000004928</v>
      </c>
    </row>
    <row r="74" spans="1:8" x14ac:dyDescent="0.35">
      <c r="B74" s="27" t="s">
        <v>134</v>
      </c>
      <c r="C74" s="27" t="s">
        <v>130</v>
      </c>
      <c r="D74" s="28" t="s">
        <v>16</v>
      </c>
      <c r="E74" s="13">
        <v>-476.501983</v>
      </c>
      <c r="F74" s="11">
        <f t="shared" si="4"/>
        <v>0.76090099999998984</v>
      </c>
      <c r="G74" s="27">
        <f t="shared" si="5"/>
        <v>0.49465700000002766</v>
      </c>
    </row>
    <row r="75" spans="1:8" x14ac:dyDescent="0.35">
      <c r="B75" s="27" t="s">
        <v>134</v>
      </c>
      <c r="C75" s="13" t="s">
        <v>130</v>
      </c>
      <c r="D75" s="50" t="s">
        <v>61</v>
      </c>
      <c r="E75" s="13">
        <v>-476.80741899999998</v>
      </c>
      <c r="F75" s="11">
        <f t="shared" si="4"/>
        <v>0.45546500000000378</v>
      </c>
      <c r="G75" s="27">
        <f t="shared" si="5"/>
        <v>0.18922100000004161</v>
      </c>
    </row>
    <row r="76" spans="1:8" x14ac:dyDescent="0.35">
      <c r="B76" s="27" t="s">
        <v>134</v>
      </c>
      <c r="C76" s="13" t="s">
        <v>130</v>
      </c>
      <c r="D76" s="50" t="s">
        <v>17</v>
      </c>
      <c r="E76" s="13">
        <v>-476.633039</v>
      </c>
      <c r="F76" s="11">
        <f t="shared" si="4"/>
        <v>0.62984499999998889</v>
      </c>
      <c r="G76" s="27">
        <f t="shared" si="5"/>
        <v>0.36360100000002671</v>
      </c>
    </row>
    <row r="77" spans="1:8" s="49" customFormat="1" x14ac:dyDescent="0.35">
      <c r="B77" s="27" t="s">
        <v>134</v>
      </c>
      <c r="C77" s="53" t="s">
        <v>130</v>
      </c>
      <c r="D77" s="55" t="s">
        <v>18</v>
      </c>
      <c r="E77" s="53">
        <v>-477.26288399999999</v>
      </c>
      <c r="F77" s="51">
        <f t="shared" si="4"/>
        <v>0</v>
      </c>
      <c r="G77" s="27">
        <f t="shared" si="5"/>
        <v>-0.26624399999996218</v>
      </c>
    </row>
    <row r="78" spans="1:8" x14ac:dyDescent="0.35">
      <c r="B78" s="27" t="s">
        <v>134</v>
      </c>
      <c r="C78" s="27" t="s">
        <v>130</v>
      </c>
      <c r="D78" s="28" t="s">
        <v>19</v>
      </c>
      <c r="E78" s="13">
        <v>-476.117571</v>
      </c>
      <c r="F78" s="11">
        <f t="shared" si="4"/>
        <v>1.1453129999999874</v>
      </c>
      <c r="G78" s="27">
        <f t="shared" si="5"/>
        <v>0.87906900000002519</v>
      </c>
    </row>
    <row r="79" spans="1:8" x14ac:dyDescent="0.35">
      <c r="B79" s="27" t="s">
        <v>134</v>
      </c>
      <c r="C79" s="27" t="s">
        <v>130</v>
      </c>
      <c r="D79" s="28" t="s">
        <v>20</v>
      </c>
      <c r="E79" s="13">
        <v>-475.27694000000002</v>
      </c>
      <c r="F79" s="11">
        <f t="shared" si="4"/>
        <v>1.9859439999999609</v>
      </c>
      <c r="G79" s="27">
        <f t="shared" si="5"/>
        <v>1.7196999999999987</v>
      </c>
    </row>
    <row r="80" spans="1:8" x14ac:dyDescent="0.35">
      <c r="B80" s="27" t="s">
        <v>134</v>
      </c>
      <c r="C80" s="27" t="s">
        <v>130</v>
      </c>
      <c r="D80" s="28" t="s">
        <v>21</v>
      </c>
      <c r="E80" s="13">
        <v>-476.578192</v>
      </c>
      <c r="F80" s="11">
        <f t="shared" si="4"/>
        <v>0.68469199999998409</v>
      </c>
      <c r="G80" s="27">
        <f t="shared" si="5"/>
        <v>0.41844800000002191</v>
      </c>
    </row>
    <row r="81" spans="2:8" x14ac:dyDescent="0.35">
      <c r="B81" s="27" t="s">
        <v>134</v>
      </c>
      <c r="C81" s="27" t="s">
        <v>130</v>
      </c>
      <c r="D81" s="28" t="s">
        <v>22</v>
      </c>
      <c r="E81" s="13">
        <v>-476.97770000000003</v>
      </c>
      <c r="F81" s="11">
        <f t="shared" si="4"/>
        <v>0.28518399999995836</v>
      </c>
      <c r="G81" s="27">
        <f t="shared" si="5"/>
        <v>1.8939999999996182E-2</v>
      </c>
    </row>
    <row r="82" spans="2:8" x14ac:dyDescent="0.35">
      <c r="B82" s="27" t="s">
        <v>134</v>
      </c>
      <c r="C82" s="27" t="s">
        <v>129</v>
      </c>
      <c r="D82" s="28" t="s">
        <v>8</v>
      </c>
      <c r="E82" s="13">
        <v>-475.61771399999998</v>
      </c>
      <c r="F82" s="11">
        <f t="shared" si="4"/>
        <v>1.6451700000000073</v>
      </c>
      <c r="G82" s="27">
        <f t="shared" si="5"/>
        <v>1.3789260000000452</v>
      </c>
      <c r="H82" s="27">
        <f>AVERAGE(G82:G97)</f>
        <v>1.1680178750000283</v>
      </c>
    </row>
    <row r="83" spans="2:8" x14ac:dyDescent="0.35">
      <c r="B83" s="27" t="s">
        <v>134</v>
      </c>
      <c r="C83" s="27" t="s">
        <v>129</v>
      </c>
      <c r="D83" s="28" t="s">
        <v>9</v>
      </c>
      <c r="E83" s="13">
        <v>-475.657555</v>
      </c>
      <c r="F83" s="11">
        <f t="shared" si="4"/>
        <v>1.6053289999999834</v>
      </c>
      <c r="G83" s="27">
        <f t="shared" si="5"/>
        <v>1.3390850000000212</v>
      </c>
    </row>
    <row r="84" spans="2:8" x14ac:dyDescent="0.35">
      <c r="B84" s="27" t="s">
        <v>134</v>
      </c>
      <c r="C84" s="27" t="s">
        <v>129</v>
      </c>
      <c r="D84" s="28" t="s">
        <v>10</v>
      </c>
      <c r="E84" s="13">
        <v>-474.87674199999998</v>
      </c>
      <c r="F84" s="11">
        <f t="shared" si="4"/>
        <v>2.3861420000000066</v>
      </c>
      <c r="G84" s="27">
        <f t="shared" si="5"/>
        <v>2.1198980000000445</v>
      </c>
    </row>
    <row r="85" spans="2:8" x14ac:dyDescent="0.35">
      <c r="B85" s="27" t="s">
        <v>134</v>
      </c>
      <c r="C85" s="27" t="s">
        <v>129</v>
      </c>
      <c r="D85" s="28" t="s">
        <v>11</v>
      </c>
      <c r="E85" s="13">
        <v>-474.75581599999998</v>
      </c>
      <c r="F85" s="11">
        <f t="shared" si="4"/>
        <v>2.5070680000000038</v>
      </c>
      <c r="G85" s="27">
        <f t="shared" si="5"/>
        <v>2.2408240000000417</v>
      </c>
    </row>
    <row r="86" spans="2:8" x14ac:dyDescent="0.35">
      <c r="B86" s="27" t="s">
        <v>134</v>
      </c>
      <c r="C86" s="27" t="s">
        <v>129</v>
      </c>
      <c r="D86" s="28" t="s">
        <v>12</v>
      </c>
      <c r="E86" s="13">
        <v>-476.64624900000001</v>
      </c>
      <c r="F86" s="11">
        <f t="shared" si="4"/>
        <v>0.61663499999997384</v>
      </c>
      <c r="G86" s="27">
        <f t="shared" si="5"/>
        <v>0.35039100000001167</v>
      </c>
    </row>
    <row r="87" spans="2:8" x14ac:dyDescent="0.35">
      <c r="B87" s="27" t="s">
        <v>134</v>
      </c>
      <c r="C87" s="27" t="s">
        <v>129</v>
      </c>
      <c r="D87" s="28" t="s">
        <v>13</v>
      </c>
      <c r="E87" s="13">
        <v>-475.82319799999999</v>
      </c>
      <c r="F87" s="11">
        <f t="shared" si="4"/>
        <v>1.4396859999999947</v>
      </c>
      <c r="G87" s="27">
        <f t="shared" si="5"/>
        <v>1.1734420000000325</v>
      </c>
    </row>
    <row r="88" spans="2:8" x14ac:dyDescent="0.35">
      <c r="B88" s="27" t="s">
        <v>134</v>
      </c>
      <c r="C88" s="27" t="s">
        <v>129</v>
      </c>
      <c r="D88" s="28" t="s">
        <v>14</v>
      </c>
      <c r="E88" s="13">
        <v>-476.78705600000001</v>
      </c>
      <c r="F88" s="11">
        <f t="shared" si="4"/>
        <v>0.4758279999999786</v>
      </c>
      <c r="G88" s="27">
        <f t="shared" si="5"/>
        <v>0.20958400000001642</v>
      </c>
    </row>
    <row r="89" spans="2:8" x14ac:dyDescent="0.35">
      <c r="B89" s="27" t="s">
        <v>134</v>
      </c>
      <c r="C89" s="27" t="s">
        <v>129</v>
      </c>
      <c r="D89" s="28" t="s">
        <v>15</v>
      </c>
      <c r="E89" s="13">
        <v>-476.52713399999999</v>
      </c>
      <c r="F89" s="11">
        <f t="shared" si="4"/>
        <v>0.73574999999999591</v>
      </c>
      <c r="G89" s="27">
        <f t="shared" si="5"/>
        <v>0.46950600000003373</v>
      </c>
    </row>
    <row r="90" spans="2:8" x14ac:dyDescent="0.35">
      <c r="B90" s="27" t="s">
        <v>134</v>
      </c>
      <c r="C90" s="27" t="s">
        <v>129</v>
      </c>
      <c r="D90" s="28" t="s">
        <v>16</v>
      </c>
      <c r="E90" s="13">
        <v>-476.06438200000002</v>
      </c>
      <c r="F90" s="11">
        <f t="shared" si="4"/>
        <v>1.1985019999999622</v>
      </c>
      <c r="G90" s="27">
        <f t="shared" si="5"/>
        <v>0.93225800000000003</v>
      </c>
    </row>
    <row r="91" spans="2:8" x14ac:dyDescent="0.35">
      <c r="B91" s="27" t="s">
        <v>134</v>
      </c>
      <c r="C91" s="13" t="s">
        <v>129</v>
      </c>
      <c r="D91" s="50" t="s">
        <v>61</v>
      </c>
      <c r="E91" s="13">
        <v>-475.35050799999999</v>
      </c>
      <c r="F91" s="11">
        <f t="shared" si="4"/>
        <v>1.9123759999999947</v>
      </c>
      <c r="G91" s="27">
        <f t="shared" si="5"/>
        <v>1.6461320000000326</v>
      </c>
    </row>
    <row r="92" spans="2:8" x14ac:dyDescent="0.35">
      <c r="B92" s="27" t="s">
        <v>134</v>
      </c>
      <c r="C92" s="13" t="s">
        <v>129</v>
      </c>
      <c r="D92" s="50" t="s">
        <v>17</v>
      </c>
      <c r="E92" s="13">
        <v>-476.02855</v>
      </c>
      <c r="F92" s="11">
        <f t="shared" si="4"/>
        <v>1.2343339999999898</v>
      </c>
      <c r="G92" s="27">
        <f t="shared" si="5"/>
        <v>0.96809000000002765</v>
      </c>
    </row>
    <row r="93" spans="2:8" x14ac:dyDescent="0.35">
      <c r="B93" s="27" t="s">
        <v>134</v>
      </c>
      <c r="C93" s="27" t="s">
        <v>129</v>
      </c>
      <c r="D93" s="28" t="s">
        <v>18</v>
      </c>
      <c r="E93" s="13">
        <v>-474.92808300000002</v>
      </c>
      <c r="F93" s="11">
        <f t="shared" si="4"/>
        <v>2.3348009999999704</v>
      </c>
      <c r="G93" s="27">
        <f t="shared" si="5"/>
        <v>2.0685570000000082</v>
      </c>
    </row>
    <row r="94" spans="2:8" x14ac:dyDescent="0.35">
      <c r="B94" s="27" t="s">
        <v>134</v>
      </c>
      <c r="C94" s="27" t="s">
        <v>129</v>
      </c>
      <c r="D94" s="28" t="s">
        <v>19</v>
      </c>
      <c r="E94" s="13">
        <v>-475.71909199999999</v>
      </c>
      <c r="F94" s="11">
        <f t="shared" si="4"/>
        <v>1.5437919999999963</v>
      </c>
      <c r="G94" s="27">
        <f t="shared" si="5"/>
        <v>1.2775480000000341</v>
      </c>
    </row>
    <row r="95" spans="2:8" x14ac:dyDescent="0.35">
      <c r="B95" s="27" t="s">
        <v>134</v>
      </c>
      <c r="C95" s="27" t="s">
        <v>129</v>
      </c>
      <c r="D95" s="28" t="s">
        <v>20</v>
      </c>
      <c r="E95" s="13">
        <v>-475.519408</v>
      </c>
      <c r="F95" s="11">
        <f t="shared" si="4"/>
        <v>1.7434759999999869</v>
      </c>
      <c r="G95" s="27">
        <f t="shared" si="5"/>
        <v>1.4772320000000247</v>
      </c>
    </row>
    <row r="96" spans="2:8" x14ac:dyDescent="0.35">
      <c r="B96" s="27" t="s">
        <v>134</v>
      </c>
      <c r="C96" s="27" t="s">
        <v>129</v>
      </c>
      <c r="D96" s="28" t="s">
        <v>21</v>
      </c>
      <c r="E96" s="13">
        <v>-476.578192</v>
      </c>
      <c r="F96" s="11">
        <f t="shared" si="4"/>
        <v>0.68469199999998409</v>
      </c>
      <c r="G96" s="27">
        <f t="shared" si="5"/>
        <v>0.41844800000002191</v>
      </c>
    </row>
    <row r="97" spans="2:7" x14ac:dyDescent="0.35">
      <c r="B97" s="27" t="s">
        <v>134</v>
      </c>
      <c r="C97" s="27" t="s">
        <v>129</v>
      </c>
      <c r="D97" s="28" t="s">
        <v>22</v>
      </c>
      <c r="E97" s="13">
        <v>-476.37827499999997</v>
      </c>
      <c r="F97" s="11">
        <f t="shared" si="4"/>
        <v>0.88460900000001175</v>
      </c>
      <c r="G97" s="27">
        <f t="shared" si="5"/>
        <v>0.61836500000004957</v>
      </c>
    </row>
  </sheetData>
  <phoneticPr fontId="1" type="noConversion"/>
  <conditionalFormatting sqref="E2:E33">
    <cfRule type="top10" dxfId="4" priority="4" rank="2"/>
    <cfRule type="top10" dxfId="3" priority="5" bottom="1" rank="1"/>
  </conditionalFormatting>
  <conditionalFormatting sqref="E34:E65">
    <cfRule type="top10" dxfId="2" priority="3" rank="2"/>
  </conditionalFormatting>
  <conditionalFormatting sqref="E66:E97">
    <cfRule type="top10" dxfId="1" priority="2" rank="2"/>
  </conditionalFormatting>
  <conditionalFormatting sqref="G2:G97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360-FD29-48DD-88BF-93C4623F596B}">
  <dimension ref="A1:J7"/>
  <sheetViews>
    <sheetView zoomScale="130" zoomScaleNormal="130" workbookViewId="0">
      <selection activeCell="I14" sqref="I14"/>
    </sheetView>
  </sheetViews>
  <sheetFormatPr defaultColWidth="8.6640625" defaultRowHeight="15.5" x14ac:dyDescent="0.35"/>
  <cols>
    <col min="1" max="1" width="18.33203125" style="27" customWidth="1"/>
    <col min="2" max="2" width="11.1640625" style="27" customWidth="1"/>
    <col min="3" max="4" width="8.5" style="27" customWidth="1"/>
    <col min="5" max="5" width="11.25" style="27" customWidth="1"/>
    <col min="6" max="8" width="10.83203125" style="27" customWidth="1"/>
    <col min="9" max="9" width="10.58203125" style="27" customWidth="1"/>
    <col min="10" max="16384" width="8.6640625" style="27"/>
  </cols>
  <sheetData>
    <row r="1" spans="1:10" x14ac:dyDescent="0.35">
      <c r="A1" s="27" t="s">
        <v>138</v>
      </c>
      <c r="B1" s="27" t="s">
        <v>166</v>
      </c>
      <c r="C1" s="27" t="s">
        <v>143</v>
      </c>
      <c r="D1" s="27" t="s">
        <v>144</v>
      </c>
      <c r="E1" s="27" t="s">
        <v>171</v>
      </c>
      <c r="F1" s="27" t="s">
        <v>141</v>
      </c>
      <c r="G1" s="27" t="s">
        <v>172</v>
      </c>
      <c r="H1" s="27" t="s">
        <v>173</v>
      </c>
      <c r="I1" s="27" t="s">
        <v>142</v>
      </c>
      <c r="J1" s="27" t="s">
        <v>174</v>
      </c>
    </row>
    <row r="2" spans="1:10" x14ac:dyDescent="0.35">
      <c r="A2" s="27" t="s">
        <v>128</v>
      </c>
      <c r="B2" s="27">
        <v>0</v>
      </c>
      <c r="C2" s="27">
        <v>0</v>
      </c>
      <c r="D2" s="27">
        <f>Sufaces!M11</f>
        <v>0.12009433305674147</v>
      </c>
      <c r="E2" s="27">
        <f>FormationEnthalpy!H2</f>
        <v>-1.9144000000000001</v>
      </c>
      <c r="F2" s="27">
        <f>FormationEnthalpy!I2</f>
        <v>-1.2690999999999999</v>
      </c>
      <c r="G2" s="27">
        <f>FormationEnthalpy!J2</f>
        <v>-1.585</v>
      </c>
      <c r="H2" s="27">
        <f>Sufaces!N11</f>
        <v>-1.8359000000000001</v>
      </c>
      <c r="I2" s="27">
        <f>Sufaces!O11</f>
        <v>-1.1388</v>
      </c>
      <c r="J2" s="27">
        <f>Sufaces!P11</f>
        <v>-1.4583999999999999</v>
      </c>
    </row>
    <row r="3" spans="1:10" x14ac:dyDescent="0.35">
      <c r="A3" s="27" t="s">
        <v>80</v>
      </c>
      <c r="B3" s="27">
        <f>1/4</f>
        <v>0.25</v>
      </c>
      <c r="C3" s="27">
        <f>FormationEnthalpy!F22</f>
        <v>-4.3653187500000357E-2</v>
      </c>
      <c r="D3" s="27">
        <f>Sufaces!M6</f>
        <v>0.10520237608966487</v>
      </c>
      <c r="E3" s="27">
        <f>FormationEnthalpy!H22</f>
        <v>-2.0287999999999999</v>
      </c>
      <c r="F3" s="27">
        <f>FormationEnthalpy!I22</f>
        <v>-0.89349999999999996</v>
      </c>
      <c r="G3" s="27">
        <f>FormationEnthalpy!J22</f>
        <v>-1.4677</v>
      </c>
      <c r="H3" s="27">
        <f>Sufaces!N6</f>
        <v>-1.9637</v>
      </c>
      <c r="I3" s="27">
        <f>Sufaces!O6</f>
        <v>-0.87690000000000001</v>
      </c>
      <c r="J3" s="27">
        <f>Sufaces!P6</f>
        <v>-1.4097</v>
      </c>
    </row>
    <row r="4" spans="1:10" x14ac:dyDescent="0.35">
      <c r="A4" s="27" t="s">
        <v>76</v>
      </c>
      <c r="B4" s="27">
        <f>1/2</f>
        <v>0.5</v>
      </c>
      <c r="C4" s="27">
        <f>FormationEnthalpy!F5</f>
        <v>-1.6176520833333541E-2</v>
      </c>
      <c r="D4" s="27">
        <f>Sufaces!M4</f>
        <v>0.11642961311596071</v>
      </c>
      <c r="E4" s="27">
        <f>FormationEnthalpy!H5</f>
        <v>-2.0701999999999998</v>
      </c>
      <c r="F4" s="27">
        <f>FormationEnthalpy!I5</f>
        <v>-0.51859999999999995</v>
      </c>
      <c r="G4" s="27">
        <f>FormationEnthalpy!J5</f>
        <v>-1.3028999999999999</v>
      </c>
      <c r="H4" s="27">
        <f>Sufaces!N4</f>
        <v>-1.9966999999999999</v>
      </c>
      <c r="I4" s="27">
        <f>Sufaces!O4</f>
        <v>-0.4622</v>
      </c>
      <c r="J4" s="27">
        <f>Sufaces!P4</f>
        <v>-1.2515000000000001</v>
      </c>
    </row>
    <row r="5" spans="1:10" x14ac:dyDescent="0.35">
      <c r="A5" s="27" t="s">
        <v>101</v>
      </c>
      <c r="B5" s="27">
        <f>3/4</f>
        <v>0.75</v>
      </c>
      <c r="C5" s="27">
        <f>FormationEnthalpy!F28</f>
        <v>6.3141020833333616E-2</v>
      </c>
      <c r="D5" s="27">
        <f>Sufaces!M8</f>
        <v>0.15251142197821518</v>
      </c>
      <c r="E5" s="27">
        <f>FormationEnthalpy!H28</f>
        <v>-1.9306000000000001</v>
      </c>
      <c r="F5" s="27">
        <f>FormationEnthalpy!I28</f>
        <v>-0.1053</v>
      </c>
      <c r="G5" s="27">
        <f>FormationEnthalpy!J28</f>
        <v>-1.0323</v>
      </c>
      <c r="H5" s="27">
        <f>Sufaces!N8</f>
        <v>-2.0350999999999999</v>
      </c>
      <c r="I5" s="27">
        <f>Sufaces!O8</f>
        <v>2.7300000000000001E-2</v>
      </c>
      <c r="J5" s="27">
        <f>Sufaces!P8</f>
        <v>-1.0241</v>
      </c>
    </row>
    <row r="6" spans="1:10" x14ac:dyDescent="0.35">
      <c r="A6" s="27" t="s">
        <v>139</v>
      </c>
      <c r="B6" s="27">
        <v>1</v>
      </c>
      <c r="C6" s="27">
        <f>FormationEnthalpy!E3-FormationEnthalpy!E4</f>
        <v>0.15262599999999971</v>
      </c>
      <c r="D6" s="27">
        <f>Sufaces!M12</f>
        <v>0.19232794398900815</v>
      </c>
      <c r="E6" s="27">
        <f>FormationEnthalpy!H3</f>
        <v>-1.9424999999999999</v>
      </c>
      <c r="F6" s="27">
        <f>FormationEnthalpy!I3</f>
        <v>0.40189999999999998</v>
      </c>
      <c r="G6" s="27">
        <f>FormationEnthalpy!J3</f>
        <v>-0.78990000000000005</v>
      </c>
      <c r="H6" s="27">
        <f>Sufaces!N12</f>
        <v>-2.1644999999999999</v>
      </c>
      <c r="I6" s="27">
        <f>Sufaces!O12</f>
        <v>-5.9400000000000001E-2</v>
      </c>
      <c r="J6" s="27">
        <f>Sufaces!P12</f>
        <v>-1.1328</v>
      </c>
    </row>
    <row r="7" spans="1:10" x14ac:dyDescent="0.35">
      <c r="A7" s="27" t="s">
        <v>140</v>
      </c>
      <c r="B7" s="27">
        <v>1</v>
      </c>
      <c r="C7" s="27">
        <v>0</v>
      </c>
      <c r="D7" s="27">
        <f>Sufaces!M13</f>
        <v>0.16211387480412495</v>
      </c>
      <c r="E7" s="27">
        <f>FormationEnthalpy!H4</f>
        <v>-1.6165</v>
      </c>
      <c r="F7" s="27">
        <f>FormationEnthalpy!I4</f>
        <v>0.51949999999999996</v>
      </c>
      <c r="G7" s="27">
        <f>FormationEnthalpy!J4</f>
        <v>-0.55889999999999995</v>
      </c>
      <c r="H7" s="27">
        <f>Sufaces!N13</f>
        <v>-1.9763999999999999</v>
      </c>
      <c r="I7" s="27">
        <f>Sufaces!O13</f>
        <v>-0.1326</v>
      </c>
      <c r="J7" s="27">
        <f>Sufaces!P13</f>
        <v>-1.0859000000000001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CBA-5850-48EC-A37C-3FAB04FDE001}">
  <dimension ref="A1:V29"/>
  <sheetViews>
    <sheetView zoomScale="130" zoomScaleNormal="130" workbookViewId="0">
      <selection activeCell="M14" sqref="M14"/>
    </sheetView>
  </sheetViews>
  <sheetFormatPr defaultColWidth="8.5" defaultRowHeight="15.5" x14ac:dyDescent="0.35"/>
  <cols>
    <col min="1" max="1" width="13.08203125" style="1" customWidth="1"/>
    <col min="2" max="2" width="5.9140625" style="1" customWidth="1"/>
    <col min="3" max="4" width="8.25" style="1" customWidth="1"/>
    <col min="5" max="5" width="8.5" style="1"/>
    <col min="6" max="6" width="8.83203125" style="1" bestFit="1" customWidth="1"/>
    <col min="7" max="7" width="8.83203125" style="27" bestFit="1" customWidth="1"/>
    <col min="8" max="8" width="6.33203125" style="1" customWidth="1"/>
    <col min="9" max="9" width="6.25" style="1" customWidth="1"/>
    <col min="10" max="10" width="8" style="27" customWidth="1"/>
    <col min="11" max="11" width="7.08203125" style="27" customWidth="1"/>
    <col min="12" max="12" width="9.08203125" style="27" bestFit="1" customWidth="1"/>
    <col min="13" max="13" width="10.33203125" style="27" customWidth="1"/>
    <col min="14" max="18" width="8.83203125" style="27" bestFit="1" customWidth="1"/>
    <col min="19" max="16384" width="8.5" style="1"/>
  </cols>
  <sheetData>
    <row r="1" spans="1:22" ht="16.5" x14ac:dyDescent="0.35">
      <c r="A1" s="1" t="s">
        <v>102</v>
      </c>
      <c r="B1" s="1" t="s">
        <v>0</v>
      </c>
      <c r="C1" s="1" t="s">
        <v>73</v>
      </c>
      <c r="D1" s="1" t="s">
        <v>103</v>
      </c>
      <c r="E1" s="1" t="s">
        <v>103</v>
      </c>
      <c r="F1" s="1" t="s">
        <v>104</v>
      </c>
      <c r="G1" s="27" t="s">
        <v>120</v>
      </c>
      <c r="H1" s="1" t="s">
        <v>116</v>
      </c>
      <c r="I1" s="1" t="s">
        <v>117</v>
      </c>
      <c r="J1" s="27" t="s">
        <v>118</v>
      </c>
      <c r="K1" s="27" t="s">
        <v>119</v>
      </c>
      <c r="L1" s="27" t="s">
        <v>95</v>
      </c>
      <c r="M1" s="27" t="s">
        <v>108</v>
      </c>
      <c r="N1" s="68" t="s">
        <v>84</v>
      </c>
      <c r="O1" s="68"/>
      <c r="P1" s="68"/>
      <c r="Q1" s="27" t="s">
        <v>34</v>
      </c>
      <c r="R1" s="27" t="s">
        <v>83</v>
      </c>
    </row>
    <row r="2" spans="1:22" s="38" customFormat="1" x14ac:dyDescent="0.35">
      <c r="A2" s="38" t="s">
        <v>126</v>
      </c>
      <c r="B2" s="16" t="s">
        <v>127</v>
      </c>
      <c r="C2" s="39">
        <v>10.10031</v>
      </c>
      <c r="D2" s="40" t="s">
        <v>115</v>
      </c>
      <c r="E2" s="16" t="s">
        <v>107</v>
      </c>
      <c r="F2" s="16">
        <v>64</v>
      </c>
      <c r="G2" s="41">
        <f>1/2</f>
        <v>0.5</v>
      </c>
      <c r="H2" s="16">
        <v>34</v>
      </c>
      <c r="I2" s="16">
        <v>30</v>
      </c>
      <c r="J2" s="41">
        <f t="shared" ref="J2:J10" si="0">I2/F2</f>
        <v>0.46875</v>
      </c>
      <c r="K2" s="41">
        <f>(I2-48*G2)/16</f>
        <v>0.375</v>
      </c>
      <c r="L2" s="41">
        <v>-412.31621699999999</v>
      </c>
      <c r="M2" s="13">
        <f>(L2-H2*FormationEnthalpy!$E$2-I2*FormationEnthalpy!$E$4)/(2*C2^2*SIN(PI()*2/3))</f>
        <v>0.11510809357350611</v>
      </c>
      <c r="N2" s="41">
        <v>-1.9712000000000001</v>
      </c>
      <c r="O2" s="41">
        <v>-0.48159999999999997</v>
      </c>
      <c r="P2" s="41">
        <v>-1.2246999999999999</v>
      </c>
      <c r="Q2" s="41">
        <v>103.9526</v>
      </c>
      <c r="R2" s="41">
        <f>Q2/F2</f>
        <v>1.6242593750000001</v>
      </c>
    </row>
    <row r="3" spans="1:22" s="38" customFormat="1" x14ac:dyDescent="0.35">
      <c r="B3" s="16"/>
      <c r="C3" s="39">
        <v>10.10031</v>
      </c>
      <c r="D3" s="40" t="s">
        <v>115</v>
      </c>
      <c r="E3" s="16" t="s">
        <v>109</v>
      </c>
      <c r="F3" s="16">
        <v>64</v>
      </c>
      <c r="G3" s="41">
        <f>1/2</f>
        <v>0.5</v>
      </c>
      <c r="H3" s="16">
        <v>29</v>
      </c>
      <c r="I3" s="16">
        <v>35</v>
      </c>
      <c r="J3" s="41">
        <f t="shared" si="0"/>
        <v>0.546875</v>
      </c>
      <c r="K3" s="41">
        <f t="shared" ref="K3:K10" si="1">(I3-48*G3)/16</f>
        <v>0.6875</v>
      </c>
      <c r="L3" s="41">
        <v>-423.94821899999999</v>
      </c>
      <c r="M3" s="13">
        <f>(L3-H3*FormationEnthalpy!$E$2-I3*FormationEnthalpy!$E$4)/(2*C3^2*SIN(PI()*2/3))</f>
        <v>0.12753939495172514</v>
      </c>
      <c r="N3" s="41">
        <v>-1.964</v>
      </c>
      <c r="O3" s="41">
        <v>-0.35449999999999998</v>
      </c>
      <c r="P3" s="41">
        <v>-1.1599999999999999</v>
      </c>
      <c r="Q3" s="41">
        <v>113.81399999999999</v>
      </c>
      <c r="R3" s="41">
        <f>Q3/F3</f>
        <v>1.7783437499999999</v>
      </c>
    </row>
    <row r="4" spans="1:22" s="38" customFormat="1" x14ac:dyDescent="0.35">
      <c r="B4" s="45"/>
      <c r="C4" s="46">
        <v>10.10031</v>
      </c>
      <c r="D4" s="47" t="s">
        <v>115</v>
      </c>
      <c r="E4" s="45" t="s">
        <v>110</v>
      </c>
      <c r="F4" s="45">
        <v>64</v>
      </c>
      <c r="G4" s="43">
        <f>1/2</f>
        <v>0.5</v>
      </c>
      <c r="H4" s="45">
        <v>33</v>
      </c>
      <c r="I4" s="45">
        <v>31</v>
      </c>
      <c r="J4" s="43">
        <f t="shared" si="0"/>
        <v>0.484375</v>
      </c>
      <c r="K4" s="43">
        <f t="shared" si="1"/>
        <v>0.4375</v>
      </c>
      <c r="L4" s="43">
        <v>-414.84842400000002</v>
      </c>
      <c r="M4" s="13">
        <f>(L4-H4*FormationEnthalpy!$E$2-I4*FormationEnthalpy!$E$4)/(2*C4^2*SIN(PI()*2/3))</f>
        <v>0.11642961311596071</v>
      </c>
      <c r="N4" s="43">
        <v>-1.9966999999999999</v>
      </c>
      <c r="O4" s="43">
        <v>-0.4622</v>
      </c>
      <c r="P4" s="43">
        <v>-1.2515000000000001</v>
      </c>
      <c r="Q4" s="43">
        <v>105.95399999999999</v>
      </c>
      <c r="R4" s="43">
        <f>Q4/F4</f>
        <v>1.6555312499999999</v>
      </c>
    </row>
    <row r="5" spans="1:22" x14ac:dyDescent="0.35">
      <c r="A5" s="1" t="s">
        <v>80</v>
      </c>
      <c r="B5" s="1" t="s">
        <v>69</v>
      </c>
      <c r="C5" s="1">
        <v>10.026770000000001</v>
      </c>
      <c r="D5" s="26" t="s">
        <v>115</v>
      </c>
      <c r="E5" s="1" t="s">
        <v>107</v>
      </c>
      <c r="F5" s="1">
        <v>64</v>
      </c>
      <c r="G5" s="27">
        <f>1/4</f>
        <v>0.25</v>
      </c>
      <c r="H5" s="1">
        <v>50</v>
      </c>
      <c r="I5" s="1">
        <v>14</v>
      </c>
      <c r="J5" s="27">
        <f t="shared" si="0"/>
        <v>0.21875</v>
      </c>
      <c r="K5" s="27">
        <f t="shared" si="1"/>
        <v>0.125</v>
      </c>
      <c r="L5" s="27">
        <v>-370.12606899999997</v>
      </c>
      <c r="M5" s="13">
        <f>(L5-H5*FormationEnthalpy!$E$2-I5*FormationEnthalpy!$E$4)/(2*C5^2*SIN(PI()*2/3))</f>
        <v>0.10496527087103676</v>
      </c>
      <c r="N5" s="27">
        <v>-1.9386000000000001</v>
      </c>
      <c r="O5" s="27">
        <v>-0.83940000000000003</v>
      </c>
      <c r="P5" s="27">
        <v>-1.3978999999999999</v>
      </c>
      <c r="Q5" s="27">
        <v>71.563400000000001</v>
      </c>
      <c r="R5" s="27">
        <f t="shared" ref="R5:R13" si="2">Q5/F5</f>
        <v>1.118178125</v>
      </c>
    </row>
    <row r="6" spans="1:22" x14ac:dyDescent="0.35">
      <c r="C6" s="10">
        <v>10.026770000000001</v>
      </c>
      <c r="D6" s="48" t="s">
        <v>115</v>
      </c>
      <c r="E6" s="10" t="s">
        <v>109</v>
      </c>
      <c r="F6" s="10">
        <v>64</v>
      </c>
      <c r="G6" s="44">
        <f t="shared" ref="G6:G7" si="3">1/4</f>
        <v>0.25</v>
      </c>
      <c r="H6" s="10">
        <v>49</v>
      </c>
      <c r="I6" s="10">
        <v>15</v>
      </c>
      <c r="J6" s="44">
        <f t="shared" si="0"/>
        <v>0.234375</v>
      </c>
      <c r="K6" s="44">
        <f t="shared" si="1"/>
        <v>0.1875</v>
      </c>
      <c r="L6" s="44">
        <v>-372.85049700000002</v>
      </c>
      <c r="M6" s="13">
        <f>(L6-H6*FormationEnthalpy!$E$2-I6*FormationEnthalpy!$E$4)/(2*C6^2*SIN(PI()*2/3))</f>
        <v>0.10520237608966487</v>
      </c>
      <c r="N6" s="44">
        <v>-1.9637</v>
      </c>
      <c r="O6" s="44">
        <v>-0.87690000000000001</v>
      </c>
      <c r="P6" s="44">
        <v>-1.4097</v>
      </c>
      <c r="Q6" s="44">
        <v>73.899199999999993</v>
      </c>
      <c r="R6" s="44">
        <f t="shared" si="2"/>
        <v>1.1546749999999999</v>
      </c>
    </row>
    <row r="7" spans="1:22" x14ac:dyDescent="0.35">
      <c r="C7" s="1">
        <v>10.026770000000001</v>
      </c>
      <c r="D7" s="26" t="s">
        <v>115</v>
      </c>
      <c r="E7" s="1" t="s">
        <v>110</v>
      </c>
      <c r="F7" s="1">
        <v>64</v>
      </c>
      <c r="G7" s="27">
        <f t="shared" si="3"/>
        <v>0.25</v>
      </c>
      <c r="H7" s="1">
        <v>45</v>
      </c>
      <c r="I7" s="1">
        <v>19</v>
      </c>
      <c r="J7" s="27">
        <f t="shared" si="0"/>
        <v>0.296875</v>
      </c>
      <c r="K7" s="27">
        <f t="shared" si="1"/>
        <v>0.4375</v>
      </c>
      <c r="L7" s="27">
        <v>-382.82495899999998</v>
      </c>
      <c r="M7" s="13">
        <f>(L7-H7*FormationEnthalpy!$E$2-I7*FormationEnthalpy!$E$4)/(2*C7^2*SIN(PI()*2/3))</f>
        <v>0.11145275862613252</v>
      </c>
      <c r="N7" s="27">
        <v>-2.0051000000000001</v>
      </c>
      <c r="O7" s="27">
        <v>-0.7147</v>
      </c>
      <c r="P7" s="27">
        <v>-1.3608</v>
      </c>
      <c r="Q7" s="27">
        <v>81.918899999999994</v>
      </c>
      <c r="R7" s="27">
        <f t="shared" si="2"/>
        <v>1.2799828124999999</v>
      </c>
    </row>
    <row r="8" spans="1:22" x14ac:dyDescent="0.35">
      <c r="A8" s="1" t="s">
        <v>101</v>
      </c>
      <c r="B8" s="16" t="s">
        <v>71</v>
      </c>
      <c r="C8" s="45">
        <v>10.11163</v>
      </c>
      <c r="D8" s="47" t="s">
        <v>115</v>
      </c>
      <c r="E8" s="45" t="s">
        <v>107</v>
      </c>
      <c r="F8" s="45">
        <v>64</v>
      </c>
      <c r="G8" s="43">
        <f>3/4</f>
        <v>0.75</v>
      </c>
      <c r="H8" s="45">
        <v>16</v>
      </c>
      <c r="I8" s="45">
        <v>48</v>
      </c>
      <c r="J8" s="43">
        <f t="shared" si="0"/>
        <v>0.75</v>
      </c>
      <c r="K8" s="43">
        <f t="shared" si="1"/>
        <v>0.75</v>
      </c>
      <c r="L8" s="43">
        <v>-455.429597</v>
      </c>
      <c r="M8" s="13">
        <f>(L8-H8*FormationEnthalpy!$E$2-I8*FormationEnthalpy!$E$4)/(2*C8^2*SIN(PI()*2/3))</f>
        <v>0.15251142197821518</v>
      </c>
      <c r="N8" s="43">
        <v>-2.0350999999999999</v>
      </c>
      <c r="O8" s="43">
        <v>2.7300000000000001E-2</v>
      </c>
      <c r="P8" s="43">
        <v>-1.0241</v>
      </c>
      <c r="Q8" s="43">
        <v>137.1455</v>
      </c>
      <c r="R8" s="43">
        <f t="shared" si="2"/>
        <v>2.1428984375</v>
      </c>
    </row>
    <row r="9" spans="1:22" x14ac:dyDescent="0.35">
      <c r="B9" s="16"/>
      <c r="C9" s="16">
        <v>10.11163</v>
      </c>
      <c r="D9" s="40" t="s">
        <v>115</v>
      </c>
      <c r="E9" s="16" t="s">
        <v>109</v>
      </c>
      <c r="F9" s="16">
        <v>64</v>
      </c>
      <c r="G9" s="41">
        <f t="shared" ref="G9:G10" si="4">3/4</f>
        <v>0.75</v>
      </c>
      <c r="H9" s="16">
        <v>15</v>
      </c>
      <c r="I9" s="16">
        <v>49</v>
      </c>
      <c r="J9" s="41">
        <f t="shared" si="0"/>
        <v>0.765625</v>
      </c>
      <c r="K9" s="41">
        <f t="shared" si="1"/>
        <v>0.8125</v>
      </c>
      <c r="L9" s="41">
        <v>-457.27995800000002</v>
      </c>
      <c r="M9" s="13">
        <f>(L9-H9*FormationEnthalpy!$E$2-I9*FormationEnthalpy!$E$4)/(2*C9^2*SIN(PI()*2/3))</f>
        <v>0.15768018464662648</v>
      </c>
      <c r="N9" s="41">
        <v>-2.0164</v>
      </c>
      <c r="O9" s="42">
        <v>7.0499999999999993E-2</v>
      </c>
      <c r="P9" s="41">
        <v>-0.99870000000000003</v>
      </c>
      <c r="Q9" s="41">
        <v>138.77449999999999</v>
      </c>
      <c r="R9" s="41">
        <f t="shared" si="2"/>
        <v>2.1683515624999998</v>
      </c>
    </row>
    <row r="10" spans="1:22" x14ac:dyDescent="0.35">
      <c r="B10" s="16"/>
      <c r="C10" s="16">
        <v>10.11163</v>
      </c>
      <c r="D10" s="40" t="s">
        <v>115</v>
      </c>
      <c r="E10" s="16" t="s">
        <v>110</v>
      </c>
      <c r="F10" s="16">
        <v>64</v>
      </c>
      <c r="G10" s="41">
        <f t="shared" si="4"/>
        <v>0.75</v>
      </c>
      <c r="H10" s="16">
        <v>17</v>
      </c>
      <c r="I10" s="16">
        <v>47</v>
      </c>
      <c r="J10" s="41">
        <f t="shared" si="0"/>
        <v>0.734375</v>
      </c>
      <c r="K10" s="41">
        <f t="shared" si="1"/>
        <v>0.6875</v>
      </c>
      <c r="L10" s="41">
        <v>-453.30883999999998</v>
      </c>
      <c r="M10" s="13">
        <f>(L10-H10*FormationEnthalpy!$E$2-I10*FormationEnthalpy!$E$4)/(2*C10^2*SIN(PI()*2/3))</f>
        <v>0.14886951255306802</v>
      </c>
      <c r="N10" s="41">
        <v>-1.9414</v>
      </c>
      <c r="O10" s="41">
        <v>8.6999999999999994E-2</v>
      </c>
      <c r="P10" s="41">
        <v>-0.94830000000000003</v>
      </c>
      <c r="Q10" s="41">
        <v>134.81129999999999</v>
      </c>
      <c r="R10" s="41">
        <f t="shared" si="2"/>
        <v>2.1064265624999998</v>
      </c>
    </row>
    <row r="11" spans="1:22" x14ac:dyDescent="0.35">
      <c r="A11" s="1" t="s">
        <v>65</v>
      </c>
      <c r="C11" s="1">
        <v>9.9673771900000006</v>
      </c>
      <c r="E11" s="26" t="s">
        <v>145</v>
      </c>
      <c r="F11" s="1">
        <v>64</v>
      </c>
      <c r="G11" s="27">
        <v>0</v>
      </c>
      <c r="H11" s="1">
        <v>64</v>
      </c>
      <c r="I11" s="1">
        <v>0</v>
      </c>
      <c r="J11" s="27">
        <v>0</v>
      </c>
      <c r="L11" s="27">
        <v>-329.01857905000003</v>
      </c>
      <c r="M11" s="13">
        <f>(L11-H11*FormationEnthalpy!$E$2-I11*FormationEnthalpy!$E$4)/(2*C11^2*SIN(PI()*2/3))</f>
        <v>0.12009433305674147</v>
      </c>
      <c r="N11" s="27">
        <v>-1.8359000000000001</v>
      </c>
      <c r="O11" s="27">
        <v>-1.1388</v>
      </c>
      <c r="P11" s="27">
        <v>-1.4583999999999999</v>
      </c>
      <c r="Q11" s="27">
        <v>42.317999999999998</v>
      </c>
      <c r="R11" s="27">
        <f t="shared" si="2"/>
        <v>0.66121874999999997</v>
      </c>
    </row>
    <row r="12" spans="1:22" x14ac:dyDescent="0.35">
      <c r="A12" s="1" t="s">
        <v>66</v>
      </c>
      <c r="C12" s="1">
        <v>10.156881800000001</v>
      </c>
      <c r="E12" s="26" t="s">
        <v>145</v>
      </c>
      <c r="F12" s="1">
        <v>64</v>
      </c>
      <c r="G12" s="27">
        <v>1</v>
      </c>
      <c r="H12" s="1">
        <v>0</v>
      </c>
      <c r="I12" s="1">
        <v>64</v>
      </c>
      <c r="J12" s="27">
        <v>1</v>
      </c>
      <c r="L12" s="27">
        <v>-492.32426530999999</v>
      </c>
      <c r="M12" s="13">
        <f>(L12-H12*FormationEnthalpy!$E$2-I12*FormationEnthalpy!$E$4)/(2*C12^2*SIN(PI()*2/3))</f>
        <v>0.19232794398900815</v>
      </c>
      <c r="N12" s="27">
        <v>-2.1644999999999999</v>
      </c>
      <c r="O12" s="27">
        <v>-5.9400000000000001E-2</v>
      </c>
      <c r="P12" s="27">
        <v>-1.1328</v>
      </c>
      <c r="Q12" s="27">
        <v>141.5487</v>
      </c>
      <c r="R12" s="27">
        <f t="shared" si="2"/>
        <v>2.2116984374999999</v>
      </c>
    </row>
    <row r="13" spans="1:22" x14ac:dyDescent="0.35">
      <c r="A13" s="1" t="s">
        <v>74</v>
      </c>
      <c r="C13" s="1">
        <v>9.9295000000000009</v>
      </c>
      <c r="E13" s="26" t="s">
        <v>146</v>
      </c>
      <c r="F13" s="1">
        <v>64</v>
      </c>
      <c r="G13" s="27">
        <v>1</v>
      </c>
      <c r="H13" s="1">
        <v>0</v>
      </c>
      <c r="I13" s="1">
        <v>64</v>
      </c>
      <c r="J13" s="27">
        <v>1</v>
      </c>
      <c r="L13" s="27">
        <v>-496.55086309000001</v>
      </c>
      <c r="M13" s="27">
        <f>(L13-H13*FormationEnthalpy!$E$2-I13*FormationEnthalpy!$E$4)/(2*C13^2*SIN(PI()*70.5288/180))</f>
        <v>0.16211387480412495</v>
      </c>
      <c r="N13" s="64">
        <v>-1.9763999999999999</v>
      </c>
      <c r="O13" s="64">
        <v>-0.1326</v>
      </c>
      <c r="P13" s="27">
        <v>-1.0859000000000001</v>
      </c>
      <c r="Q13" s="27">
        <v>81.905900000000003</v>
      </c>
      <c r="R13" s="27">
        <f t="shared" si="2"/>
        <v>1.2797796875</v>
      </c>
    </row>
    <row r="14" spans="1:22" x14ac:dyDescent="0.35">
      <c r="A14" s="65"/>
      <c r="B14" s="65"/>
      <c r="C14" s="65"/>
      <c r="D14" s="65"/>
      <c r="E14" s="65"/>
      <c r="F14" s="65"/>
      <c r="G14" s="64"/>
      <c r="H14" s="65"/>
      <c r="I14" s="65"/>
      <c r="J14" s="64"/>
      <c r="K14" s="64"/>
      <c r="L14" s="64"/>
      <c r="M14" s="64"/>
      <c r="N14" s="64" t="s">
        <v>175</v>
      </c>
      <c r="O14" s="64" t="s">
        <v>176</v>
      </c>
      <c r="P14" s="64" t="s">
        <v>177</v>
      </c>
      <c r="Q14" s="64"/>
      <c r="R14" s="64"/>
      <c r="S14" s="65"/>
      <c r="T14" s="65"/>
      <c r="U14" s="65"/>
      <c r="V14" s="65"/>
    </row>
    <row r="15" spans="1:22" x14ac:dyDescent="0.35">
      <c r="A15" s="65"/>
      <c r="B15" s="65"/>
      <c r="C15" s="65"/>
      <c r="D15" s="65"/>
      <c r="E15" s="65"/>
      <c r="F15" s="65"/>
      <c r="G15" s="64"/>
      <c r="H15" s="65"/>
      <c r="I15" s="65"/>
      <c r="J15" s="64"/>
      <c r="K15" s="64"/>
      <c r="L15" s="64"/>
      <c r="M15" s="64"/>
      <c r="N15" s="64"/>
      <c r="O15" s="64"/>
      <c r="P15" s="64"/>
      <c r="Q15" s="66"/>
      <c r="R15" s="64"/>
      <c r="S15" s="65"/>
      <c r="T15" s="65"/>
      <c r="U15" s="65"/>
      <c r="V15" s="65"/>
    </row>
    <row r="16" spans="1:22" x14ac:dyDescent="0.35">
      <c r="A16" s="65"/>
      <c r="B16" s="65"/>
      <c r="C16" s="65"/>
      <c r="D16" s="65"/>
      <c r="E16" s="65"/>
      <c r="F16" s="65"/>
      <c r="G16" s="64"/>
      <c r="H16" s="65"/>
      <c r="I16" s="65"/>
      <c r="J16" s="64"/>
      <c r="K16" s="64"/>
      <c r="L16" s="64"/>
      <c r="M16" s="64"/>
      <c r="N16" s="64"/>
      <c r="O16" s="64"/>
      <c r="P16" s="64"/>
      <c r="Q16" s="64"/>
      <c r="R16" s="64"/>
      <c r="S16" s="65"/>
      <c r="T16" s="65"/>
      <c r="U16" s="65"/>
      <c r="V16" s="65"/>
    </row>
    <row r="17" spans="1:22" x14ac:dyDescent="0.35">
      <c r="A17" s="65"/>
      <c r="B17" s="65"/>
      <c r="C17" s="65"/>
      <c r="D17" s="65"/>
      <c r="E17" s="65"/>
      <c r="F17" s="65"/>
      <c r="G17" s="64"/>
      <c r="H17" s="65"/>
      <c r="I17" s="65"/>
      <c r="J17" s="64"/>
      <c r="K17" s="64"/>
      <c r="L17" s="64"/>
      <c r="M17" s="64"/>
      <c r="N17" s="64"/>
      <c r="O17" s="64"/>
      <c r="P17" s="64"/>
      <c r="Q17" s="64"/>
      <c r="R17" s="64"/>
      <c r="S17" s="65"/>
      <c r="T17" s="65"/>
      <c r="U17" s="65"/>
      <c r="V17" s="65"/>
    </row>
    <row r="18" spans="1:22" x14ac:dyDescent="0.35">
      <c r="A18" s="65"/>
      <c r="B18" s="65"/>
      <c r="C18" s="65"/>
      <c r="D18" s="65"/>
      <c r="E18" s="65"/>
      <c r="F18" s="65"/>
      <c r="G18" s="64"/>
      <c r="H18" s="65"/>
      <c r="I18" s="65"/>
      <c r="J18" s="64"/>
      <c r="K18" s="64"/>
      <c r="L18" s="64"/>
      <c r="M18" s="64"/>
      <c r="N18" s="64"/>
      <c r="O18" s="64"/>
      <c r="P18" s="64"/>
      <c r="Q18" s="64"/>
      <c r="R18" s="64"/>
      <c r="S18" s="65"/>
      <c r="T18" s="65"/>
      <c r="U18" s="65"/>
      <c r="V18" s="65"/>
    </row>
    <row r="19" spans="1:22" x14ac:dyDescent="0.35">
      <c r="A19" s="65"/>
      <c r="B19" s="65"/>
      <c r="C19" s="65"/>
      <c r="D19" s="65"/>
      <c r="E19" s="65"/>
      <c r="F19" s="65"/>
      <c r="G19" s="64"/>
      <c r="H19" s="65"/>
      <c r="I19" s="65"/>
      <c r="J19" s="64"/>
      <c r="K19" s="64"/>
      <c r="L19" s="64"/>
      <c r="M19" s="64"/>
      <c r="N19" s="64"/>
      <c r="O19" s="64"/>
      <c r="P19" s="64"/>
      <c r="Q19" s="64"/>
      <c r="R19" s="64"/>
      <c r="S19" s="65"/>
      <c r="T19" s="65"/>
      <c r="U19" s="65"/>
      <c r="V19" s="65"/>
    </row>
    <row r="20" spans="1:22" x14ac:dyDescent="0.35">
      <c r="A20" s="65"/>
      <c r="B20" s="65"/>
      <c r="C20" s="65"/>
      <c r="D20" s="65"/>
      <c r="E20" s="65"/>
      <c r="F20" s="65"/>
      <c r="G20" s="64"/>
      <c r="H20" s="65"/>
      <c r="I20" s="65"/>
      <c r="J20" s="64"/>
      <c r="K20" s="64"/>
      <c r="L20" s="64"/>
      <c r="M20" s="64"/>
      <c r="N20" s="64"/>
      <c r="O20" s="64"/>
      <c r="P20" s="64"/>
      <c r="Q20" s="64"/>
      <c r="R20" s="64"/>
      <c r="S20" s="65"/>
      <c r="T20" s="65"/>
      <c r="U20" s="65"/>
      <c r="V20" s="65"/>
    </row>
    <row r="21" spans="1:22" x14ac:dyDescent="0.35">
      <c r="A21" s="65"/>
      <c r="B21" s="65"/>
      <c r="C21" s="65"/>
      <c r="D21" s="65"/>
      <c r="E21" s="65"/>
      <c r="F21" s="65"/>
      <c r="G21" s="64"/>
      <c r="H21" s="65"/>
      <c r="I21" s="65"/>
      <c r="J21" s="64"/>
      <c r="K21" s="64"/>
      <c r="L21" s="64"/>
      <c r="M21" s="64"/>
      <c r="N21" s="64"/>
      <c r="O21" s="64"/>
      <c r="P21" s="64"/>
      <c r="Q21" s="64"/>
      <c r="R21" s="64"/>
      <c r="S21" s="65"/>
      <c r="T21" s="65"/>
      <c r="U21" s="65"/>
      <c r="V21" s="65"/>
    </row>
    <row r="22" spans="1:22" x14ac:dyDescent="0.35">
      <c r="A22" s="65"/>
      <c r="B22" s="65"/>
      <c r="C22" s="65"/>
      <c r="D22" s="65"/>
      <c r="E22" s="65"/>
      <c r="F22" s="65"/>
      <c r="G22" s="64"/>
      <c r="H22" s="65"/>
      <c r="I22" s="65"/>
      <c r="J22" s="64"/>
      <c r="K22" s="64"/>
      <c r="L22" s="64"/>
      <c r="M22" s="64"/>
      <c r="N22" s="64"/>
      <c r="O22" s="64"/>
      <c r="P22" s="64"/>
      <c r="Q22" s="64"/>
      <c r="R22" s="64"/>
      <c r="S22" s="65"/>
      <c r="T22" s="65"/>
      <c r="U22" s="65"/>
      <c r="V22" s="65"/>
    </row>
    <row r="23" spans="1:22" x14ac:dyDescent="0.35">
      <c r="A23" s="65"/>
      <c r="B23" s="65"/>
      <c r="C23" s="65"/>
      <c r="D23" s="65"/>
      <c r="E23" s="65"/>
      <c r="F23" s="65"/>
      <c r="G23" s="64"/>
      <c r="H23" s="65"/>
      <c r="I23" s="65"/>
      <c r="J23" s="64"/>
      <c r="K23" s="64"/>
      <c r="L23" s="64"/>
      <c r="M23" s="64"/>
      <c r="N23" s="64"/>
      <c r="O23" s="64"/>
      <c r="P23" s="64"/>
      <c r="Q23" s="64"/>
      <c r="R23" s="64"/>
      <c r="S23" s="65"/>
      <c r="T23" s="65"/>
      <c r="U23" s="65"/>
      <c r="V23" s="65"/>
    </row>
    <row r="24" spans="1:22" x14ac:dyDescent="0.35">
      <c r="A24" s="65"/>
      <c r="B24" s="65"/>
      <c r="C24" s="65"/>
      <c r="D24" s="65"/>
      <c r="E24" s="65"/>
      <c r="F24" s="65"/>
      <c r="G24" s="64"/>
      <c r="H24" s="65"/>
      <c r="I24" s="65"/>
      <c r="J24" s="64"/>
      <c r="K24" s="64"/>
      <c r="L24" s="64"/>
      <c r="M24" s="64"/>
      <c r="N24" s="64"/>
      <c r="O24" s="64"/>
      <c r="P24" s="64"/>
      <c r="Q24" s="64"/>
      <c r="R24" s="64"/>
      <c r="S24" s="65"/>
      <c r="T24" s="65"/>
      <c r="U24" s="65"/>
      <c r="V24" s="65"/>
    </row>
    <row r="25" spans="1:22" x14ac:dyDescent="0.35">
      <c r="A25" s="65"/>
      <c r="B25" s="65"/>
      <c r="C25" s="65"/>
      <c r="D25" s="65"/>
      <c r="E25" s="65"/>
      <c r="F25" s="65"/>
      <c r="G25" s="64"/>
      <c r="H25" s="65"/>
      <c r="I25" s="65"/>
      <c r="J25" s="64"/>
      <c r="K25" s="64"/>
      <c r="L25" s="64"/>
      <c r="M25" s="64"/>
      <c r="N25" s="64"/>
      <c r="O25" s="64"/>
      <c r="P25" s="64"/>
      <c r="Q25" s="64"/>
      <c r="R25" s="64"/>
      <c r="S25" s="65"/>
      <c r="T25" s="65"/>
      <c r="U25" s="65"/>
      <c r="V25" s="65"/>
    </row>
    <row r="26" spans="1:22" x14ac:dyDescent="0.35">
      <c r="A26" s="65"/>
      <c r="B26" s="65"/>
      <c r="C26" s="65"/>
      <c r="D26" s="65"/>
      <c r="E26" s="65"/>
      <c r="F26" s="65"/>
      <c r="G26" s="64"/>
      <c r="H26" s="65"/>
      <c r="I26" s="65"/>
      <c r="J26" s="64"/>
      <c r="K26" s="64"/>
      <c r="L26" s="64"/>
      <c r="M26" s="64"/>
      <c r="N26" s="64"/>
      <c r="O26" s="64"/>
      <c r="P26" s="64"/>
      <c r="Q26" s="64"/>
      <c r="R26" s="64"/>
      <c r="S26" s="65"/>
      <c r="T26" s="65"/>
      <c r="U26" s="65"/>
      <c r="V26" s="65"/>
    </row>
    <row r="27" spans="1:22" x14ac:dyDescent="0.35">
      <c r="A27" s="65"/>
      <c r="B27" s="65"/>
      <c r="C27" s="65"/>
      <c r="D27" s="65"/>
      <c r="E27" s="65"/>
      <c r="F27" s="65"/>
      <c r="G27" s="64"/>
      <c r="H27" s="65"/>
      <c r="I27" s="65"/>
      <c r="J27" s="64"/>
      <c r="K27" s="64"/>
      <c r="L27" s="64"/>
      <c r="M27" s="64"/>
      <c r="N27" s="64"/>
      <c r="O27" s="64"/>
      <c r="P27" s="64"/>
      <c r="Q27" s="64"/>
      <c r="R27" s="64"/>
      <c r="S27" s="65"/>
      <c r="T27" s="65"/>
      <c r="U27" s="65"/>
      <c r="V27" s="65"/>
    </row>
    <row r="28" spans="1:22" x14ac:dyDescent="0.35">
      <c r="A28" s="65"/>
      <c r="B28" s="65"/>
      <c r="C28" s="65"/>
      <c r="D28" s="65"/>
      <c r="E28" s="65"/>
      <c r="F28" s="65"/>
      <c r="G28" s="64"/>
      <c r="H28" s="65"/>
      <c r="I28" s="65"/>
      <c r="J28" s="64"/>
      <c r="K28" s="64"/>
      <c r="L28" s="64"/>
      <c r="M28" s="64"/>
      <c r="N28" s="64"/>
      <c r="O28" s="64"/>
      <c r="P28" s="64"/>
      <c r="Q28" s="64"/>
      <c r="R28" s="64"/>
      <c r="S28" s="65"/>
      <c r="T28" s="65"/>
      <c r="U28" s="65"/>
      <c r="V28" s="65"/>
    </row>
    <row r="29" spans="1:22" x14ac:dyDescent="0.35">
      <c r="A29" s="65"/>
      <c r="B29" s="65"/>
      <c r="C29" s="65"/>
      <c r="D29" s="65"/>
      <c r="E29" s="65"/>
      <c r="F29" s="65"/>
      <c r="G29" s="64"/>
      <c r="H29" s="65"/>
      <c r="I29" s="65"/>
      <c r="J29" s="64"/>
      <c r="K29" s="64"/>
      <c r="L29" s="64"/>
      <c r="M29" s="64"/>
      <c r="N29" s="64"/>
      <c r="O29" s="64"/>
      <c r="P29" s="64"/>
      <c r="Q29" s="64"/>
      <c r="R29" s="64"/>
      <c r="S29" s="65"/>
      <c r="T29" s="65"/>
      <c r="U29" s="65"/>
      <c r="V29" s="65"/>
    </row>
  </sheetData>
  <mergeCells count="1"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508E-A2E2-4B8E-A0DF-9E61FB8FF09E}">
  <dimension ref="A1:S31"/>
  <sheetViews>
    <sheetView zoomScale="130" zoomScaleNormal="130" workbookViewId="0">
      <selection activeCell="G21" sqref="G21"/>
    </sheetView>
  </sheetViews>
  <sheetFormatPr defaultColWidth="8.5" defaultRowHeight="15.5" x14ac:dyDescent="0.35"/>
  <cols>
    <col min="1" max="1" width="13.33203125" style="18" bestFit="1" customWidth="1"/>
    <col min="2" max="2" width="6.83203125" style="18" bestFit="1" customWidth="1"/>
    <col min="3" max="3" width="14.58203125" style="18" customWidth="1"/>
    <col min="4" max="4" width="10.33203125" style="19" bestFit="1" customWidth="1"/>
    <col min="5" max="5" width="9.4140625" style="20" customWidth="1"/>
    <col min="6" max="7" width="10" style="20" bestFit="1" customWidth="1"/>
    <col min="8" max="10" width="7.08203125" style="20" bestFit="1" customWidth="1"/>
    <col min="11" max="11" width="8.5" style="20" customWidth="1"/>
    <col min="12" max="12" width="9.33203125" style="20" customWidth="1"/>
    <col min="13" max="13" width="16.08203125" style="18" bestFit="1" customWidth="1"/>
    <col min="14" max="14" width="8.5" style="18"/>
    <col min="15" max="16" width="9.1640625" style="18" bestFit="1" customWidth="1"/>
    <col min="17" max="17" width="9.1640625" style="18" customWidth="1"/>
    <col min="18" max="16384" width="8.5" style="18"/>
  </cols>
  <sheetData>
    <row r="1" spans="1:19" ht="16.5" x14ac:dyDescent="0.4">
      <c r="A1" s="18" t="s">
        <v>68</v>
      </c>
      <c r="B1" s="18" t="s">
        <v>73</v>
      </c>
      <c r="C1" s="18" t="s">
        <v>106</v>
      </c>
      <c r="D1" s="19" t="s">
        <v>72</v>
      </c>
      <c r="E1" s="20" t="s">
        <v>95</v>
      </c>
      <c r="F1" s="20" t="s">
        <v>81</v>
      </c>
      <c r="G1" s="20" t="s">
        <v>82</v>
      </c>
      <c r="H1" s="68" t="s">
        <v>84</v>
      </c>
      <c r="I1" s="68"/>
      <c r="J1" s="68"/>
      <c r="K1" s="20" t="s">
        <v>105</v>
      </c>
      <c r="L1" s="20" t="s">
        <v>83</v>
      </c>
      <c r="M1" s="18" t="s">
        <v>31</v>
      </c>
      <c r="O1" s="18" t="s">
        <v>111</v>
      </c>
      <c r="P1" s="18" t="str">
        <f>F1</f>
        <v>ΔHf1 (eV)</v>
      </c>
      <c r="R1" s="18" t="s">
        <v>112</v>
      </c>
    </row>
    <row r="2" spans="1:19" x14ac:dyDescent="0.35">
      <c r="A2" s="18" t="s">
        <v>65</v>
      </c>
      <c r="B2" s="18">
        <v>3.5238</v>
      </c>
      <c r="D2" s="19">
        <v>1</v>
      </c>
      <c r="E2" s="20">
        <v>-5.463813</v>
      </c>
      <c r="F2" s="20">
        <f t="shared" ref="F2:F4" si="0">E2/D2</f>
        <v>-5.463813</v>
      </c>
      <c r="H2" s="20">
        <v>-1.9144000000000001</v>
      </c>
      <c r="I2" s="20">
        <v>-1.2690999999999999</v>
      </c>
      <c r="J2" s="20">
        <v>-1.585</v>
      </c>
      <c r="K2" s="20">
        <v>0.58979999999999999</v>
      </c>
      <c r="L2" s="20">
        <f>K2/D2</f>
        <v>0.58979999999999999</v>
      </c>
      <c r="O2" s="18">
        <v>0</v>
      </c>
      <c r="P2" s="18">
        <v>0</v>
      </c>
      <c r="Q2" s="18">
        <f>H2</f>
        <v>-1.9144000000000001</v>
      </c>
      <c r="R2" s="18">
        <f>I2</f>
        <v>-1.2690999999999999</v>
      </c>
      <c r="S2" s="18">
        <f>J2</f>
        <v>-1.585</v>
      </c>
    </row>
    <row r="3" spans="1:19" x14ac:dyDescent="0.35">
      <c r="A3" s="18" t="s">
        <v>66</v>
      </c>
      <c r="B3" s="18">
        <v>3.5910000000000002</v>
      </c>
      <c r="D3" s="19">
        <v>1</v>
      </c>
      <c r="E3" s="20">
        <v>-8.0769029999999997</v>
      </c>
      <c r="F3" s="20">
        <f t="shared" si="0"/>
        <v>-8.0769029999999997</v>
      </c>
      <c r="H3" s="20">
        <v>-1.9424999999999999</v>
      </c>
      <c r="I3" s="20">
        <v>0.40189999999999998</v>
      </c>
      <c r="J3" s="20">
        <v>-0.78990000000000005</v>
      </c>
      <c r="K3" s="20">
        <v>2.508</v>
      </c>
      <c r="L3" s="20">
        <f t="shared" ref="L3:L4" si="1">K3/D3</f>
        <v>2.508</v>
      </c>
      <c r="O3" s="18">
        <v>0.25</v>
      </c>
      <c r="P3" s="18">
        <f>F22</f>
        <v>-4.3653187500000357E-2</v>
      </c>
      <c r="Q3" s="18">
        <f>H22</f>
        <v>-2.0287999999999999</v>
      </c>
      <c r="R3" s="18">
        <f>I22</f>
        <v>-0.89349999999999996</v>
      </c>
      <c r="S3" s="18">
        <f>J22</f>
        <v>-1.4677</v>
      </c>
    </row>
    <row r="4" spans="1:19" x14ac:dyDescent="0.35">
      <c r="A4" s="18" t="s">
        <v>74</v>
      </c>
      <c r="B4" s="18">
        <v>2.8664000000000001</v>
      </c>
      <c r="D4" s="19">
        <v>1</v>
      </c>
      <c r="E4" s="20">
        <v>-8.2295289999999994</v>
      </c>
      <c r="F4" s="20">
        <f t="shared" si="0"/>
        <v>-8.2295289999999994</v>
      </c>
      <c r="H4" s="20">
        <v>-1.6165</v>
      </c>
      <c r="I4" s="20">
        <v>0.51949999999999996</v>
      </c>
      <c r="J4" s="20">
        <v>-0.55889999999999995</v>
      </c>
      <c r="K4" s="20">
        <v>2.2522000000000002</v>
      </c>
      <c r="L4" s="20">
        <f t="shared" si="1"/>
        <v>2.2522000000000002</v>
      </c>
      <c r="O4" s="18">
        <v>0.5</v>
      </c>
      <c r="P4" s="18">
        <f>F5</f>
        <v>-1.6176520833333541E-2</v>
      </c>
      <c r="Q4" s="18">
        <f>H5</f>
        <v>-2.0701999999999998</v>
      </c>
      <c r="R4" s="18">
        <f>I5</f>
        <v>-0.51859999999999995</v>
      </c>
      <c r="S4" s="18">
        <f>J5</f>
        <v>-1.3028999999999999</v>
      </c>
    </row>
    <row r="5" spans="1:19" x14ac:dyDescent="0.35">
      <c r="A5" s="18" t="s">
        <v>76</v>
      </c>
      <c r="B5" s="18">
        <v>3.5710000000000002</v>
      </c>
      <c r="C5" s="22" t="s">
        <v>85</v>
      </c>
      <c r="D5" s="23">
        <v>48</v>
      </c>
      <c r="E5" s="24">
        <v>-329.41668099999998</v>
      </c>
      <c r="F5" s="29">
        <f t="shared" ref="F5:F18" si="2">E5/D5-$F$4*0.5-$F$2*0.5</f>
        <v>-1.6176520833333541E-2</v>
      </c>
      <c r="G5" s="24">
        <f t="shared" ref="G5:G18" si="3">E5/D5-$F$3*0.5-$F$2*0.5</f>
        <v>-9.2489520833333394E-2</v>
      </c>
      <c r="H5" s="24">
        <v>-2.0701999999999998</v>
      </c>
      <c r="I5" s="24">
        <v>-0.51859999999999995</v>
      </c>
      <c r="J5" s="24">
        <v>-1.3028999999999999</v>
      </c>
      <c r="K5" s="24">
        <v>78.558199999999999</v>
      </c>
      <c r="L5" s="24">
        <f>K5/D5</f>
        <v>1.6366291666666666</v>
      </c>
      <c r="M5" s="21"/>
      <c r="O5" s="18">
        <v>0.75</v>
      </c>
      <c r="P5" s="18">
        <f>F29</f>
        <v>5.0971990740740214E-2</v>
      </c>
      <c r="Q5" s="18">
        <f>H29</f>
        <v>-1.9688000000000001</v>
      </c>
      <c r="R5" s="18">
        <f>I29</f>
        <v>-9.2999999999999999E-2</v>
      </c>
      <c r="S5" s="18">
        <f>J29</f>
        <v>-1.0499000000000001</v>
      </c>
    </row>
    <row r="6" spans="1:19" x14ac:dyDescent="0.35">
      <c r="C6" s="22" t="s">
        <v>86</v>
      </c>
      <c r="D6" s="23">
        <v>48</v>
      </c>
      <c r="E6" s="24">
        <v>-329.47825799999998</v>
      </c>
      <c r="F6" s="24">
        <f t="shared" si="2"/>
        <v>-1.7459374999999611E-2</v>
      </c>
      <c r="G6" s="24">
        <f t="shared" si="3"/>
        <v>-9.3772374999999464E-2</v>
      </c>
      <c r="H6" s="24">
        <v>-2.0449999999999999</v>
      </c>
      <c r="I6" s="24">
        <v>-0.50419999999999998</v>
      </c>
      <c r="J6" s="24">
        <v>-1.2807999999999999</v>
      </c>
      <c r="K6" s="24">
        <v>78.437299999999993</v>
      </c>
      <c r="L6" s="24">
        <f t="shared" ref="L6:L12" si="4">K6/D6</f>
        <v>1.6341104166666665</v>
      </c>
      <c r="M6" s="21"/>
      <c r="O6" s="18">
        <v>1</v>
      </c>
      <c r="P6" s="18">
        <v>0</v>
      </c>
      <c r="Q6" s="18">
        <f>H4</f>
        <v>-1.6165</v>
      </c>
      <c r="R6" s="18">
        <f>I4</f>
        <v>0.51949999999999996</v>
      </c>
      <c r="S6" s="18">
        <f>J4</f>
        <v>-0.55889999999999995</v>
      </c>
    </row>
    <row r="7" spans="1:19" x14ac:dyDescent="0.35">
      <c r="C7" s="22" t="s">
        <v>87</v>
      </c>
      <c r="D7" s="23">
        <v>48</v>
      </c>
      <c r="E7" s="24">
        <v>-329.62951900000002</v>
      </c>
      <c r="F7" s="24">
        <f t="shared" si="2"/>
        <v>-2.061064583333394E-2</v>
      </c>
      <c r="G7" s="24">
        <f t="shared" si="3"/>
        <v>-9.6923645833333794E-2</v>
      </c>
      <c r="H7" s="24">
        <v>-2.0602999999999998</v>
      </c>
      <c r="I7" s="24">
        <v>-0.4763</v>
      </c>
      <c r="J7" s="24">
        <v>-1.2782</v>
      </c>
      <c r="K7" s="24">
        <v>78.404499999999999</v>
      </c>
      <c r="L7" s="24">
        <f t="shared" si="4"/>
        <v>1.6334270833333333</v>
      </c>
      <c r="M7" s="21"/>
    </row>
    <row r="8" spans="1:19" x14ac:dyDescent="0.35">
      <c r="C8" s="22" t="s">
        <v>88</v>
      </c>
      <c r="D8" s="23">
        <v>48</v>
      </c>
      <c r="E8" s="24">
        <v>-329.48882800000001</v>
      </c>
      <c r="F8" s="24">
        <f t="shared" si="2"/>
        <v>-1.7679583333333859E-2</v>
      </c>
      <c r="G8" s="24">
        <f t="shared" si="3"/>
        <v>-9.3992583333333712E-2</v>
      </c>
      <c r="H8" s="24">
        <v>-2.0329999999999999</v>
      </c>
      <c r="I8" s="24">
        <v>-0.46</v>
      </c>
      <c r="J8" s="24">
        <v>-1.2507999999999999</v>
      </c>
      <c r="K8" s="24">
        <v>77.941900000000004</v>
      </c>
      <c r="L8" s="24">
        <f t="shared" si="4"/>
        <v>1.6237895833333333</v>
      </c>
      <c r="M8" s="21"/>
    </row>
    <row r="9" spans="1:19" x14ac:dyDescent="0.35">
      <c r="C9" s="22" t="s">
        <v>89</v>
      </c>
      <c r="D9" s="23">
        <v>48</v>
      </c>
      <c r="E9" s="25">
        <v>-329.44934999999998</v>
      </c>
      <c r="F9" s="24">
        <f t="shared" si="2"/>
        <v>-1.6857124999999584E-2</v>
      </c>
      <c r="G9" s="24">
        <f t="shared" si="3"/>
        <v>-9.3170124999999437E-2</v>
      </c>
      <c r="H9" s="24">
        <v>-2.0611000000000002</v>
      </c>
      <c r="I9" s="24">
        <v>-0.49009999999999998</v>
      </c>
      <c r="J9" s="24">
        <v>-1.2911999999999999</v>
      </c>
      <c r="K9" s="24">
        <v>79.036199999999994</v>
      </c>
      <c r="L9" s="24">
        <f t="shared" si="4"/>
        <v>1.6465874999999999</v>
      </c>
      <c r="M9" s="21"/>
    </row>
    <row r="10" spans="1:19" x14ac:dyDescent="0.35">
      <c r="C10" s="22" t="s">
        <v>90</v>
      </c>
      <c r="D10" s="23">
        <v>48</v>
      </c>
      <c r="E10" s="24">
        <v>-329.592827</v>
      </c>
      <c r="F10" s="24">
        <f t="shared" si="2"/>
        <v>-1.9846229166667229E-2</v>
      </c>
      <c r="G10" s="24">
        <f t="shared" si="3"/>
        <v>-9.6159229166667082E-2</v>
      </c>
      <c r="H10" s="24">
        <v>-2.0535999999999999</v>
      </c>
      <c r="I10" s="24">
        <v>-0.52290000000000003</v>
      </c>
      <c r="J10" s="24">
        <v>-1.2998000000000001</v>
      </c>
      <c r="K10" s="24">
        <v>78.567099999999996</v>
      </c>
      <c r="L10" s="24">
        <f t="shared" si="4"/>
        <v>1.6368145833333332</v>
      </c>
      <c r="M10" s="21"/>
    </row>
    <row r="11" spans="1:19" x14ac:dyDescent="0.35">
      <c r="C11" s="22" t="s">
        <v>91</v>
      </c>
      <c r="D11" s="23">
        <v>48</v>
      </c>
      <c r="E11" s="24">
        <v>-329.51856800000002</v>
      </c>
      <c r="F11" s="24">
        <f t="shared" si="2"/>
        <v>-1.8299166666666977E-2</v>
      </c>
      <c r="G11" s="24">
        <f t="shared" si="3"/>
        <v>-9.461216666666683E-2</v>
      </c>
      <c r="H11" s="24">
        <v>-2.0703999999999998</v>
      </c>
      <c r="I11" s="24">
        <v>-0.49630000000000002</v>
      </c>
      <c r="J11" s="24">
        <v>-1.2823</v>
      </c>
      <c r="K11" s="24">
        <v>78.781499999999994</v>
      </c>
      <c r="L11" s="24">
        <f t="shared" si="4"/>
        <v>1.6412812499999998</v>
      </c>
      <c r="M11" s="21"/>
    </row>
    <row r="12" spans="1:19" x14ac:dyDescent="0.35">
      <c r="C12" s="22" t="s">
        <v>92</v>
      </c>
      <c r="D12" s="23">
        <v>48</v>
      </c>
      <c r="E12" s="24">
        <v>-329.47251</v>
      </c>
      <c r="F12" s="24">
        <f t="shared" si="2"/>
        <v>-1.733962499999997E-2</v>
      </c>
      <c r="G12" s="24">
        <f t="shared" si="3"/>
        <v>-9.3652624999999823E-2</v>
      </c>
      <c r="H12" s="24">
        <v>-2.0566</v>
      </c>
      <c r="I12" s="24">
        <v>-0.51829999999999998</v>
      </c>
      <c r="J12" s="24">
        <v>-1.2984</v>
      </c>
      <c r="K12" s="24">
        <v>77.924999999999997</v>
      </c>
      <c r="L12" s="24">
        <f t="shared" si="4"/>
        <v>1.6234374999999999</v>
      </c>
      <c r="M12" s="21"/>
    </row>
    <row r="13" spans="1:19" x14ac:dyDescent="0.35">
      <c r="C13" s="22" t="s">
        <v>93</v>
      </c>
      <c r="D13" s="23">
        <v>48</v>
      </c>
      <c r="E13" s="24">
        <v>-329.52129600000001</v>
      </c>
      <c r="F13" s="24">
        <f t="shared" si="2"/>
        <v>-1.8356000000000705E-2</v>
      </c>
      <c r="G13" s="24">
        <f t="shared" si="3"/>
        <v>-9.4669000000000558E-2</v>
      </c>
      <c r="H13" s="24">
        <v>-2.0438999999999998</v>
      </c>
      <c r="I13" s="24">
        <v>-0.50480000000000003</v>
      </c>
      <c r="J13" s="24">
        <v>-1.2927999999999999</v>
      </c>
      <c r="K13" s="24">
        <v>78.023300000000006</v>
      </c>
      <c r="L13" s="24">
        <f t="shared" ref="L13:L18" si="5">K13/D13</f>
        <v>1.6254854166666668</v>
      </c>
      <c r="M13" s="21"/>
    </row>
    <row r="14" spans="1:19" x14ac:dyDescent="0.35">
      <c r="C14" s="18" t="s">
        <v>78</v>
      </c>
      <c r="D14" s="19">
        <v>32</v>
      </c>
      <c r="E14" s="20">
        <v>-219.494359</v>
      </c>
      <c r="F14" s="20">
        <f t="shared" si="2"/>
        <v>-1.2527718750000361E-2</v>
      </c>
      <c r="G14" s="20">
        <f t="shared" si="3"/>
        <v>-8.8840718750000214E-2</v>
      </c>
      <c r="H14" s="20">
        <v>-2.0385</v>
      </c>
      <c r="I14" s="20">
        <v>-0.50480000000000003</v>
      </c>
      <c r="J14" s="20">
        <v>-1.2727999999999999</v>
      </c>
      <c r="K14" s="20">
        <v>51.614800000000002</v>
      </c>
      <c r="L14" s="20">
        <f t="shared" si="5"/>
        <v>1.6129625000000001</v>
      </c>
      <c r="M14" s="21"/>
    </row>
    <row r="15" spans="1:19" x14ac:dyDescent="0.35">
      <c r="C15" s="31" t="s">
        <v>99</v>
      </c>
      <c r="D15" s="32">
        <v>16</v>
      </c>
      <c r="E15" s="33">
        <v>-109.89299200000001</v>
      </c>
      <c r="F15" s="33">
        <f t="shared" si="2"/>
        <v>-2.1641000000000687E-2</v>
      </c>
      <c r="G15" s="33">
        <f t="shared" si="3"/>
        <v>-9.7954000000000541E-2</v>
      </c>
      <c r="H15" s="33">
        <v>-2.0507</v>
      </c>
      <c r="I15" s="33">
        <v>-0.5121</v>
      </c>
      <c r="J15" s="33">
        <v>-1.2894000000000001</v>
      </c>
      <c r="K15" s="33">
        <v>25.7744</v>
      </c>
      <c r="L15" s="33">
        <f t="shared" si="5"/>
        <v>1.6109</v>
      </c>
      <c r="M15" s="18" t="s">
        <v>100</v>
      </c>
    </row>
    <row r="16" spans="1:19" x14ac:dyDescent="0.35">
      <c r="C16" s="31" t="s">
        <v>79</v>
      </c>
      <c r="D16" s="32">
        <v>16</v>
      </c>
      <c r="E16" s="33">
        <v>-109.895459</v>
      </c>
      <c r="F16" s="33">
        <f t="shared" si="2"/>
        <v>-2.1795187500000424E-2</v>
      </c>
      <c r="G16" s="33">
        <f t="shared" si="3"/>
        <v>-9.8108187500000277E-2</v>
      </c>
      <c r="H16" s="33">
        <v>-2.028</v>
      </c>
      <c r="I16" s="33">
        <v>-0.52910000000000001</v>
      </c>
      <c r="J16" s="33">
        <v>-1.2847</v>
      </c>
      <c r="K16" s="33">
        <v>25.541799999999999</v>
      </c>
      <c r="L16" s="33">
        <f t="shared" si="5"/>
        <v>1.5963624999999999</v>
      </c>
    </row>
    <row r="17" spans="1:12" x14ac:dyDescent="0.35">
      <c r="C17" s="18" t="s">
        <v>79</v>
      </c>
      <c r="D17" s="19">
        <v>108</v>
      </c>
      <c r="E17" s="20">
        <v>-741.33174799999995</v>
      </c>
      <c r="F17" s="20">
        <f t="shared" si="2"/>
        <v>-1.7511851851852001E-2</v>
      </c>
      <c r="G17" s="20">
        <f t="shared" si="3"/>
        <v>-9.3824851851851854E-2</v>
      </c>
      <c r="H17" s="20">
        <v>-2.0451000000000001</v>
      </c>
      <c r="I17" s="20">
        <v>-0.51370000000000005</v>
      </c>
      <c r="J17" s="20">
        <v>-1.2866</v>
      </c>
      <c r="K17" s="20">
        <v>174.1601</v>
      </c>
      <c r="L17" s="20">
        <f t="shared" si="5"/>
        <v>1.6125935185185185</v>
      </c>
    </row>
    <row r="18" spans="1:12" x14ac:dyDescent="0.35">
      <c r="A18" s="34" t="s">
        <v>94</v>
      </c>
      <c r="B18" s="34"/>
      <c r="C18" s="34" t="s">
        <v>96</v>
      </c>
      <c r="D18" s="35">
        <v>2</v>
      </c>
      <c r="E18" s="36">
        <v>-13.839043999999999</v>
      </c>
      <c r="F18" s="37">
        <f t="shared" si="2"/>
        <v>-7.2850999999999999E-2</v>
      </c>
      <c r="G18" s="37">
        <f t="shared" si="3"/>
        <v>-0.14916399999999985</v>
      </c>
      <c r="H18" s="36">
        <v>-2.0535999999999999</v>
      </c>
      <c r="I18" s="37">
        <v>-0.51910000000000001</v>
      </c>
      <c r="J18" s="36">
        <v>-1.2964</v>
      </c>
      <c r="K18" s="36">
        <v>3.1991000000000001</v>
      </c>
      <c r="L18" s="36">
        <f t="shared" si="5"/>
        <v>1.59955</v>
      </c>
    </row>
    <row r="20" spans="1:12" x14ac:dyDescent="0.35">
      <c r="A20" s="18" t="s">
        <v>80</v>
      </c>
      <c r="B20" s="18">
        <v>3.5449999999999999</v>
      </c>
      <c r="C20" s="18" t="s">
        <v>79</v>
      </c>
      <c r="D20" s="19">
        <v>16</v>
      </c>
      <c r="E20" s="20">
        <v>-99.246173999999996</v>
      </c>
      <c r="F20" s="20">
        <f>E20/D20-$F$4*0.25-$F$2*0.75</f>
        <v>-4.7643875000000335E-2</v>
      </c>
      <c r="G20" s="20">
        <f>E20/D20-$F$3*0.25-$F$2*0.75</f>
        <v>-8.5800374999999818E-2</v>
      </c>
      <c r="H20" s="20">
        <v>-2.0276000000000001</v>
      </c>
      <c r="I20" s="20">
        <v>-0.9415</v>
      </c>
      <c r="J20" s="20">
        <v>-1.4869000000000001</v>
      </c>
      <c r="K20" s="20">
        <v>18.125599999999999</v>
      </c>
      <c r="L20" s="20">
        <f>K20/D20</f>
        <v>1.1328499999999999</v>
      </c>
    </row>
    <row r="21" spans="1:12" x14ac:dyDescent="0.35">
      <c r="C21" s="18" t="s">
        <v>78</v>
      </c>
      <c r="D21" s="19">
        <v>32</v>
      </c>
      <c r="E21" s="20">
        <v>-198.25669300000001</v>
      </c>
      <c r="F21" s="20">
        <f t="shared" ref="F21:F24" si="6">E21/D21-$F$4*0.25-$F$2*0.75</f>
        <v>-4.0279656250000961E-2</v>
      </c>
      <c r="G21" s="20">
        <f t="shared" ref="G21:G24" si="7">E21/D21-$F$3*0.25-$F$2*0.75</f>
        <v>-7.8436156250001332E-2</v>
      </c>
      <c r="H21" s="20">
        <v>-1.964</v>
      </c>
      <c r="I21" s="20">
        <v>-0.9073</v>
      </c>
      <c r="J21" s="20">
        <v>-1.4343999999999999</v>
      </c>
      <c r="K21" s="20">
        <v>35.4664</v>
      </c>
      <c r="L21" s="20">
        <f t="shared" ref="L21:L30" si="8">K21/D21</f>
        <v>1.108325</v>
      </c>
    </row>
    <row r="22" spans="1:12" x14ac:dyDescent="0.35">
      <c r="C22" s="18" t="s">
        <v>77</v>
      </c>
      <c r="D22" s="19">
        <v>48</v>
      </c>
      <c r="E22" s="20">
        <v>-297.54696899999999</v>
      </c>
      <c r="F22" s="30">
        <f t="shared" si="6"/>
        <v>-4.3653187500000357E-2</v>
      </c>
      <c r="G22" s="20">
        <f t="shared" si="7"/>
        <v>-8.1809687499999839E-2</v>
      </c>
      <c r="H22" s="20">
        <v>-2.0287999999999999</v>
      </c>
      <c r="I22" s="20">
        <v>-0.89349999999999996</v>
      </c>
      <c r="J22" s="20">
        <v>-1.4677</v>
      </c>
      <c r="K22" s="20">
        <v>54.8874</v>
      </c>
      <c r="L22" s="20">
        <f t="shared" si="8"/>
        <v>1.1434875</v>
      </c>
    </row>
    <row r="23" spans="1:12" x14ac:dyDescent="0.35">
      <c r="C23" s="18" t="s">
        <v>79</v>
      </c>
      <c r="D23" s="19">
        <v>108</v>
      </c>
      <c r="E23" s="20">
        <v>-669.530529</v>
      </c>
      <c r="F23" s="20">
        <f t="shared" si="6"/>
        <v>-4.4114750000000313E-2</v>
      </c>
      <c r="G23" s="20">
        <f t="shared" si="7"/>
        <v>-8.2271249999999796E-2</v>
      </c>
      <c r="H23" s="20">
        <v>-2.0461999999999998</v>
      </c>
      <c r="I23" s="20">
        <v>-0.95409999999999995</v>
      </c>
      <c r="J23" s="20">
        <v>-1.5092000000000001</v>
      </c>
      <c r="K23" s="20">
        <v>124.50109999999999</v>
      </c>
      <c r="L23" s="20">
        <f t="shared" si="8"/>
        <v>1.1527879629629629</v>
      </c>
    </row>
    <row r="24" spans="1:12" x14ac:dyDescent="0.35">
      <c r="A24" s="34" t="s">
        <v>97</v>
      </c>
      <c r="B24" s="34">
        <v>3.5373999999999999</v>
      </c>
      <c r="C24" s="34" t="s">
        <v>98</v>
      </c>
      <c r="D24" s="35">
        <v>4</v>
      </c>
      <c r="E24" s="36">
        <v>-24.987062999999999</v>
      </c>
      <c r="F24" s="37">
        <f t="shared" si="6"/>
        <v>-9.1523750000000348E-2</v>
      </c>
      <c r="G24" s="37">
        <f t="shared" si="7"/>
        <v>-0.12968024999999983</v>
      </c>
      <c r="H24" s="36">
        <v>-2.1785999999999999</v>
      </c>
      <c r="I24" s="36">
        <v>-1.0335000000000001</v>
      </c>
      <c r="J24" s="36">
        <v>-1.6099000000000001</v>
      </c>
      <c r="K24" s="36">
        <v>4.6212999999999997</v>
      </c>
      <c r="L24" s="36">
        <f t="shared" si="8"/>
        <v>1.1553249999999999</v>
      </c>
    </row>
    <row r="26" spans="1:12" x14ac:dyDescent="0.35">
      <c r="A26" s="18" t="s">
        <v>101</v>
      </c>
      <c r="B26" s="18">
        <v>3.5750000000000002</v>
      </c>
      <c r="C26" s="18" t="s">
        <v>79</v>
      </c>
      <c r="D26" s="19">
        <v>16</v>
      </c>
      <c r="E26" s="20">
        <v>-119.61542300000001</v>
      </c>
      <c r="F26" s="20">
        <f>E26/D26-$F$4*0.75-$F$2*0.25</f>
        <v>6.2136062499999145E-2</v>
      </c>
      <c r="G26" s="20">
        <f>E26/D26-$F$3*0.75-$F$2*0.25</f>
        <v>-5.2333437500001079E-2</v>
      </c>
      <c r="H26" s="20">
        <v>-1.9533</v>
      </c>
      <c r="I26" s="20">
        <v>-2.1899999999999999E-2</v>
      </c>
      <c r="J26" s="20">
        <v>-0.99360000000000004</v>
      </c>
      <c r="K26" s="20">
        <v>32.513399999999997</v>
      </c>
      <c r="L26" s="20">
        <f t="shared" si="8"/>
        <v>2.0320874999999998</v>
      </c>
    </row>
    <row r="27" spans="1:12" x14ac:dyDescent="0.35">
      <c r="C27" s="18" t="s">
        <v>78</v>
      </c>
      <c r="D27" s="19">
        <v>32</v>
      </c>
      <c r="E27" s="20">
        <v>-239.36285000000001</v>
      </c>
      <c r="F27" s="20">
        <f>E27/D27-$F$4*0.75-$F$2*0.25</f>
        <v>5.8010937499999304E-2</v>
      </c>
      <c r="G27" s="20">
        <f>E27/D27-$F$3*0.75-$F$2*0.25</f>
        <v>-5.6458562500000919E-2</v>
      </c>
      <c r="H27" s="20">
        <v>-1.9260999999999999</v>
      </c>
      <c r="I27" s="20">
        <v>-9.1300000000000006E-2</v>
      </c>
      <c r="J27" s="20">
        <v>-1.0186999999999999</v>
      </c>
      <c r="K27" s="20">
        <v>63.762300000000003</v>
      </c>
      <c r="L27" s="20">
        <f t="shared" si="8"/>
        <v>1.9925718750000001</v>
      </c>
    </row>
    <row r="28" spans="1:12" x14ac:dyDescent="0.35">
      <c r="C28" s="18" t="s">
        <v>77</v>
      </c>
      <c r="D28" s="19">
        <v>48</v>
      </c>
      <c r="E28" s="20">
        <v>-358.79803099999998</v>
      </c>
      <c r="F28" s="30">
        <f>E28/D28-$F$4*0.75-$F$2*0.25</f>
        <v>6.3141020833333616E-2</v>
      </c>
      <c r="G28" s="20">
        <f>E28/D28-$F$3*0.75-$F$2*0.25</f>
        <v>-5.1328479166666607E-2</v>
      </c>
      <c r="H28" s="20">
        <v>-1.9306000000000001</v>
      </c>
      <c r="I28" s="20">
        <v>-0.1053</v>
      </c>
      <c r="J28" s="20">
        <v>-1.0323</v>
      </c>
      <c r="K28" s="20">
        <v>91.552400000000006</v>
      </c>
      <c r="L28" s="20">
        <f t="shared" si="8"/>
        <v>1.9073416666666667</v>
      </c>
    </row>
    <row r="29" spans="1:12" x14ac:dyDescent="0.35">
      <c r="C29" s="18" t="s">
        <v>79</v>
      </c>
      <c r="D29" s="19">
        <v>108</v>
      </c>
      <c r="E29" s="20">
        <v>-808.609825</v>
      </c>
      <c r="F29" s="20">
        <f>E29/D29-$F$4*0.75-$F$2*0.25</f>
        <v>5.0971990740740214E-2</v>
      </c>
      <c r="G29" s="20">
        <f>E29/D29-$F$3*0.75-$F$2*0.25</f>
        <v>-6.349750925926001E-2</v>
      </c>
      <c r="H29" s="20">
        <v>-1.9688000000000001</v>
      </c>
      <c r="I29" s="20">
        <v>-9.2999999999999999E-2</v>
      </c>
      <c r="J29" s="20">
        <v>-1.0499000000000001</v>
      </c>
      <c r="K29" s="20">
        <v>212.8074</v>
      </c>
      <c r="L29" s="20">
        <f t="shared" si="8"/>
        <v>1.9704388888888889</v>
      </c>
    </row>
    <row r="30" spans="1:12" x14ac:dyDescent="0.35">
      <c r="A30" s="34" t="s">
        <v>113</v>
      </c>
      <c r="B30" s="34">
        <v>3.584632</v>
      </c>
      <c r="C30" s="34" t="s">
        <v>114</v>
      </c>
      <c r="D30" s="35">
        <v>4</v>
      </c>
      <c r="E30" s="36">
        <v>-30.007162999999998</v>
      </c>
      <c r="F30" s="37">
        <f>E30/D30-$F$4*0.75-$F$2*0.25</f>
        <v>3.630924999999996E-2</v>
      </c>
      <c r="G30" s="37">
        <f>E30/D30-$F$3*0.75-$F$2*0.25</f>
        <v>-7.8160250000000264E-2</v>
      </c>
      <c r="H30" s="36">
        <v>-1.9423999999999999</v>
      </c>
      <c r="I30" s="36">
        <v>5.04E-2</v>
      </c>
      <c r="J30" s="36">
        <v>-0.94289999999999996</v>
      </c>
      <c r="K30" s="36">
        <v>8.1942000000000004</v>
      </c>
      <c r="L30" s="36">
        <f t="shared" si="8"/>
        <v>2.0485500000000001</v>
      </c>
    </row>
    <row r="31" spans="1:12" x14ac:dyDescent="0.35">
      <c r="H31" s="20" t="s">
        <v>175</v>
      </c>
      <c r="I31" s="20" t="s">
        <v>176</v>
      </c>
      <c r="J31" s="20" t="s">
        <v>177</v>
      </c>
    </row>
  </sheetData>
  <mergeCells count="1">
    <mergeCell ref="H1:J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Base</vt:lpstr>
      <vt:lpstr>OER-data</vt:lpstr>
      <vt:lpstr>Constant</vt:lpstr>
      <vt:lpstr>ActiveCenters-OH-inteactions</vt:lpstr>
      <vt:lpstr>O-coverage_deltaGO</vt:lpstr>
      <vt:lpstr>ScanSurface_deltaGO</vt:lpstr>
      <vt:lpstr>DataSummary</vt:lpstr>
      <vt:lpstr>Sufaces</vt:lpstr>
      <vt:lpstr>FormationEnthalpy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农伟</dc:creator>
  <cp:lastModifiedBy>农 伟</cp:lastModifiedBy>
  <dcterms:created xsi:type="dcterms:W3CDTF">2015-06-05T18:19:34Z</dcterms:created>
  <dcterms:modified xsi:type="dcterms:W3CDTF">2022-08-03T07:40:49Z</dcterms:modified>
</cp:coreProperties>
</file>