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t\Documents\training\Excel\"/>
    </mc:Choice>
  </mc:AlternateContent>
  <xr:revisionPtr revIDLastSave="0" documentId="13_ncr:1_{C1541671-A9C4-4B89-B8DF-863959B87394}" xr6:coauthVersionLast="47" xr6:coauthVersionMax="47" xr10:uidLastSave="{00000000-0000-0000-0000-000000000000}"/>
  <bookViews>
    <workbookView xWindow="-110" yWindow="-110" windowWidth="19420" windowHeight="10420" xr2:uid="{30157C24-CEB7-48DA-9714-9C968CBDBB8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8" i="1" l="1"/>
  <c r="C165" i="1" s="1"/>
  <c r="C163" i="1" s="1"/>
  <c r="B163" i="1"/>
  <c r="B165" i="1"/>
  <c r="B168" i="1"/>
  <c r="B154" i="1"/>
  <c r="B156" i="1"/>
  <c r="B159" i="1"/>
  <c r="B150" i="1"/>
  <c r="B137" i="1"/>
  <c r="B141" i="1"/>
  <c r="B130" i="1"/>
  <c r="B123" i="1"/>
  <c r="B125" i="1"/>
  <c r="C116" i="1"/>
  <c r="B108" i="1"/>
  <c r="B105" i="1"/>
  <c r="C104" i="1" s="1"/>
  <c r="C105" i="1" s="1"/>
  <c r="B94" i="1"/>
  <c r="E87" i="1"/>
  <c r="E81" i="1"/>
  <c r="D81" i="1"/>
  <c r="E75" i="1"/>
  <c r="D69" i="1"/>
  <c r="E61" i="1"/>
  <c r="D61" i="1"/>
  <c r="D54" i="1"/>
  <c r="D46" i="1"/>
  <c r="B43" i="1"/>
  <c r="B38" i="1" s="1"/>
  <c r="B35" i="1"/>
  <c r="B30" i="1" s="1"/>
  <c r="F4" i="1"/>
  <c r="E26" i="1"/>
  <c r="E24" i="1" s="1"/>
  <c r="E14" i="1"/>
  <c r="E16" i="1"/>
  <c r="E6" i="1"/>
  <c r="E4" i="1"/>
</calcChain>
</file>

<file path=xl/sharedStrings.xml><?xml version="1.0" encoding="utf-8"?>
<sst xmlns="http://schemas.openxmlformats.org/spreadsheetml/2006/main" count="160" uniqueCount="67">
  <si>
    <t>Банк предлагает два варианта размещения депозита в размере 1 млн. руб. на 3 года под 15 % годовых по схеме сложных процентов (с капитализацией), либо под 20 % годовых по схеме простых процентов. Какой вариант выгоднее для заемщика?</t>
  </si>
  <si>
    <t>Формула :</t>
  </si>
  <si>
    <t>i</t>
  </si>
  <si>
    <t>n</t>
  </si>
  <si>
    <t>ставка</t>
  </si>
  <si>
    <t>количество периодов</t>
  </si>
  <si>
    <t>PV</t>
  </si>
  <si>
    <t>приведенная стоимость</t>
  </si>
  <si>
    <t>FV = PV *(1 +i) ^ n</t>
  </si>
  <si>
    <t>FV = PV *(1 +in)</t>
  </si>
  <si>
    <t>Инвестор хочет через 25 лет выйти на пенсию и купить домик в Испании. Он планирует, что для этого нужно будет иметь 350тыс евро. Если текущая доходность банковского депозита в Европе равна 3% годовых, то сколько нужно пложить в банк сейчас, чтобы через 25 лет получить нужную сумму?</t>
  </si>
  <si>
    <t>FV депозита со сложными процентами</t>
  </si>
  <si>
    <t>FV депозита с простыми процентами</t>
  </si>
  <si>
    <t>PV депозита со сложными процентами</t>
  </si>
  <si>
    <t>PV депозита с простыми процентами</t>
  </si>
  <si>
    <t>PV = FV/(1 +in)</t>
  </si>
  <si>
    <t>PV = FV/(1 +i) ^ n</t>
  </si>
  <si>
    <t>FV</t>
  </si>
  <si>
    <t>сложный%</t>
  </si>
  <si>
    <t>простой%</t>
  </si>
  <si>
    <t>Банк предлагает положить депозит 3 млн руб. на 6 лет, обещая выплатить 1,5 млн рб. Процентов в конце срока. Какую процентную ставку предлагает банк, если подразумевается начисление процентов раз в год по сложной ставке?</t>
  </si>
  <si>
    <t>Процентная ставка со сложными процентами:</t>
  </si>
  <si>
    <t>Клиент банка взял кредит в размере 150 тыс. руб. на 2 года под 14% годовых с ежегодным начислением процентов и возвратом кредита и всех накопленных процентов в конце срока. Определить величину переплаты по кредиту в сравнении с изначальной суммой</t>
  </si>
  <si>
    <t>x = FV - PV</t>
  </si>
  <si>
    <t>будущая стоимость</t>
  </si>
  <si>
    <t>по формуле Excel - БС Ж:</t>
  </si>
  <si>
    <t>Клиент банка взял кредит в размере 150 тыс. руб. на 2 года под 14% годовых с ежемесячным начислением процентов и возвратом кредита и всех накопленных процентов в конце срока. Определить величину переплаты по кредиту в сравнении с изначальной суммой</t>
  </si>
  <si>
    <t>i = (FV/PV)^(1/n) - 1</t>
  </si>
  <si>
    <t>FV = PV *(1 +i/k) ^(k* n)</t>
  </si>
  <si>
    <t>Вкладчик внес в банк некую сумму денег под 12% годовых с начислением сложных процентов раз в квартал. Через 7 лет на счету у него оказалось 30 млн. рублей. Какую сумму пложил в банк вкладчик?</t>
  </si>
  <si>
    <t>k</t>
  </si>
  <si>
    <t>PV = FV /(1 +i/k) ^(k* n)</t>
  </si>
  <si>
    <t>Какая доходность должна быть у инвестиций, чтобы они позволили инвестору увеличить свои вложения в 2 раза на горизонте 5 лет?</t>
  </si>
  <si>
    <t>Формула:</t>
  </si>
  <si>
    <t>i = FV ^(1/n) -1</t>
  </si>
  <si>
    <t>Менеджер получил годовой бонус в размере 2,5 млн рублей и хочет отдать его в управление профессиональному трейдеру на фондововм рынке. Какую сумму он может ожидать получить через 15 лет, если средняя доходность, которую ему обещает трудер, составит 12% годовых?</t>
  </si>
  <si>
    <t>1 БЛОК</t>
  </si>
  <si>
    <t>2 БЛОК</t>
  </si>
  <si>
    <t>Микрофинансовая организация начисляет 0.5% за каждый день пользования кредитом (исходя из 365 дней в году). Какая эффективная ставка по кредиту?</t>
  </si>
  <si>
    <t>i_ef = (1+i/k)^k -1</t>
  </si>
  <si>
    <t>i/k</t>
  </si>
  <si>
    <t>Инвестор подвел итоги года и рассчитал, что за год его инвестиции принесли доходность 18%. Если инфляция в стране за этот период составила 7%, какая реальная доходность его инвестиций?</t>
  </si>
  <si>
    <t>(1 + Rном) = (1 + Rинф)*(1 + Rреал)</t>
  </si>
  <si>
    <t>Rреал</t>
  </si>
  <si>
    <t>Rинф</t>
  </si>
  <si>
    <t>Rном</t>
  </si>
  <si>
    <t>Если в договоре банковского депозита предусмотрено ежеквартальное начисление процентов по номинальной ставке 10% годовых, то какова эффективная ставка?</t>
  </si>
  <si>
    <t>Инвестиционный фонд сообщил своим участникам, что номинальная доходность инвестиций составила 12% за год, в то время как реальная - только 8,5%. Какая инфляция была заложена в расчеты?</t>
  </si>
  <si>
    <t>3 БЛОК</t>
  </si>
  <si>
    <t>Согласно договору со страховой компанией по дговору накопительной пенсии она гарантирует выплаты в размере 250 тыс. руб./год в течение 15 лет. Если стоимость денег равно 10% годовых, то сколько будет стоить такой пенсионный контракт сейчас?</t>
  </si>
  <si>
    <t>A</t>
  </si>
  <si>
    <t>Excel - ПС</t>
  </si>
  <si>
    <t>Если класть в банк по 100 долларов в течение 10 лет начиная со следующего меясца, а банк при этом начисляет 8% годовых, то какая сумма получится на депозите через 20 лет?</t>
  </si>
  <si>
    <t>Для обеспечения себя будущей пенсией человек заключил договор финансовой ренты на 20 лет по ставке 12% годовых. В момент заключения он заплатл 7 млн. руб. Оплата ренты будет проходить в виде ежемесячных аннуитетных платежей. Какой размер этого платежа?</t>
  </si>
  <si>
    <t>Excel = ПЛТ</t>
  </si>
  <si>
    <t>Если в предыдущей задаче срок такой ренты в договоре будет бесконечным (то есть, юридически до момента смерти пенсионера), то каков размер ежемесячного платежа?</t>
  </si>
  <si>
    <t>A=PV*(i/k)</t>
  </si>
  <si>
    <t>4 БЛОК</t>
  </si>
  <si>
    <t>Есть 3-х летняя облигация, номиналом 1000 долларов и купоном 5%, уплачиваемым 1 раз в год. Текущая цена равно 900 долларов. Какова доходность этой облигации</t>
  </si>
  <si>
    <t>А</t>
  </si>
  <si>
    <t>Каков номинал 4-х летней облигации, если ее рыночная цена равна 1100 рублей, по ней платится ежегодный купон в размере 100 рублей и ее доходность равна 12% годовых</t>
  </si>
  <si>
    <t>Excel = СТАВКА</t>
  </si>
  <si>
    <t>Excel - БС</t>
  </si>
  <si>
    <t>Есть 7-ми летняя облигация, номиналом 1000 рублей и с купоном 12% уплачиваемым 2 раза в год. Пусть стоимость денег для держателя облигаций равна 10% годовых. Какая справедливая цена для облигации?</t>
  </si>
  <si>
    <t>Есть 7-ми летняя облигация, номиналом 1000 рублей и с купоном 12% уплачиваемым 2 раза в год. Рыночная цена облигации равна 950 рублей. Какова доходность облигации (т.е. стоимость денег)?</t>
  </si>
  <si>
    <t>Заемщик получил в банке кредит в размере 1 миллион рублей, выданный на 2 года под ставку 16% годовых, с ежемесячными аннуитентными платежами. Опеределить размер совокупной переплаты для заемщика</t>
  </si>
  <si>
    <t>Банк предлагает два варианта финансирования 3 млн. руб.: либо кредит под 10% годовых на 4 года с ежеквартальным погашением, либо лизинг под 11% годовых на 3 года с ежемесячными аннуитентным погашением и выкупной суммой 500 тыс. руб. Определить какой вариант выгодней с точки зрения переплаты.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</si>
</sst>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₽&quot;;[Red]\-#,##0.00\ &quot;₽&quot;"/>
    <numFmt numFmtId="44" formatCode="_-* #,##0.00\ &quot;₽&quot;_-;\-* #,##0.00\ &quot;₽&quot;_-;_-* &quot;-&quot;??\ &quot;₽&quot;_-;_-@_-"/>
    <numFmt numFmtId="169" formatCode="#,##0.00\ &quot;₽&quot;"/>
    <numFmt numFmtId="174" formatCode="_-[$$-409]* #,##0.00_ ;_-[$$-409]* \-#,##0.00\ ;_-[$$-409]* &quot;-&quot;??_ ;_-@_ "/>
    <numFmt numFmtId="175" formatCode="_-* #,##0.00\ [$₽-419]_-;\-* #,##0.00\ [$₽-419]_-;_-* &quot;-&quot;??\ [$₽-419]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 applyAlignment="1">
      <alignment horizontal="left" vertical="center" wrapText="1"/>
    </xf>
    <xf numFmtId="0" fontId="2" fillId="0" borderId="0" xfId="0" applyFont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2" fillId="0" borderId="0" xfId="1" applyNumberFormat="1" applyFont="1"/>
    <xf numFmtId="8" fontId="0" fillId="0" borderId="0" xfId="0" applyNumberFormat="1"/>
    <xf numFmtId="169" fontId="0" fillId="0" borderId="0" xfId="0" applyNumberFormat="1"/>
    <xf numFmtId="8" fontId="2" fillId="0" borderId="0" xfId="0" applyNumberFormat="1" applyFont="1"/>
    <xf numFmtId="0" fontId="3" fillId="0" borderId="0" xfId="0" applyFont="1"/>
    <xf numFmtId="169" fontId="2" fillId="0" borderId="0" xfId="0" applyNumberFormat="1" applyFont="1"/>
    <xf numFmtId="0" fontId="0" fillId="0" borderId="1" xfId="0" applyBorder="1"/>
    <xf numFmtId="9" fontId="0" fillId="0" borderId="1" xfId="0" applyNumberFormat="1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2" fillId="0" borderId="5" xfId="0" applyFont="1" applyBorder="1"/>
    <xf numFmtId="8" fontId="0" fillId="0" borderId="5" xfId="0" applyNumberFormat="1" applyBorder="1"/>
    <xf numFmtId="0" fontId="2" fillId="0" borderId="0" xfId="0" applyFont="1" applyBorder="1"/>
    <xf numFmtId="0" fontId="0" fillId="0" borderId="0" xfId="0" applyBorder="1" applyAlignment="1">
      <alignment horizontal="right" vertical="center"/>
    </xf>
    <xf numFmtId="0" fontId="0" fillId="0" borderId="7" xfId="0" applyBorder="1"/>
    <xf numFmtId="0" fontId="2" fillId="0" borderId="7" xfId="0" applyFont="1" applyBorder="1"/>
    <xf numFmtId="8" fontId="0" fillId="0" borderId="7" xfId="0" applyNumberFormat="1" applyBorder="1" applyAlignment="1">
      <alignment horizontal="right" vertical="center"/>
    </xf>
    <xf numFmtId="0" fontId="2" fillId="0" borderId="8" xfId="0" applyFont="1" applyBorder="1"/>
    <xf numFmtId="0" fontId="0" fillId="0" borderId="8" xfId="0" applyBorder="1"/>
    <xf numFmtId="2" fontId="2" fillId="0" borderId="7" xfId="0" applyNumberFormat="1" applyFont="1" applyBorder="1"/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1" xfId="0" applyNumberFormat="1" applyBorder="1"/>
    <xf numFmtId="8" fontId="0" fillId="0" borderId="1" xfId="0" applyNumberFormat="1" applyBorder="1"/>
    <xf numFmtId="0" fontId="4" fillId="0" borderId="0" xfId="0" applyFont="1" applyAlignment="1">
      <alignment horizontal="center"/>
    </xf>
    <xf numFmtId="10" fontId="0" fillId="0" borderId="0" xfId="0" applyNumberFormat="1"/>
    <xf numFmtId="9" fontId="2" fillId="0" borderId="0" xfId="1" applyFont="1"/>
    <xf numFmtId="10" fontId="2" fillId="0" borderId="0" xfId="0" applyNumberFormat="1" applyFont="1"/>
    <xf numFmtId="174" fontId="0" fillId="0" borderId="0" xfId="0" applyNumberFormat="1"/>
    <xf numFmtId="174" fontId="2" fillId="0" borderId="0" xfId="0" applyNumberFormat="1" applyFont="1"/>
    <xf numFmtId="174" fontId="0" fillId="0" borderId="0" xfId="0" applyNumberFormat="1" applyAlignment="1">
      <alignment horizontal="right"/>
    </xf>
    <xf numFmtId="175" fontId="0" fillId="0" borderId="0" xfId="0" applyNumberFormat="1"/>
    <xf numFmtId="0" fontId="0" fillId="0" borderId="0" xfId="0" applyNumberFormat="1"/>
    <xf numFmtId="44" fontId="2" fillId="0" borderId="0" xfId="0" applyNumberFormat="1" applyFont="1"/>
    <xf numFmtId="8" fontId="5" fillId="0" borderId="0" xfId="0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692A-68A2-48E9-A731-3EB74119386A}">
  <dimension ref="A1:L169"/>
  <sheetViews>
    <sheetView tabSelected="1" workbookViewId="0">
      <selection activeCell="A4" sqref="A4:B4"/>
    </sheetView>
  </sheetViews>
  <sheetFormatPr defaultRowHeight="14.5" x14ac:dyDescent="0.35"/>
  <cols>
    <col min="1" max="1" width="10.453125" customWidth="1"/>
    <col min="2" max="2" width="15.1796875" customWidth="1"/>
    <col min="3" max="3" width="13.81640625" customWidth="1"/>
    <col min="4" max="4" width="13.90625" bestFit="1" customWidth="1"/>
    <col min="5" max="5" width="24.90625" customWidth="1"/>
    <col min="6" max="6" width="23.36328125" customWidth="1"/>
  </cols>
  <sheetData>
    <row r="1" spans="1:12" ht="23.5" x14ac:dyDescent="0.55000000000000004">
      <c r="A1" s="33" t="s">
        <v>36</v>
      </c>
      <c r="B1" s="33"/>
      <c r="C1" s="33"/>
    </row>
    <row r="2" spans="1:12" ht="52.5" customHeight="1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5">
      <c r="A3" s="20" t="s">
        <v>11</v>
      </c>
      <c r="B3" s="15"/>
      <c r="C3" s="15"/>
      <c r="D3" s="15"/>
      <c r="E3" s="15"/>
      <c r="F3" s="21" t="s">
        <v>25</v>
      </c>
    </row>
    <row r="4" spans="1:12" x14ac:dyDescent="0.35">
      <c r="A4" s="22" t="s">
        <v>1</v>
      </c>
      <c r="B4" s="22" t="s">
        <v>8</v>
      </c>
      <c r="C4" s="22"/>
      <c r="D4" s="22"/>
      <c r="E4" s="23">
        <f>E10*((1+E8)^E9)</f>
        <v>1520874.9999999995</v>
      </c>
      <c r="F4" s="24">
        <f>FV(E8,E9,0,-E10)</f>
        <v>1520874.9999999995</v>
      </c>
    </row>
    <row r="5" spans="1:12" x14ac:dyDescent="0.35">
      <c r="A5" s="25" t="s">
        <v>12</v>
      </c>
      <c r="B5" s="26"/>
      <c r="C5" s="26"/>
      <c r="D5" s="26"/>
      <c r="E5" s="20"/>
      <c r="F5" s="15"/>
    </row>
    <row r="6" spans="1:12" x14ac:dyDescent="0.35">
      <c r="A6" s="22" t="s">
        <v>1</v>
      </c>
      <c r="B6" s="22" t="s">
        <v>9</v>
      </c>
      <c r="C6" s="22"/>
      <c r="D6" s="22"/>
      <c r="E6" s="18">
        <f>F10*(1+(F8)*F9)</f>
        <v>1600000</v>
      </c>
      <c r="F6" s="19"/>
    </row>
    <row r="7" spans="1:12" x14ac:dyDescent="0.35">
      <c r="A7" s="16"/>
      <c r="B7" s="16"/>
      <c r="C7" s="16"/>
      <c r="D7" s="17"/>
      <c r="E7" s="17" t="s">
        <v>18</v>
      </c>
      <c r="F7" s="14" t="s">
        <v>19</v>
      </c>
    </row>
    <row r="8" spans="1:12" x14ac:dyDescent="0.35">
      <c r="A8" s="14" t="s">
        <v>2</v>
      </c>
      <c r="B8" s="28" t="s">
        <v>4</v>
      </c>
      <c r="C8" s="29"/>
      <c r="D8" s="30"/>
      <c r="E8" s="13">
        <v>0.15</v>
      </c>
      <c r="F8" s="13">
        <v>0.2</v>
      </c>
    </row>
    <row r="9" spans="1:12" x14ac:dyDescent="0.35">
      <c r="A9" s="12" t="s">
        <v>3</v>
      </c>
      <c r="B9" s="28" t="s">
        <v>5</v>
      </c>
      <c r="C9" s="29"/>
      <c r="D9" s="30"/>
      <c r="E9" s="12">
        <v>3</v>
      </c>
      <c r="F9" s="12">
        <v>3</v>
      </c>
    </row>
    <row r="10" spans="1:12" x14ac:dyDescent="0.35">
      <c r="A10" s="12" t="s">
        <v>6</v>
      </c>
      <c r="B10" s="28" t="s">
        <v>7</v>
      </c>
      <c r="C10" s="29"/>
      <c r="D10" s="30"/>
      <c r="E10" s="12">
        <v>1000000</v>
      </c>
      <c r="F10" s="12">
        <v>1000000</v>
      </c>
    </row>
    <row r="12" spans="1:12" ht="45.5" customHeight="1" x14ac:dyDescent="0.35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5">
      <c r="A13" s="20" t="s">
        <v>13</v>
      </c>
      <c r="B13" s="15"/>
      <c r="C13" s="15"/>
      <c r="D13" s="15"/>
      <c r="E13" s="15"/>
    </row>
    <row r="14" spans="1:12" x14ac:dyDescent="0.35">
      <c r="A14" s="22" t="s">
        <v>1</v>
      </c>
      <c r="B14" s="22" t="s">
        <v>16</v>
      </c>
      <c r="C14" s="22"/>
      <c r="D14" s="22"/>
      <c r="E14" s="27">
        <f>E20/(1+E18)^E19</f>
        <v>167161.94924158088</v>
      </c>
    </row>
    <row r="15" spans="1:12" x14ac:dyDescent="0.35">
      <c r="A15" s="20" t="s">
        <v>14</v>
      </c>
      <c r="B15" s="15"/>
      <c r="C15" s="15"/>
      <c r="D15" s="15"/>
      <c r="E15" s="20"/>
    </row>
    <row r="16" spans="1:12" x14ac:dyDescent="0.35">
      <c r="A16" s="22" t="s">
        <v>1</v>
      </c>
      <c r="B16" s="22" t="s">
        <v>15</v>
      </c>
      <c r="C16" s="22"/>
      <c r="D16" s="22"/>
      <c r="E16" s="20">
        <f>F20/(1+F18*F19)</f>
        <v>200000</v>
      </c>
    </row>
    <row r="17" spans="1:12" x14ac:dyDescent="0.35">
      <c r="E17" s="12" t="s">
        <v>18</v>
      </c>
      <c r="F17" s="12" t="s">
        <v>19</v>
      </c>
    </row>
    <row r="18" spans="1:12" x14ac:dyDescent="0.35">
      <c r="A18" s="12" t="s">
        <v>2</v>
      </c>
      <c r="B18" s="28" t="s">
        <v>4</v>
      </c>
      <c r="C18" s="29"/>
      <c r="D18" s="30"/>
      <c r="E18" s="13">
        <v>0.03</v>
      </c>
      <c r="F18" s="13">
        <v>0.03</v>
      </c>
    </row>
    <row r="19" spans="1:12" x14ac:dyDescent="0.35">
      <c r="A19" s="12" t="s">
        <v>3</v>
      </c>
      <c r="B19" s="28" t="s">
        <v>5</v>
      </c>
      <c r="C19" s="29"/>
      <c r="D19" s="30"/>
      <c r="E19" s="12">
        <v>25</v>
      </c>
      <c r="F19" s="12">
        <v>25</v>
      </c>
    </row>
    <row r="20" spans="1:12" x14ac:dyDescent="0.35">
      <c r="A20" s="12" t="s">
        <v>17</v>
      </c>
      <c r="B20" s="28" t="s">
        <v>24</v>
      </c>
      <c r="C20" s="29"/>
      <c r="D20" s="30"/>
      <c r="E20" s="12">
        <v>350000</v>
      </c>
      <c r="F20" s="12">
        <v>350000</v>
      </c>
    </row>
    <row r="22" spans="1:12" ht="30.5" customHeight="1" x14ac:dyDescent="0.35">
      <c r="A22" s="1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A23" s="2" t="s">
        <v>21</v>
      </c>
    </row>
    <row r="24" spans="1:12" x14ac:dyDescent="0.35">
      <c r="A24" t="s">
        <v>27</v>
      </c>
      <c r="E24" s="6">
        <f>(E26/E25)^(1/E27) - 1</f>
        <v>6.991319393366302E-2</v>
      </c>
    </row>
    <row r="25" spans="1:12" x14ac:dyDescent="0.35">
      <c r="A25" t="s">
        <v>6</v>
      </c>
      <c r="B25" t="s">
        <v>7</v>
      </c>
      <c r="E25">
        <v>3000000</v>
      </c>
    </row>
    <row r="26" spans="1:12" x14ac:dyDescent="0.35">
      <c r="A26" t="s">
        <v>17</v>
      </c>
      <c r="B26" t="s">
        <v>24</v>
      </c>
      <c r="E26">
        <f>E25+1500000</f>
        <v>4500000</v>
      </c>
    </row>
    <row r="27" spans="1:12" x14ac:dyDescent="0.35">
      <c r="A27" t="s">
        <v>3</v>
      </c>
      <c r="B27" t="s">
        <v>5</v>
      </c>
      <c r="E27">
        <v>6</v>
      </c>
    </row>
    <row r="29" spans="1:12" ht="44.5" customHeight="1" x14ac:dyDescent="0.35">
      <c r="A29" s="1" t="s">
        <v>22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A30" t="s">
        <v>23</v>
      </c>
      <c r="B30" s="9">
        <f>B35-B34</f>
        <v>44940.000000000058</v>
      </c>
      <c r="D30" s="7"/>
    </row>
    <row r="32" spans="1:12" x14ac:dyDescent="0.35">
      <c r="A32" s="12" t="s">
        <v>2</v>
      </c>
      <c r="B32" s="13">
        <v>0.14000000000000001</v>
      </c>
    </row>
    <row r="33" spans="1:12" x14ac:dyDescent="0.35">
      <c r="A33" s="12" t="s">
        <v>3</v>
      </c>
      <c r="B33" s="12">
        <v>2</v>
      </c>
    </row>
    <row r="34" spans="1:12" x14ac:dyDescent="0.35">
      <c r="A34" s="12" t="s">
        <v>6</v>
      </c>
      <c r="B34" s="31">
        <v>150000</v>
      </c>
    </row>
    <row r="35" spans="1:12" x14ac:dyDescent="0.35">
      <c r="A35" s="12" t="s">
        <v>17</v>
      </c>
      <c r="B35" s="32">
        <f>FV(B32,B33,0,-B34)</f>
        <v>194940.00000000006</v>
      </c>
    </row>
    <row r="37" spans="1:12" ht="44" customHeight="1" x14ac:dyDescent="0.35">
      <c r="A37" s="1" t="s">
        <v>26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5">
      <c r="A38" t="s">
        <v>23</v>
      </c>
      <c r="B38" s="7">
        <f>B43-B42</f>
        <v>48148.06501530399</v>
      </c>
    </row>
    <row r="40" spans="1:12" x14ac:dyDescent="0.35">
      <c r="A40" s="12" t="s">
        <v>2</v>
      </c>
      <c r="B40" s="13">
        <v>0.14000000000000001</v>
      </c>
    </row>
    <row r="41" spans="1:12" x14ac:dyDescent="0.35">
      <c r="A41" s="12" t="s">
        <v>3</v>
      </c>
      <c r="B41" s="12">
        <v>2</v>
      </c>
    </row>
    <row r="42" spans="1:12" x14ac:dyDescent="0.35">
      <c r="A42" s="12" t="s">
        <v>6</v>
      </c>
      <c r="B42" s="31">
        <v>150000</v>
      </c>
    </row>
    <row r="43" spans="1:12" x14ac:dyDescent="0.35">
      <c r="A43" s="12" t="s">
        <v>17</v>
      </c>
      <c r="B43" s="32">
        <f>B42*((1+B40/12)^(12*B41))</f>
        <v>198148.06501530399</v>
      </c>
      <c r="C43" s="10" t="s">
        <v>1</v>
      </c>
      <c r="D43" s="10" t="s">
        <v>28</v>
      </c>
    </row>
    <row r="45" spans="1:12" ht="31.5" customHeight="1" x14ac:dyDescent="0.35">
      <c r="A45" s="1" t="s">
        <v>29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35">
      <c r="A46" s="10" t="s">
        <v>1</v>
      </c>
      <c r="B46" s="10" t="s">
        <v>31</v>
      </c>
      <c r="D46" s="11">
        <f>B51/((1+B48/B50)^(B50*B49))</f>
        <v>13112302.595112767</v>
      </c>
    </row>
    <row r="48" spans="1:12" x14ac:dyDescent="0.35">
      <c r="A48" s="12" t="s">
        <v>2</v>
      </c>
      <c r="B48" s="13">
        <v>0.12</v>
      </c>
    </row>
    <row r="49" spans="1:12" x14ac:dyDescent="0.35">
      <c r="A49" s="12" t="s">
        <v>3</v>
      </c>
      <c r="B49" s="12">
        <v>7</v>
      </c>
    </row>
    <row r="50" spans="1:12" x14ac:dyDescent="0.35">
      <c r="A50" s="12" t="s">
        <v>30</v>
      </c>
      <c r="B50" s="12">
        <v>4</v>
      </c>
    </row>
    <row r="51" spans="1:12" x14ac:dyDescent="0.35">
      <c r="A51" s="12" t="s">
        <v>17</v>
      </c>
      <c r="B51" s="31">
        <v>30000000</v>
      </c>
    </row>
    <row r="53" spans="1:12" ht="42.5" customHeight="1" x14ac:dyDescent="0.35">
      <c r="A53" s="1" t="s">
        <v>32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5">
      <c r="A54" t="s">
        <v>33</v>
      </c>
      <c r="B54" s="10" t="s">
        <v>34</v>
      </c>
      <c r="C54" s="5"/>
      <c r="D54" s="6">
        <f>B57^(1/B58)-1</f>
        <v>0.1486983549970351</v>
      </c>
    </row>
    <row r="56" spans="1:12" x14ac:dyDescent="0.35">
      <c r="A56" t="s">
        <v>6</v>
      </c>
      <c r="B56">
        <v>1</v>
      </c>
    </row>
    <row r="57" spans="1:12" x14ac:dyDescent="0.35">
      <c r="A57" t="s">
        <v>17</v>
      </c>
      <c r="B57">
        <v>2</v>
      </c>
    </row>
    <row r="58" spans="1:12" x14ac:dyDescent="0.35">
      <c r="A58" t="s">
        <v>30</v>
      </c>
      <c r="B58">
        <v>5</v>
      </c>
    </row>
    <row r="60" spans="1:12" ht="29" customHeight="1" x14ac:dyDescent="0.35">
      <c r="A60" s="1" t="s">
        <v>35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35">
      <c r="A61" t="s">
        <v>33</v>
      </c>
      <c r="B61" s="22" t="s">
        <v>8</v>
      </c>
      <c r="D61" s="11">
        <f>B63*((1+B65)^B64)</f>
        <v>13683914.398142608</v>
      </c>
      <c r="E61" s="9">
        <f>FV(B65,B64,0,-B63)</f>
        <v>13683914.398142608</v>
      </c>
    </row>
    <row r="62" spans="1:12" x14ac:dyDescent="0.35">
      <c r="B62" s="15"/>
    </row>
    <row r="63" spans="1:12" x14ac:dyDescent="0.35">
      <c r="A63" t="s">
        <v>6</v>
      </c>
      <c r="B63" s="8">
        <v>2500000</v>
      </c>
    </row>
    <row r="64" spans="1:12" x14ac:dyDescent="0.35">
      <c r="A64" t="s">
        <v>3</v>
      </c>
      <c r="B64">
        <v>15</v>
      </c>
    </row>
    <row r="65" spans="1:12" x14ac:dyDescent="0.35">
      <c r="A65" t="s">
        <v>2</v>
      </c>
      <c r="B65" s="4">
        <v>0.12</v>
      </c>
    </row>
    <row r="67" spans="1:12" ht="23.5" x14ac:dyDescent="0.55000000000000004">
      <c r="A67" s="33" t="s">
        <v>37</v>
      </c>
      <c r="B67" s="33"/>
      <c r="C67" s="33"/>
    </row>
    <row r="68" spans="1:12" x14ac:dyDescent="0.35">
      <c r="A68" s="1" t="s">
        <v>38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5">
      <c r="A69" t="s">
        <v>33</v>
      </c>
      <c r="B69" t="s">
        <v>39</v>
      </c>
      <c r="D69" s="35">
        <f>(1+B72)^B71-1</f>
        <v>5.1746527834309033</v>
      </c>
    </row>
    <row r="71" spans="1:12" x14ac:dyDescent="0.35">
      <c r="A71" t="s">
        <v>30</v>
      </c>
      <c r="B71">
        <v>365</v>
      </c>
    </row>
    <row r="72" spans="1:12" x14ac:dyDescent="0.35">
      <c r="A72" t="s">
        <v>40</v>
      </c>
      <c r="B72" s="34">
        <v>5.0000000000000001E-3</v>
      </c>
    </row>
    <row r="74" spans="1:12" ht="29" customHeight="1" x14ac:dyDescent="0.35">
      <c r="A74" s="1" t="s">
        <v>41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5">
      <c r="A75" t="s">
        <v>33</v>
      </c>
      <c r="B75" t="s">
        <v>42</v>
      </c>
      <c r="E75" s="36">
        <f>(1+B77)/(1+B78)-1</f>
        <v>0.10280373831775691</v>
      </c>
    </row>
    <row r="77" spans="1:12" x14ac:dyDescent="0.35">
      <c r="A77" t="s">
        <v>45</v>
      </c>
      <c r="B77" s="3">
        <v>0.18</v>
      </c>
    </row>
    <row r="78" spans="1:12" x14ac:dyDescent="0.35">
      <c r="A78" t="s">
        <v>44</v>
      </c>
      <c r="B78" s="3">
        <v>7.0000000000000007E-2</v>
      </c>
    </row>
    <row r="80" spans="1:12" x14ac:dyDescent="0.35">
      <c r="A80" s="1" t="s">
        <v>46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5">
      <c r="A81" t="s">
        <v>33</v>
      </c>
      <c r="B81" t="s">
        <v>39</v>
      </c>
      <c r="D81" s="6">
        <f>((1+B83/B84)^B84)-1</f>
        <v>0.10381289062499977</v>
      </c>
      <c r="E81" s="6">
        <f>EFFECT(B83,B84)</f>
        <v>0.10381289062499977</v>
      </c>
    </row>
    <row r="83" spans="1:12" x14ac:dyDescent="0.35">
      <c r="A83" t="s">
        <v>2</v>
      </c>
      <c r="B83" s="3">
        <v>0.1</v>
      </c>
    </row>
    <row r="84" spans="1:12" x14ac:dyDescent="0.35">
      <c r="A84" t="s">
        <v>30</v>
      </c>
      <c r="B84">
        <v>4</v>
      </c>
    </row>
    <row r="86" spans="1:12" ht="29" customHeight="1" x14ac:dyDescent="0.35">
      <c r="A86" s="1" t="s">
        <v>47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5">
      <c r="A87" t="s">
        <v>33</v>
      </c>
      <c r="B87" t="s">
        <v>42</v>
      </c>
      <c r="E87" s="36">
        <f>(1+B89)/(1+B90)-1</f>
        <v>3.2258064516129226E-2</v>
      </c>
    </row>
    <row r="89" spans="1:12" x14ac:dyDescent="0.35">
      <c r="A89" t="s">
        <v>45</v>
      </c>
      <c r="B89" s="3">
        <v>0.12</v>
      </c>
    </row>
    <row r="90" spans="1:12" x14ac:dyDescent="0.35">
      <c r="A90" t="s">
        <v>43</v>
      </c>
      <c r="B90" s="34">
        <v>8.5000000000000006E-2</v>
      </c>
    </row>
    <row r="92" spans="1:12" ht="23.5" x14ac:dyDescent="0.55000000000000004">
      <c r="A92" s="33" t="s">
        <v>48</v>
      </c>
      <c r="B92" s="33"/>
      <c r="C92" s="33"/>
    </row>
    <row r="93" spans="1:12" ht="31.5" customHeight="1" x14ac:dyDescent="0.35">
      <c r="A93" s="1" t="s">
        <v>49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5">
      <c r="A94" s="7" t="s">
        <v>51</v>
      </c>
      <c r="B94" s="9">
        <f>PV(B97,B96,-B98)</f>
        <v>1901519.8765770914</v>
      </c>
    </row>
    <row r="96" spans="1:12" x14ac:dyDescent="0.35">
      <c r="A96" t="s">
        <v>3</v>
      </c>
      <c r="B96">
        <v>15</v>
      </c>
    </row>
    <row r="97" spans="1:12" x14ac:dyDescent="0.35">
      <c r="A97" t="s">
        <v>2</v>
      </c>
      <c r="B97" s="3">
        <v>0.1</v>
      </c>
    </row>
    <row r="98" spans="1:12" x14ac:dyDescent="0.35">
      <c r="A98" t="s">
        <v>50</v>
      </c>
      <c r="B98">
        <v>250000</v>
      </c>
    </row>
    <row r="100" spans="1:12" ht="30" customHeight="1" x14ac:dyDescent="0.35">
      <c r="A100" s="1" t="s">
        <v>52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35">
      <c r="A101" t="s">
        <v>3</v>
      </c>
      <c r="B101">
        <v>10</v>
      </c>
      <c r="C101">
        <v>20</v>
      </c>
    </row>
    <row r="102" spans="1:12" x14ac:dyDescent="0.35">
      <c r="A102" t="s">
        <v>2</v>
      </c>
      <c r="B102" s="3">
        <v>0.08</v>
      </c>
      <c r="C102" s="3">
        <v>0.08</v>
      </c>
    </row>
    <row r="103" spans="1:12" x14ac:dyDescent="0.35">
      <c r="A103" t="s">
        <v>50</v>
      </c>
      <c r="B103" s="39">
        <v>100</v>
      </c>
      <c r="C103">
        <v>0</v>
      </c>
    </row>
    <row r="104" spans="1:12" x14ac:dyDescent="0.35">
      <c r="A104" t="s">
        <v>6</v>
      </c>
      <c r="B104">
        <v>0</v>
      </c>
      <c r="C104">
        <f>B105</f>
        <v>18294.603518170716</v>
      </c>
    </row>
    <row r="105" spans="1:12" x14ac:dyDescent="0.35">
      <c r="A105" t="s">
        <v>17</v>
      </c>
      <c r="B105" s="37">
        <f>FV(B102/12,B101*12,-B103)</f>
        <v>18294.603518170716</v>
      </c>
      <c r="C105" s="38">
        <f>FV(C102/12,(C101-10)*12,0,-C104)</f>
        <v>40607.438043975002</v>
      </c>
    </row>
    <row r="107" spans="1:12" ht="29.5" customHeight="1" x14ac:dyDescent="0.35">
      <c r="A107" s="1" t="s">
        <v>53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35">
      <c r="A108" t="s">
        <v>54</v>
      </c>
      <c r="B108" s="9">
        <f>PMT(B110/B113,B113*B112,-B111)</f>
        <v>77076.029349872697</v>
      </c>
    </row>
    <row r="110" spans="1:12" x14ac:dyDescent="0.35">
      <c r="A110" t="s">
        <v>2</v>
      </c>
      <c r="B110" s="3">
        <v>0.12</v>
      </c>
    </row>
    <row r="111" spans="1:12" x14ac:dyDescent="0.35">
      <c r="A111" t="s">
        <v>6</v>
      </c>
      <c r="B111" s="40">
        <v>7000000</v>
      </c>
    </row>
    <row r="112" spans="1:12" x14ac:dyDescent="0.35">
      <c r="A112" t="s">
        <v>3</v>
      </c>
      <c r="B112">
        <v>20</v>
      </c>
    </row>
    <row r="113" spans="1:12" x14ac:dyDescent="0.35">
      <c r="A113" t="s">
        <v>30</v>
      </c>
      <c r="B113">
        <v>12</v>
      </c>
    </row>
    <row r="114" spans="1:12" x14ac:dyDescent="0.35">
      <c r="B114" s="7"/>
    </row>
    <row r="115" spans="1:12" x14ac:dyDescent="0.35">
      <c r="A115" s="1" t="s">
        <v>55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5">
      <c r="A116" t="s">
        <v>33</v>
      </c>
      <c r="B116" t="s">
        <v>56</v>
      </c>
      <c r="C116" s="11">
        <f>B111*(B110/B113)</f>
        <v>70000</v>
      </c>
    </row>
    <row r="118" spans="1:12" ht="23.5" x14ac:dyDescent="0.55000000000000004">
      <c r="A118" s="33" t="s">
        <v>57</v>
      </c>
      <c r="B118" s="33"/>
      <c r="C118" s="33"/>
    </row>
    <row r="119" spans="1:12" x14ac:dyDescent="0.35">
      <c r="A119" s="1" t="s">
        <v>58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1" spans="1:12" x14ac:dyDescent="0.35">
      <c r="A121" t="s">
        <v>6</v>
      </c>
      <c r="B121" s="37">
        <v>900</v>
      </c>
    </row>
    <row r="122" spans="1:12" x14ac:dyDescent="0.35">
      <c r="A122" t="s">
        <v>17</v>
      </c>
      <c r="B122" s="37">
        <v>1000</v>
      </c>
      <c r="D122" s="37"/>
    </row>
    <row r="123" spans="1:12" x14ac:dyDescent="0.35">
      <c r="A123" t="s">
        <v>2</v>
      </c>
      <c r="B123" s="36">
        <f>RATE(B124,B125,-B121,B122)</f>
        <v>8.9468026327162928E-2</v>
      </c>
      <c r="C123" t="s">
        <v>61</v>
      </c>
    </row>
    <row r="124" spans="1:12" x14ac:dyDescent="0.35">
      <c r="A124" t="s">
        <v>3</v>
      </c>
      <c r="B124" s="41">
        <v>3</v>
      </c>
    </row>
    <row r="125" spans="1:12" x14ac:dyDescent="0.35">
      <c r="A125" t="s">
        <v>59</v>
      </c>
      <c r="B125" s="37">
        <f>5%*B122</f>
        <v>50</v>
      </c>
    </row>
    <row r="127" spans="1:12" ht="30" customHeight="1" x14ac:dyDescent="0.35">
      <c r="A127" s="1" t="s">
        <v>60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9" spans="1:12" x14ac:dyDescent="0.35">
      <c r="A129" t="s">
        <v>6</v>
      </c>
      <c r="B129" s="40">
        <v>1100</v>
      </c>
    </row>
    <row r="130" spans="1:12" x14ac:dyDescent="0.35">
      <c r="A130" t="s">
        <v>17</v>
      </c>
      <c r="B130" s="9">
        <f>FV(B131,B132,B133,-B129)</f>
        <v>1252.9384960000002</v>
      </c>
      <c r="C130" t="s">
        <v>62</v>
      </c>
    </row>
    <row r="131" spans="1:12" x14ac:dyDescent="0.35">
      <c r="A131" t="s">
        <v>2</v>
      </c>
      <c r="B131" s="3">
        <v>0.12</v>
      </c>
    </row>
    <row r="132" spans="1:12" x14ac:dyDescent="0.35">
      <c r="A132" t="s">
        <v>3</v>
      </c>
      <c r="B132">
        <v>4</v>
      </c>
    </row>
    <row r="133" spans="1:12" x14ac:dyDescent="0.35">
      <c r="A133" t="s">
        <v>59</v>
      </c>
      <c r="B133" s="40">
        <v>100</v>
      </c>
    </row>
    <row r="135" spans="1:12" ht="29.5" customHeight="1" x14ac:dyDescent="0.35">
      <c r="A135" s="1" t="s">
        <v>63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7" spans="1:12" x14ac:dyDescent="0.35">
      <c r="A137" t="s">
        <v>6</v>
      </c>
      <c r="B137" s="42">
        <f>PV(B139/2,B140,B141,B138)</f>
        <v>-1098.9864094008963</v>
      </c>
      <c r="C137" t="s">
        <v>51</v>
      </c>
    </row>
    <row r="138" spans="1:12" x14ac:dyDescent="0.35">
      <c r="A138" t="s">
        <v>17</v>
      </c>
      <c r="B138" s="40">
        <v>1000</v>
      </c>
    </row>
    <row r="139" spans="1:12" x14ac:dyDescent="0.35">
      <c r="A139" t="s">
        <v>2</v>
      </c>
      <c r="B139" s="3">
        <v>0.1</v>
      </c>
    </row>
    <row r="140" spans="1:12" x14ac:dyDescent="0.35">
      <c r="A140" t="s">
        <v>3</v>
      </c>
      <c r="B140">
        <v>14</v>
      </c>
    </row>
    <row r="141" spans="1:12" x14ac:dyDescent="0.35">
      <c r="A141" t="s">
        <v>59</v>
      </c>
      <c r="B141">
        <f>B138/2*12%</f>
        <v>60</v>
      </c>
    </row>
    <row r="142" spans="1:12" x14ac:dyDescent="0.35">
      <c r="A142" t="s">
        <v>30</v>
      </c>
      <c r="B142">
        <v>2</v>
      </c>
    </row>
    <row r="144" spans="1:12" ht="31" customHeight="1" x14ac:dyDescent="0.35">
      <c r="A144" s="1" t="s">
        <v>64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6" spans="1:12" x14ac:dyDescent="0.35">
      <c r="A146" t="s">
        <v>6</v>
      </c>
      <c r="B146">
        <v>950</v>
      </c>
    </row>
    <row r="147" spans="1:12" x14ac:dyDescent="0.35">
      <c r="A147" t="s">
        <v>17</v>
      </c>
      <c r="B147">
        <v>1000</v>
      </c>
    </row>
    <row r="148" spans="1:12" x14ac:dyDescent="0.35">
      <c r="A148" t="s">
        <v>2</v>
      </c>
    </row>
    <row r="149" spans="1:12" x14ac:dyDescent="0.35">
      <c r="A149" t="s">
        <v>3</v>
      </c>
      <c r="B149">
        <v>14</v>
      </c>
    </row>
    <row r="150" spans="1:12" x14ac:dyDescent="0.35">
      <c r="A150" t="s">
        <v>59</v>
      </c>
      <c r="B150">
        <f>B147/2*12%</f>
        <v>60</v>
      </c>
    </row>
    <row r="151" spans="1:12" x14ac:dyDescent="0.35">
      <c r="A151" t="s">
        <v>30</v>
      </c>
      <c r="B151">
        <v>2</v>
      </c>
    </row>
    <row r="153" spans="1:12" ht="31.5" customHeight="1" x14ac:dyDescent="0.35">
      <c r="A153" s="1" t="s">
        <v>65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5">
      <c r="B154" s="9">
        <f>B156-B155</f>
        <v>175114.65242264117</v>
      </c>
    </row>
    <row r="155" spans="1:12" x14ac:dyDescent="0.35">
      <c r="A155" t="s">
        <v>6</v>
      </c>
      <c r="B155" s="40">
        <v>1000000</v>
      </c>
    </row>
    <row r="156" spans="1:12" x14ac:dyDescent="0.35">
      <c r="A156" t="s">
        <v>17</v>
      </c>
      <c r="B156" s="7">
        <f>B159*B158*B160</f>
        <v>1175114.6524226412</v>
      </c>
    </row>
    <row r="157" spans="1:12" x14ac:dyDescent="0.35">
      <c r="A157" t="s">
        <v>2</v>
      </c>
      <c r="B157" s="3">
        <v>0.16</v>
      </c>
    </row>
    <row r="158" spans="1:12" x14ac:dyDescent="0.35">
      <c r="A158" t="s">
        <v>3</v>
      </c>
      <c r="B158">
        <v>2</v>
      </c>
    </row>
    <row r="159" spans="1:12" x14ac:dyDescent="0.35">
      <c r="A159" t="s">
        <v>59</v>
      </c>
      <c r="B159" s="7">
        <f>PMT(B157/12,B158*12,-B155)</f>
        <v>48963.110517610046</v>
      </c>
    </row>
    <row r="160" spans="1:12" x14ac:dyDescent="0.35">
      <c r="A160" t="s">
        <v>30</v>
      </c>
      <c r="B160">
        <v>12</v>
      </c>
    </row>
    <row r="162" spans="1:12" ht="28" customHeight="1" x14ac:dyDescent="0.35">
      <c r="A162" s="1" t="s">
        <v>66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35">
      <c r="B163" s="9">
        <f>B165-B164</f>
        <v>676751.45308726514</v>
      </c>
      <c r="C163" s="43">
        <f>C165-C164</f>
        <v>611484.54053018428</v>
      </c>
    </row>
    <row r="164" spans="1:12" x14ac:dyDescent="0.35">
      <c r="A164" t="s">
        <v>6</v>
      </c>
      <c r="B164">
        <v>3000000</v>
      </c>
      <c r="C164">
        <v>3000000</v>
      </c>
    </row>
    <row r="165" spans="1:12" x14ac:dyDescent="0.35">
      <c r="A165" t="s">
        <v>17</v>
      </c>
      <c r="B165" s="7">
        <f>B168*B169*B167</f>
        <v>3676751.4530872651</v>
      </c>
      <c r="C165" s="7">
        <f>C168*C169*C167+500000</f>
        <v>3611484.5405301843</v>
      </c>
    </row>
    <row r="166" spans="1:12" x14ac:dyDescent="0.35">
      <c r="A166" t="s">
        <v>2</v>
      </c>
      <c r="B166" s="3">
        <v>0.1</v>
      </c>
      <c r="C166" s="3">
        <v>0.11</v>
      </c>
    </row>
    <row r="167" spans="1:12" x14ac:dyDescent="0.35">
      <c r="A167" t="s">
        <v>3</v>
      </c>
      <c r="B167">
        <v>4</v>
      </c>
      <c r="C167">
        <v>3</v>
      </c>
    </row>
    <row r="168" spans="1:12" x14ac:dyDescent="0.35">
      <c r="A168" t="s">
        <v>59</v>
      </c>
      <c r="B168" s="7">
        <f>PMT(B166/4,B167*B169,-B164)</f>
        <v>229796.96581795407</v>
      </c>
      <c r="C168" s="7">
        <f>PMT(C166/C169,C167*C169,-C164,500000)</f>
        <v>86430.126125838447</v>
      </c>
    </row>
    <row r="169" spans="1:12" x14ac:dyDescent="0.35">
      <c r="A169" t="s">
        <v>30</v>
      </c>
      <c r="B169">
        <v>4</v>
      </c>
      <c r="C169">
        <v>12</v>
      </c>
    </row>
  </sheetData>
  <mergeCells count="32">
    <mergeCell ref="A135:L135"/>
    <mergeCell ref="A144:L144"/>
    <mergeCell ref="A153:L153"/>
    <mergeCell ref="A162:L162"/>
    <mergeCell ref="A100:L100"/>
    <mergeCell ref="A107:L107"/>
    <mergeCell ref="A115:L115"/>
    <mergeCell ref="A118:C118"/>
    <mergeCell ref="A119:L119"/>
    <mergeCell ref="A127:L127"/>
    <mergeCell ref="A68:L68"/>
    <mergeCell ref="A74:L74"/>
    <mergeCell ref="A80:L80"/>
    <mergeCell ref="A86:L86"/>
    <mergeCell ref="A92:C92"/>
    <mergeCell ref="A93:L93"/>
    <mergeCell ref="B9:D9"/>
    <mergeCell ref="B10:D10"/>
    <mergeCell ref="A53:L53"/>
    <mergeCell ref="A60:L60"/>
    <mergeCell ref="A1:C1"/>
    <mergeCell ref="A67:C67"/>
    <mergeCell ref="A2:L2"/>
    <mergeCell ref="A12:L12"/>
    <mergeCell ref="A22:L22"/>
    <mergeCell ref="A29:L29"/>
    <mergeCell ref="A37:L37"/>
    <mergeCell ref="A45:L45"/>
    <mergeCell ref="B18:D18"/>
    <mergeCell ref="B19:D19"/>
    <mergeCell ref="B20:D20"/>
    <mergeCell ref="B8:D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olgat</dc:creator>
  <cp:lastModifiedBy>olgat</cp:lastModifiedBy>
  <dcterms:created xsi:type="dcterms:W3CDTF">2023-10-22T04:55:20Z</dcterms:created>
  <dcterms:modified xsi:type="dcterms:W3CDTF">2023-10-24T03:03:50Z</dcterms:modified>
</cp:coreProperties>
</file>