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s" sheetId="1" r:id="rId4"/>
    <sheet state="visible" name="Charts" sheetId="2" r:id="rId5"/>
    <sheet state="visible" name="Pie Chart" sheetId="3" r:id="rId6"/>
    <sheet state="visible" name="Categories" sheetId="4" r:id="rId7"/>
    <sheet state="visible" name="Filter" sheetId="5" r:id="rId8"/>
    <sheet state="visible" name="Search" sheetId="6" r:id="rId9"/>
  </sheets>
  <definedNames>
    <definedName hidden="1" localSheetId="0" name="Z_FC008EDE_B66F_40BF_89DA_1001E4882775_.wvu.FilterData">Budgets!$A$1:$G$101</definedName>
    <definedName name="SlicerCache_Table_1_Col_4">#N/A</definedName>
  </definedNames>
  <calcPr/>
  <customWorkbookViews>
    <customWorkbookView activeSheetId="0" maximized="1" windowHeight="0" windowWidth="0" guid="{FC008EDE-B66F-40BF-89DA-1001E4882775}" name="Filter 1"/>
  </customWorkbookViews>
  <extLst>
    <ext uri="{46BE6895-7355-4a93-B00E-2C351335B9C9}">
      <x15:slicerCaches>
        <x14:slicerCache r:id="rId10"/>
      </x15:slicerCaches>
    </ext>
  </extLst>
</workbook>
</file>

<file path=xl/sharedStrings.xml><?xml version="1.0" encoding="utf-8"?>
<sst xmlns="http://schemas.openxmlformats.org/spreadsheetml/2006/main" count="352" uniqueCount="63">
  <si>
    <t>Date</t>
  </si>
  <si>
    <t>Transaction</t>
  </si>
  <si>
    <t>Amount</t>
  </si>
  <si>
    <t>Category</t>
  </si>
  <si>
    <t>Pay Method</t>
  </si>
  <si>
    <t>Type</t>
  </si>
  <si>
    <t>Balance</t>
  </si>
  <si>
    <t>BALANCE:</t>
  </si>
  <si>
    <t>Amount to Search 👉</t>
  </si>
  <si>
    <t>$1,200</t>
  </si>
  <si>
    <t>Cars</t>
  </si>
  <si>
    <t>Other Income</t>
  </si>
  <si>
    <t>Gcash</t>
  </si>
  <si>
    <t>CountIf  👉</t>
  </si>
  <si>
    <t>Home</t>
  </si>
  <si>
    <t>GoTyme</t>
  </si>
  <si>
    <t>Debt</t>
  </si>
  <si>
    <t>ATM</t>
  </si>
  <si>
    <t>Computers</t>
  </si>
  <si>
    <t>Business</t>
  </si>
  <si>
    <t>Cash</t>
  </si>
  <si>
    <t>Paycheck</t>
  </si>
  <si>
    <t>Misc</t>
  </si>
  <si>
    <t>Books</t>
  </si>
  <si>
    <t>Entertainment</t>
  </si>
  <si>
    <t>Insurance</t>
  </si>
  <si>
    <t>Automotive</t>
  </si>
  <si>
    <t>Auto</t>
  </si>
  <si>
    <t>Check</t>
  </si>
  <si>
    <t>Grocery</t>
  </si>
  <si>
    <t>Bonus</t>
  </si>
  <si>
    <t>Tools</t>
  </si>
  <si>
    <t>Kids</t>
  </si>
  <si>
    <t>Clothes</t>
  </si>
  <si>
    <t>Paypal</t>
  </si>
  <si>
    <t>Baby</t>
  </si>
  <si>
    <t>other Income</t>
  </si>
  <si>
    <t>Movies</t>
  </si>
  <si>
    <t>Electronics</t>
  </si>
  <si>
    <t xml:space="preserve">Donation </t>
  </si>
  <si>
    <t>Clothing</t>
  </si>
  <si>
    <t>Industrial</t>
  </si>
  <si>
    <t>Running</t>
  </si>
  <si>
    <t>Jewelry</t>
  </si>
  <si>
    <t>Garden</t>
  </si>
  <si>
    <t>Games</t>
  </si>
  <si>
    <t>Outdoors</t>
  </si>
  <si>
    <t>Fortnite</t>
  </si>
  <si>
    <t>Health</t>
  </si>
  <si>
    <t>Medical</t>
  </si>
  <si>
    <t>Sports</t>
  </si>
  <si>
    <t>Toys</t>
  </si>
  <si>
    <t>Beauty</t>
  </si>
  <si>
    <t>Music</t>
  </si>
  <si>
    <t>Shoes</t>
  </si>
  <si>
    <t>Investment</t>
  </si>
  <si>
    <t>Income Accounts</t>
  </si>
  <si>
    <t>Expense Accounts</t>
  </si>
  <si>
    <t>Payment Methods</t>
  </si>
  <si>
    <t>Eating out</t>
  </si>
  <si>
    <t>Filter By:</t>
  </si>
  <si>
    <t>Search Term:</t>
  </si>
  <si>
    <t>INdust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</si>
</sst>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m/d/yyyy"/>
  </numFmts>
  <fonts count="6">
    <font>
      <sz val="10.0"/>
      <color rgb="FF000000"/>
      <name val="Arial"/>
      <scheme val="minor"/>
    </font>
    <font>
      <color theme="1"/>
      <name val="Arial"/>
      <scheme val="minor"/>
    </font>
    <font>
      <b/>
      <color theme="1"/>
      <name val="Arial"/>
      <scheme val="minor"/>
    </font>
    <font>
      <b/>
      <color theme="1"/>
      <name val="Arial"/>
    </font>
    <font>
      <color theme="1"/>
      <name val="Roboto"/>
    </font>
    <font>
      <b/>
      <color theme="1"/>
      <name val="Roboto"/>
    </font>
  </fonts>
  <fills count="5">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C9DAF8"/>
        <bgColor rgb="FFC9DAF8"/>
      </patternFill>
    </fill>
  </fills>
  <borders count="109">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EA958D"/>
      </left>
      <right style="thin">
        <color rgb="FFEA958D"/>
      </right>
      <top style="thin">
        <color rgb="FFEA958D"/>
      </top>
      <bottom style="thin">
        <color rgb="FFEA958D"/>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5ABD8C"/>
      </left>
      <right style="thin">
        <color rgb="FF5ABD8C"/>
      </right>
      <top style="thin">
        <color rgb="FF5ABD8C"/>
      </top>
      <bottom style="thin">
        <color rgb="FF5ABD8C"/>
      </bottom>
    </border>
    <border>
      <left style="thin">
        <color rgb="FFF6F8F9"/>
      </left>
      <right style="thin">
        <color rgb="FF3E4791"/>
      </right>
      <top style="thin">
        <color rgb="FFF6F8F9"/>
      </top>
      <bottom style="thin">
        <color rgb="FFF6F8F9"/>
      </bottom>
    </border>
    <border>
      <left style="thin">
        <color rgb="FFB5E2CC"/>
      </left>
      <right style="thin">
        <color rgb="FFB5E2CC"/>
      </right>
      <top style="thin">
        <color rgb="FFB5E2CC"/>
      </top>
      <bottom style="thin">
        <color rgb="FFB5E2CC"/>
      </bottom>
    </border>
    <border>
      <left style="thin">
        <color rgb="FFF4C8C4"/>
      </left>
      <right style="thin">
        <color rgb="FFF4C8C4"/>
      </right>
      <top style="thin">
        <color rgb="FFF4C8C4"/>
      </top>
      <bottom style="thin">
        <color rgb="FFF4C8C4"/>
      </bottom>
    </border>
    <border>
      <left style="thin">
        <color rgb="FFA3DABF"/>
      </left>
      <right style="thin">
        <color rgb="FFA3DABF"/>
      </right>
      <top style="thin">
        <color rgb="FFA3DABF"/>
      </top>
      <bottom style="thin">
        <color rgb="FFA3DABF"/>
      </bottom>
    </border>
    <border>
      <left style="thin">
        <color rgb="FF85CEAA"/>
      </left>
      <right style="thin">
        <color rgb="FF85CEAA"/>
      </right>
      <top style="thin">
        <color rgb="FF85CEAA"/>
      </top>
      <bottom style="thin">
        <color rgb="FF85CEAA"/>
      </bottom>
    </border>
    <border>
      <left style="thin">
        <color rgb="FF69C397"/>
      </left>
      <right style="thin">
        <color rgb="FF69C397"/>
      </right>
      <top style="thin">
        <color rgb="FF69C397"/>
      </top>
      <bottom style="thin">
        <color rgb="FF69C397"/>
      </bottom>
    </border>
    <border>
      <left style="thin">
        <color rgb="FFEDA49E"/>
      </left>
      <right style="thin">
        <color rgb="FFEDA49E"/>
      </right>
      <top style="thin">
        <color rgb="FFEDA49E"/>
      </top>
      <bottom style="thin">
        <color rgb="FFEDA49E"/>
      </bottom>
    </border>
    <border>
      <left style="thin">
        <color rgb="FFF2BDB9"/>
      </left>
      <right style="thin">
        <color rgb="FFF2BDB9"/>
      </right>
      <top style="thin">
        <color rgb="FFF2BDB9"/>
      </top>
      <bottom style="thin">
        <color rgb="FFF2BDB9"/>
      </bottom>
    </border>
    <border>
      <left style="thin">
        <color rgb="FFD2EDE0"/>
      </left>
      <right style="thin">
        <color rgb="FFD2EDE0"/>
      </right>
      <top style="thin">
        <color rgb="FFD2EDE0"/>
      </top>
      <bottom style="thin">
        <color rgb="FFD2EDE0"/>
      </bottom>
    </border>
    <border>
      <left style="thin">
        <color rgb="FFEA928B"/>
      </left>
      <right style="thin">
        <color rgb="FFEA928B"/>
      </right>
      <top style="thin">
        <color rgb="FFEA928B"/>
      </top>
      <bottom style="thin">
        <color rgb="FFEA928B"/>
      </bottom>
    </border>
    <border>
      <left style="thin">
        <color rgb="FFE88981"/>
      </left>
      <right style="thin">
        <color rgb="FFE88981"/>
      </right>
      <top style="thin">
        <color rgb="FFE88981"/>
      </top>
      <bottom style="thin">
        <color rgb="FFE88981"/>
      </bottom>
    </border>
    <border>
      <left style="thin">
        <color rgb="FF70C59B"/>
      </left>
      <right style="thin">
        <color rgb="FF70C59B"/>
      </right>
      <top style="thin">
        <color rgb="FF70C59B"/>
      </top>
      <bottom style="thin">
        <color rgb="FF70C59B"/>
      </bottom>
    </border>
    <border>
      <left style="thin">
        <color rgb="FFF5CECA"/>
      </left>
      <right style="thin">
        <color rgb="FFF5CECA"/>
      </right>
      <top style="thin">
        <color rgb="FFF5CECA"/>
      </top>
      <bottom style="thin">
        <color rgb="FFF5CECA"/>
      </bottom>
    </border>
    <border>
      <left style="thin">
        <color rgb="FFD7EFE3"/>
      </left>
      <right style="thin">
        <color rgb="FFD7EFE3"/>
      </right>
      <top style="thin">
        <color rgb="FFD7EFE3"/>
      </top>
      <bottom style="thin">
        <color rgb="FFD7EFE3"/>
      </bottom>
    </border>
    <border>
      <left style="thin">
        <color rgb="FF72C69D"/>
      </left>
      <right style="thin">
        <color rgb="FF72C69D"/>
      </right>
      <top style="thin">
        <color rgb="FF72C69D"/>
      </top>
      <bottom style="thin">
        <color rgb="FF72C69D"/>
      </bottom>
    </border>
    <border>
      <left style="thin">
        <color rgb="FFECF8F2"/>
      </left>
      <right style="thin">
        <color rgb="FFECF8F2"/>
      </right>
      <top style="thin">
        <color rgb="FFECF8F2"/>
      </top>
      <bottom style="thin">
        <color rgb="FFECF8F2"/>
      </bottom>
    </border>
    <border>
      <left style="thin">
        <color rgb="FFE8F6EF"/>
      </left>
      <right style="thin">
        <color rgb="FFE8F6EF"/>
      </right>
      <top style="thin">
        <color rgb="FFE8F6EF"/>
      </top>
      <bottom style="thin">
        <color rgb="FFE8F6EF"/>
      </bottom>
    </border>
    <border>
      <left style="thin">
        <color rgb="FFBCE4D1"/>
      </left>
      <right style="thin">
        <color rgb="FFBCE4D1"/>
      </right>
      <top style="thin">
        <color rgb="FFBCE4D1"/>
      </top>
      <bottom style="thin">
        <color rgb="FFBCE4D1"/>
      </bottom>
    </border>
    <border>
      <left style="thin">
        <color rgb="FFF2BCB7"/>
      </left>
      <right style="thin">
        <color rgb="FFF2BCB7"/>
      </right>
      <top style="thin">
        <color rgb="FFF2BCB7"/>
      </top>
      <bottom style="thin">
        <color rgb="FFF2BCB7"/>
      </bottom>
    </border>
    <border>
      <left style="thin">
        <color rgb="FF92D3B3"/>
      </left>
      <right style="thin">
        <color rgb="FF92D3B3"/>
      </right>
      <top style="thin">
        <color rgb="FF92D3B3"/>
      </top>
      <bottom style="thin">
        <color rgb="FF92D3B3"/>
      </bottom>
    </border>
    <border>
      <left style="thin">
        <color rgb="FF88CFAD"/>
      </left>
      <right style="thin">
        <color rgb="FF88CFAD"/>
      </right>
      <top style="thin">
        <color rgb="FF88CFAD"/>
      </top>
      <bottom style="thin">
        <color rgb="FF88CFAD"/>
      </bottom>
    </border>
    <border>
      <left style="thin">
        <color rgb="FFFCFEFD"/>
      </left>
      <right style="thin">
        <color rgb="FFFCFEFD"/>
      </right>
      <top style="thin">
        <color rgb="FFFCFEFD"/>
      </top>
      <bottom style="thin">
        <color rgb="FFFCFEFD"/>
      </bottom>
    </border>
    <border>
      <left style="thin">
        <color rgb="FFF2BEBA"/>
      </left>
      <right style="thin">
        <color rgb="FFF2BEBA"/>
      </right>
      <top style="thin">
        <color rgb="FFF2BEBA"/>
      </top>
      <bottom style="thin">
        <color rgb="FFF2BEBA"/>
      </bottom>
    </border>
    <border>
      <left style="thin">
        <color rgb="FFEA918A"/>
      </left>
      <right style="thin">
        <color rgb="FFEA918A"/>
      </right>
      <top style="thin">
        <color rgb="FFEA918A"/>
      </top>
      <bottom style="thin">
        <color rgb="FFEA918A"/>
      </bottom>
    </border>
    <border>
      <left style="thin">
        <color rgb="FFF7FCFA"/>
      </left>
      <right style="thin">
        <color rgb="FFF7FCFA"/>
      </right>
      <top style="thin">
        <color rgb="FFF7FCFA"/>
      </top>
      <bottom style="thin">
        <color rgb="FFF7FCFA"/>
      </bottom>
    </border>
    <border>
      <left style="thin">
        <color rgb="FFEB9992"/>
      </left>
      <right style="thin">
        <color rgb="FFEB9992"/>
      </right>
      <top style="thin">
        <color rgb="FFEB9992"/>
      </top>
      <bottom style="thin">
        <color rgb="FFEB9992"/>
      </bottom>
    </border>
    <border>
      <left style="thin">
        <color rgb="FFD0ECDE"/>
      </left>
      <right style="thin">
        <color rgb="FFD0ECDE"/>
      </right>
      <top style="thin">
        <color rgb="FFD0ECDE"/>
      </top>
      <bottom style="thin">
        <color rgb="FFD0ECDE"/>
      </bottom>
    </border>
    <border>
      <left style="thin">
        <color rgb="FFEA938C"/>
      </left>
      <right style="thin">
        <color rgb="FFEA938C"/>
      </right>
      <top style="thin">
        <color rgb="FFEA938C"/>
      </top>
      <bottom style="thin">
        <color rgb="FFEA938C"/>
      </bottom>
    </border>
    <border>
      <left style="thin">
        <color rgb="FFFCF2F1"/>
      </left>
      <right style="thin">
        <color rgb="FFFCF2F1"/>
      </right>
      <top style="thin">
        <color rgb="FFFCF2F1"/>
      </top>
      <bottom style="thin">
        <color rgb="FFFCF2F1"/>
      </bottom>
    </border>
    <border>
      <left style="thin">
        <color rgb="FFFCF3F3"/>
      </left>
      <right style="thin">
        <color rgb="FFFCF3F3"/>
      </right>
      <top style="thin">
        <color rgb="FFFCF3F3"/>
      </top>
      <bottom style="thin">
        <color rgb="FFFCF3F3"/>
      </bottom>
    </border>
    <border>
      <left style="thin">
        <color rgb="FF7BCAA3"/>
      </left>
      <right style="thin">
        <color rgb="FF7BCAA3"/>
      </right>
      <top style="thin">
        <color rgb="FF7BCAA3"/>
      </top>
      <bottom style="thin">
        <color rgb="FF7BCAA3"/>
      </bottom>
    </border>
    <border>
      <left style="thin">
        <color rgb="FFBAE3CF"/>
      </left>
      <right style="thin">
        <color rgb="FFBAE3CF"/>
      </right>
      <top style="thin">
        <color rgb="FFBAE3CF"/>
      </top>
      <bottom style="thin">
        <color rgb="FFBAE3CF"/>
      </bottom>
    </border>
    <border>
      <left style="thin">
        <color rgb="FFFAFDFB"/>
      </left>
      <right style="thin">
        <color rgb="FFFAFDFB"/>
      </right>
      <top style="thin">
        <color rgb="FFFAFDFB"/>
      </top>
      <bottom style="thin">
        <color rgb="FFFAFDFB"/>
      </bottom>
    </border>
    <border>
      <left style="thin">
        <color rgb="FF9DD7BB"/>
      </left>
      <right style="thin">
        <color rgb="FF9DD7BB"/>
      </right>
      <top style="thin">
        <color rgb="FF9DD7BB"/>
      </top>
      <bottom style="thin">
        <color rgb="FF9DD7BB"/>
      </bottom>
    </border>
    <border>
      <left style="thin">
        <color rgb="FFEB9890"/>
      </left>
      <right style="thin">
        <color rgb="FFEB9890"/>
      </right>
      <top style="thin">
        <color rgb="FFEB9890"/>
      </top>
      <bottom style="thin">
        <color rgb="FFEB9890"/>
      </bottom>
    </border>
    <border>
      <left style="thin">
        <color rgb="FFE7847C"/>
      </left>
      <right style="thin">
        <color rgb="FFE7847C"/>
      </right>
      <top style="thin">
        <color rgb="FFE7847C"/>
      </top>
      <bottom style="thin">
        <color rgb="FFE7847C"/>
      </bottom>
    </border>
    <border>
      <left style="thin">
        <color rgb="FFAEDFC7"/>
      </left>
      <right style="thin">
        <color rgb="FFAEDFC7"/>
      </right>
      <top style="thin">
        <color rgb="FFAEDFC7"/>
      </top>
      <bottom style="thin">
        <color rgb="FFAEDFC7"/>
      </bottom>
    </border>
    <border>
      <left style="thin">
        <color rgb="FFEB9A93"/>
      </left>
      <right style="thin">
        <color rgb="FFEB9A93"/>
      </right>
      <top style="thin">
        <color rgb="FFEB9A93"/>
      </top>
      <bottom style="thin">
        <color rgb="FFEB9A93"/>
      </bottom>
    </border>
    <border>
      <left style="thin">
        <color rgb="FFEEA9A3"/>
      </left>
      <right style="thin">
        <color rgb="FFEEA9A3"/>
      </right>
      <top style="thin">
        <color rgb="FFEEA9A3"/>
      </top>
      <bottom style="thin">
        <color rgb="FFEEA9A3"/>
      </bottom>
    </border>
    <border>
      <left style="thin">
        <color rgb="FF9FD9BD"/>
      </left>
      <right style="thin">
        <color rgb="FF9FD9BD"/>
      </right>
      <top style="thin">
        <color rgb="FF9FD9BD"/>
      </top>
      <bottom style="thin">
        <color rgb="FF9FD9BD"/>
      </bottom>
    </border>
    <border>
      <left style="thin">
        <color rgb="FFF9E1DF"/>
      </left>
      <right style="thin">
        <color rgb="FFF9E1DF"/>
      </right>
      <top style="thin">
        <color rgb="FFF9E1DF"/>
      </top>
      <bottom style="thin">
        <color rgb="FFF9E1DF"/>
      </bottom>
    </border>
    <border>
      <left style="thin">
        <color rgb="FFCAEADA"/>
      </left>
      <right style="thin">
        <color rgb="FFCAEADA"/>
      </right>
      <top style="thin">
        <color rgb="FFCAEADA"/>
      </top>
      <bottom style="thin">
        <color rgb="FFCAEADA"/>
      </bottom>
    </border>
    <border>
      <left style="thin">
        <color rgb="FFB2E0C9"/>
      </left>
      <right style="thin">
        <color rgb="FFB2E0C9"/>
      </right>
      <top style="thin">
        <color rgb="FFB2E0C9"/>
      </top>
      <bottom style="thin">
        <color rgb="FFB2E0C9"/>
      </bottom>
    </border>
    <border>
      <left style="thin">
        <color rgb="FFF9DFDD"/>
      </left>
      <right style="thin">
        <color rgb="FFF9DFDD"/>
      </right>
      <top style="thin">
        <color rgb="FFF9DFDD"/>
      </top>
      <bottom style="thin">
        <color rgb="FFF9DFDD"/>
      </bottom>
    </border>
    <border>
      <left style="thin">
        <color rgb="FFF5FBF8"/>
      </left>
      <right style="thin">
        <color rgb="FFF5FBF8"/>
      </right>
      <top style="thin">
        <color rgb="FFF5FBF8"/>
      </top>
      <bottom style="thin">
        <color rgb="FFF5FBF8"/>
      </bottom>
    </border>
    <border>
      <left style="thin">
        <color rgb="FFEDA39D"/>
      </left>
      <right style="thin">
        <color rgb="FFEDA39D"/>
      </right>
      <top style="thin">
        <color rgb="FFEDA39D"/>
      </top>
      <bottom style="thin">
        <color rgb="FFEDA39D"/>
      </bottom>
    </border>
    <border>
      <left style="thin">
        <color rgb="FFFBEDEC"/>
      </left>
      <right style="thin">
        <color rgb="FFFBEDEC"/>
      </right>
      <top style="thin">
        <color rgb="FFFBEDEC"/>
      </top>
      <bottom style="thin">
        <color rgb="FFFBEDEC"/>
      </bottom>
    </border>
    <border>
      <left style="thin">
        <color rgb="FFEEA6A0"/>
      </left>
      <right style="thin">
        <color rgb="FFEEA6A0"/>
      </right>
      <top style="thin">
        <color rgb="FFEEA6A0"/>
      </top>
      <bottom style="thin">
        <color rgb="FFEEA6A0"/>
      </bottom>
    </border>
    <border>
      <left style="thin">
        <color rgb="FF93D4B4"/>
      </left>
      <right style="thin">
        <color rgb="FF93D4B4"/>
      </right>
      <top style="thin">
        <color rgb="FF93D4B4"/>
      </top>
      <bottom style="thin">
        <color rgb="FF93D4B4"/>
      </bottom>
    </border>
    <border>
      <left style="thin">
        <color rgb="FF7FCCA6"/>
      </left>
      <right style="thin">
        <color rgb="FF7FCCA6"/>
      </right>
      <top style="thin">
        <color rgb="FF7FCCA6"/>
      </top>
      <bottom style="thin">
        <color rgb="FF7FCCA6"/>
      </bottom>
    </border>
    <border>
      <left style="thin">
        <color rgb="FF64C194"/>
      </left>
      <right style="thin">
        <color rgb="FF64C194"/>
      </right>
      <top style="thin">
        <color rgb="FF64C194"/>
      </top>
      <bottom style="thin">
        <color rgb="FF64C194"/>
      </bottom>
    </border>
    <border>
      <left style="thin">
        <color rgb="FFE98B84"/>
      </left>
      <right style="thin">
        <color rgb="FFE98B84"/>
      </right>
      <top style="thin">
        <color rgb="FFE98B84"/>
      </top>
      <bottom style="thin">
        <color rgb="FFE98B84"/>
      </bottom>
    </border>
    <border>
      <left style="thin">
        <color rgb="FFC5E8D7"/>
      </left>
      <right style="thin">
        <color rgb="FFC5E8D7"/>
      </right>
      <top style="thin">
        <color rgb="FFC5E8D7"/>
      </top>
      <bottom style="thin">
        <color rgb="FFC5E8D7"/>
      </bottom>
    </border>
    <border>
      <left style="thin">
        <color rgb="FFB4E1CB"/>
      </left>
      <right style="thin">
        <color rgb="FFB4E1CB"/>
      </right>
      <top style="thin">
        <color rgb="FFB4E1CB"/>
      </top>
      <bottom style="thin">
        <color rgb="FFB4E1CB"/>
      </bottom>
    </border>
    <border>
      <left style="thin">
        <color rgb="FFD0ECDF"/>
      </left>
      <right style="thin">
        <color rgb="FFD0ECDF"/>
      </right>
      <top style="thin">
        <color rgb="FFD0ECDF"/>
      </top>
      <bottom style="thin">
        <color rgb="FFD0ECDF"/>
      </bottom>
    </border>
    <border>
      <left style="thin">
        <color rgb="FFFDF7F6"/>
      </left>
      <right style="thin">
        <color rgb="FFFDF7F6"/>
      </right>
      <top style="thin">
        <color rgb="FFFDF7F6"/>
      </top>
      <bottom style="thin">
        <color rgb="FFFDF7F6"/>
      </bottom>
    </border>
    <border>
      <left style="thin">
        <color rgb="FF88CFAC"/>
      </left>
      <right style="thin">
        <color rgb="FF88CFAC"/>
      </right>
      <top style="thin">
        <color rgb="FF88CFAC"/>
      </top>
      <bottom style="thin">
        <color rgb="FF88CFAC"/>
      </bottom>
    </border>
    <border>
      <left style="thin">
        <color rgb="FFA1D9BD"/>
      </left>
      <right style="thin">
        <color rgb="FFA1D9BD"/>
      </right>
      <top style="thin">
        <color rgb="FFA1D9BD"/>
      </top>
      <bottom style="thin">
        <color rgb="FFA1D9BD"/>
      </bottom>
    </border>
    <border>
      <left style="thin">
        <color rgb="FFCDEBDD"/>
      </left>
      <right style="thin">
        <color rgb="FFCDEBDD"/>
      </right>
      <top style="thin">
        <color rgb="FFCDEBDD"/>
      </top>
      <bottom style="thin">
        <color rgb="FFCDEBDD"/>
      </bottom>
    </border>
    <border>
      <left style="thin">
        <color rgb="FFE67C73"/>
      </left>
      <right style="thin">
        <color rgb="FFE67C73"/>
      </right>
      <top style="thin">
        <color rgb="FFE67C73"/>
      </top>
      <bottom style="thin">
        <color rgb="FFE67C73"/>
      </bottom>
    </border>
    <border>
      <left style="thin">
        <color rgb="FF73C79E"/>
      </left>
      <right style="thin">
        <color rgb="FF73C79E"/>
      </right>
      <top style="thin">
        <color rgb="FF73C79E"/>
      </top>
      <bottom style="thin">
        <color rgb="FF73C79E"/>
      </bottom>
    </border>
    <border>
      <left style="thin">
        <color rgb="FF68C296"/>
      </left>
      <right style="thin">
        <color rgb="FF68C296"/>
      </right>
      <top style="thin">
        <color rgb="FF68C296"/>
      </top>
      <bottom style="thin">
        <color rgb="FF68C296"/>
      </bottom>
    </border>
    <border>
      <left style="thin">
        <color rgb="FFFEFBFB"/>
      </left>
      <right style="thin">
        <color rgb="FFFEFBFB"/>
      </right>
      <top style="thin">
        <color rgb="FFFEFBFB"/>
      </top>
      <bottom style="thin">
        <color rgb="FFFEFBFB"/>
      </bottom>
    </border>
    <border>
      <left style="thin">
        <color rgb="FF57BB8A"/>
      </left>
      <right style="thin">
        <color rgb="FF57BB8A"/>
      </right>
      <top style="thin">
        <color rgb="FF57BB8A"/>
      </top>
      <bottom style="thin">
        <color rgb="FF57BB8A"/>
      </bottom>
    </border>
    <border>
      <left style="thin">
        <color rgb="FFF2BBB6"/>
      </left>
      <right style="thin">
        <color rgb="FFF2BBB6"/>
      </right>
      <top style="thin">
        <color rgb="FFF2BBB6"/>
      </top>
      <bottom style="thin">
        <color rgb="FFF2BBB6"/>
      </bottom>
    </border>
    <border>
      <left style="thin">
        <color rgb="FFEFADA7"/>
      </left>
      <right style="thin">
        <color rgb="FFEFADA7"/>
      </right>
      <top style="thin">
        <color rgb="FFEFADA7"/>
      </top>
      <bottom style="thin">
        <color rgb="FFEFADA7"/>
      </bottom>
    </border>
    <border>
      <left style="thin">
        <color rgb="FFFBECEB"/>
      </left>
      <right style="thin">
        <color rgb="FFFBECEB"/>
      </right>
      <top style="thin">
        <color rgb="FFFBECEB"/>
      </top>
      <bottom style="thin">
        <color rgb="FFFBECEB"/>
      </bottom>
    </border>
    <border>
      <left style="thin">
        <color rgb="FFEFAFAA"/>
      </left>
      <right style="thin">
        <color rgb="FFEFAFAA"/>
      </right>
      <top style="thin">
        <color rgb="FFEFAFAA"/>
      </top>
      <bottom style="thin">
        <color rgb="FFEFAFAA"/>
      </bottom>
    </border>
    <border>
      <left style="thin">
        <color rgb="FFF1B9B4"/>
      </left>
      <right style="thin">
        <color rgb="FFF1B9B4"/>
      </right>
      <top style="thin">
        <color rgb="FFF1B9B4"/>
      </top>
      <bottom style="thin">
        <color rgb="FFF1B9B4"/>
      </bottom>
    </border>
    <border>
      <left style="thin">
        <color rgb="FFF0F9F5"/>
      </left>
      <right style="thin">
        <color rgb="FFF0F9F5"/>
      </right>
      <top style="thin">
        <color rgb="FFF0F9F5"/>
      </top>
      <bottom style="thin">
        <color rgb="FFF0F9F5"/>
      </bottom>
    </border>
    <border>
      <left style="thin">
        <color rgb="FFF1B8B3"/>
      </left>
      <right style="thin">
        <color rgb="FFF1B8B3"/>
      </right>
      <top style="thin">
        <color rgb="FFF1B8B3"/>
      </top>
      <bottom style="thin">
        <color rgb="FFF1B8B3"/>
      </bottom>
    </border>
    <border>
      <left style="thin">
        <color rgb="FFF9E4E2"/>
      </left>
      <right style="thin">
        <color rgb="FFF9E4E2"/>
      </right>
      <top style="thin">
        <color rgb="FFF9E4E2"/>
      </top>
      <bottom style="thin">
        <color rgb="FFF9E4E2"/>
      </bottom>
    </border>
    <border>
      <left style="thin">
        <color rgb="FFC1E6D4"/>
      </left>
      <right style="thin">
        <color rgb="FFC1E6D4"/>
      </right>
      <top style="thin">
        <color rgb="FFC1E6D4"/>
      </top>
      <bottom style="thin">
        <color rgb="FFC1E6D4"/>
      </bottom>
    </border>
    <border>
      <left style="thin">
        <color rgb="FF58BC8B"/>
      </left>
      <right style="thin">
        <color rgb="FF58BC8B"/>
      </right>
      <top style="thin">
        <color rgb="FF58BC8B"/>
      </top>
      <bottom style="thin">
        <color rgb="FF58BC8B"/>
      </bottom>
    </border>
    <border>
      <left style="thin">
        <color rgb="FFF2BEB9"/>
      </left>
      <right style="thin">
        <color rgb="FFF2BEB9"/>
      </right>
      <top style="thin">
        <color rgb="FFF2BEB9"/>
      </top>
      <bottom style="thin">
        <color rgb="FFF2BEB9"/>
      </bottom>
    </border>
    <border>
      <left style="thin">
        <color rgb="FFD3EEE1"/>
      </left>
      <right style="thin">
        <color rgb="FFD3EEE1"/>
      </right>
      <top style="thin">
        <color rgb="FFD3EEE1"/>
      </top>
      <bottom style="thin">
        <color rgb="FFD3EEE1"/>
      </bottom>
    </border>
    <border>
      <left style="thin">
        <color rgb="FF91D3B3"/>
      </left>
      <right style="thin">
        <color rgb="FF91D3B3"/>
      </right>
      <top style="thin">
        <color rgb="FF91D3B3"/>
      </top>
      <bottom style="thin">
        <color rgb="FF91D3B3"/>
      </bottom>
    </border>
    <border>
      <left style="thin">
        <color rgb="FFF4C9C5"/>
      </left>
      <right style="thin">
        <color rgb="FFF4C9C5"/>
      </right>
      <top style="thin">
        <color rgb="FFF4C9C5"/>
      </top>
      <bottom style="thin">
        <color rgb="FFF4C9C5"/>
      </bottom>
    </border>
    <border>
      <left style="thin">
        <color rgb="FFFCF3F2"/>
      </left>
      <right style="thin">
        <color rgb="FFFCF3F2"/>
      </right>
      <top style="thin">
        <color rgb="FFFCF3F2"/>
      </top>
      <bottom style="thin">
        <color rgb="FFFCF3F2"/>
      </bottom>
    </border>
    <border>
      <left style="thin">
        <color rgb="FFF0B3AE"/>
      </left>
      <right style="thin">
        <color rgb="FFF0B3AE"/>
      </right>
      <top style="thin">
        <color rgb="FFF0B3AE"/>
      </top>
      <bottom style="thin">
        <color rgb="FFF0B3AE"/>
      </bottom>
    </border>
    <border>
      <left style="thin">
        <color rgb="FF5BBD8D"/>
      </left>
      <right style="thin">
        <color rgb="FF5BBD8D"/>
      </right>
      <top style="thin">
        <color rgb="FF5BBD8D"/>
      </top>
      <bottom style="thin">
        <color rgb="FF5BBD8D"/>
      </bottom>
    </border>
    <border>
      <left style="thin">
        <color rgb="FFF7D9D7"/>
      </left>
      <right style="thin">
        <color rgb="FFF7D9D7"/>
      </right>
      <top style="thin">
        <color rgb="FFF7D9D7"/>
      </top>
      <bottom style="thin">
        <color rgb="FFF7D9D7"/>
      </bottom>
    </border>
    <border>
      <left style="thin">
        <color rgb="FF6DC49A"/>
      </left>
      <right style="thin">
        <color rgb="FF6DC49A"/>
      </right>
      <top style="thin">
        <color rgb="FF6DC49A"/>
      </top>
      <bottom style="thin">
        <color rgb="FF6DC49A"/>
      </bottom>
    </border>
    <border>
      <left style="thin">
        <color rgb="FFF5CCC9"/>
      </left>
      <right style="thin">
        <color rgb="FFF5CCC9"/>
      </right>
      <top style="thin">
        <color rgb="FFF5CCC9"/>
      </top>
      <bottom style="thin">
        <color rgb="FFF5CCC9"/>
      </bottom>
    </border>
    <border>
      <left style="thin">
        <color rgb="FF65C194"/>
      </left>
      <right style="thin">
        <color rgb="FF65C194"/>
      </right>
      <top style="thin">
        <color rgb="FF65C194"/>
      </top>
      <bottom style="thin">
        <color rgb="FF65C194"/>
      </bottom>
    </border>
    <border>
      <left style="thin">
        <color rgb="FF3E4791"/>
      </left>
      <right style="thin">
        <color rgb="FFF6F8F9"/>
      </right>
      <top style="thin">
        <color rgb="FFF6F8F9"/>
      </top>
      <bottom style="thin">
        <color rgb="FF3E4791"/>
      </bottom>
    </border>
    <border>
      <left style="thin">
        <color rgb="FFF6F8F9"/>
      </left>
      <right style="thin">
        <color rgb="FFF6F8F9"/>
      </right>
      <top style="thin">
        <color rgb="FFF6F8F9"/>
      </top>
      <bottom style="thin">
        <color rgb="FF3E4791"/>
      </bottom>
    </border>
    <border>
      <left style="thin">
        <color rgb="FF7FCCA6"/>
      </left>
      <right style="thin">
        <color rgb="FF7FCCA6"/>
      </right>
      <top style="thin">
        <color rgb="FF7FCCA6"/>
      </top>
      <bottom style="thin">
        <color rgb="FF3E4791"/>
      </bottom>
    </border>
    <border>
      <left style="thin">
        <color rgb="FFF6F8F9"/>
      </left>
      <right style="thin">
        <color rgb="FF3E4791"/>
      </right>
      <top style="thin">
        <color rgb="FFF6F8F9"/>
      </top>
      <bottom style="thin">
        <color rgb="FF3E4791"/>
      </bottom>
    </border>
    <border>
      <left style="thin">
        <color rgb="FF006813"/>
      </left>
      <right style="thin">
        <color rgb="FF008B19"/>
      </right>
      <top style="thin">
        <color rgb="FF006813"/>
      </top>
      <bottom style="thin">
        <color rgb="FF006813"/>
      </bottom>
    </border>
    <border>
      <left style="thin">
        <color rgb="FF008B19"/>
      </left>
      <right style="thin">
        <color rgb="FF008B19"/>
      </right>
      <top style="thin">
        <color rgb="FF006813"/>
      </top>
      <bottom style="thin">
        <color rgb="FF006813"/>
      </bottom>
    </border>
    <border>
      <left style="thin">
        <color rgb="FF008B19"/>
      </left>
      <right style="thin">
        <color rgb="FF006813"/>
      </right>
      <top style="thin">
        <color rgb="FF006813"/>
      </top>
      <bottom style="thin">
        <color rgb="FF006813"/>
      </bottom>
    </border>
    <border>
      <left style="thin">
        <color rgb="FF006813"/>
      </left>
      <right style="thin">
        <color rgb="FFFFFFFF"/>
      </right>
      <top style="thin">
        <color rgb="FFFFFFFF"/>
      </top>
      <bottom style="thin">
        <color rgb="FFFFFFFF"/>
      </bottom>
    </border>
    <border>
      <left style="thin">
        <color rgb="FFFFFFFF"/>
      </left>
      <right style="thin">
        <color rgb="FF006813"/>
      </right>
      <top style="thin">
        <color rgb="FFFFFFFF"/>
      </top>
      <bottom style="thin">
        <color rgb="FFFFFFFF"/>
      </bottom>
    </border>
    <border>
      <left style="thin">
        <color rgb="FF006813"/>
      </left>
      <right style="thin">
        <color rgb="FFF6F8F9"/>
      </right>
      <top style="thin">
        <color rgb="FFF6F8F9"/>
      </top>
      <bottom style="thin">
        <color rgb="FFF6F8F9"/>
      </bottom>
    </border>
    <border>
      <left style="thin">
        <color rgb="FFF6F8F9"/>
      </left>
      <right style="thin">
        <color rgb="FF006813"/>
      </right>
      <top style="thin">
        <color rgb="FFF6F8F9"/>
      </top>
      <bottom style="thin">
        <color rgb="FFF6F8F9"/>
      </bottom>
    </border>
    <border>
      <left style="thin">
        <color rgb="FFF6F8F9"/>
      </left>
      <right style="thin">
        <color rgb="FFF6F8F9"/>
      </right>
      <top style="thin">
        <color rgb="FFF6F8F9"/>
      </top>
      <bottom style="thin">
        <color rgb="FF006813"/>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readingOrder="0"/>
    </xf>
    <xf borderId="0" fillId="0" fontId="1" numFmtId="164" xfId="0" applyAlignment="1" applyFont="1" applyNumberFormat="1">
      <alignment readingOrder="0"/>
    </xf>
    <xf borderId="0" fillId="0" fontId="2" numFmtId="165" xfId="0" applyAlignment="1" applyFont="1" applyNumberFormat="1">
      <alignment readingOrder="0"/>
    </xf>
    <xf borderId="4" fillId="0" fontId="1" numFmtId="166"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shrinkToFit="0" vertical="center" wrapText="0"/>
    </xf>
    <xf borderId="7" fillId="0" fontId="1" numFmtId="164" xfId="0" applyAlignment="1" applyBorder="1" applyFont="1" applyNumberFormat="1">
      <alignment shrinkToFit="0" vertical="center" wrapText="0"/>
    </xf>
    <xf borderId="0" fillId="0" fontId="1" numFmtId="0" xfId="0" applyFont="1"/>
    <xf borderId="0" fillId="0" fontId="1" numFmtId="0" xfId="0" applyAlignment="1" applyFont="1">
      <alignment horizontal="left" readingOrder="0"/>
    </xf>
    <xf borderId="8" fillId="0" fontId="1" numFmtId="166"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9" fillId="0" fontId="1" numFmtId="164" xfId="0" applyAlignment="1" applyBorder="1" applyFont="1" applyNumberFormat="1">
      <alignment shrinkToFit="0" vertical="center" wrapText="0"/>
    </xf>
    <xf borderId="11" fillId="0" fontId="1" numFmtId="164" xfId="0" applyAlignment="1" applyBorder="1" applyFont="1" applyNumberFormat="1">
      <alignment shrinkToFit="0" vertical="center" wrapText="0"/>
    </xf>
    <xf borderId="12" fillId="0" fontId="1" numFmtId="164" xfId="0" applyAlignment="1" applyBorder="1" applyFont="1" applyNumberFormat="1">
      <alignment readingOrder="0" shrinkToFit="0" vertical="center" wrapText="0"/>
    </xf>
    <xf borderId="13" fillId="0" fontId="1" numFmtId="164" xfId="0" applyAlignment="1" applyBorder="1" applyFont="1" applyNumberFormat="1">
      <alignment readingOrder="0" shrinkToFit="0" vertical="center" wrapText="0"/>
    </xf>
    <xf borderId="14" fillId="0" fontId="1" numFmtId="164" xfId="0" applyAlignment="1" applyBorder="1" applyFont="1" applyNumberFormat="1">
      <alignment readingOrder="0" shrinkToFit="0" vertical="center" wrapText="0"/>
    </xf>
    <xf borderId="15" fillId="0" fontId="1" numFmtId="164" xfId="0" applyAlignment="1" applyBorder="1" applyFont="1" applyNumberFormat="1">
      <alignment readingOrder="0" shrinkToFit="0" vertical="center" wrapText="0"/>
    </xf>
    <xf borderId="16" fillId="0" fontId="1" numFmtId="164" xfId="0" applyAlignment="1" applyBorder="1" applyFont="1" applyNumberFormat="1">
      <alignment readingOrder="0" shrinkToFit="0" vertical="center" wrapText="0"/>
    </xf>
    <xf borderId="17" fillId="0" fontId="1" numFmtId="164" xfId="0" applyAlignment="1" applyBorder="1" applyFont="1" applyNumberFormat="1">
      <alignment readingOrder="0" shrinkToFit="0" vertical="center" wrapText="0"/>
    </xf>
    <xf borderId="18" fillId="0" fontId="1" numFmtId="164" xfId="0" applyAlignment="1" applyBorder="1" applyFont="1" applyNumberFormat="1">
      <alignment readingOrder="0" shrinkToFit="0" vertical="center" wrapText="0"/>
    </xf>
    <xf borderId="19" fillId="0" fontId="1" numFmtId="164" xfId="0" applyAlignment="1" applyBorder="1" applyFont="1" applyNumberFormat="1">
      <alignment readingOrder="0" shrinkToFit="0" vertical="center" wrapText="0"/>
    </xf>
    <xf borderId="20" fillId="0" fontId="1" numFmtId="164" xfId="0" applyAlignment="1" applyBorder="1" applyFont="1" applyNumberFormat="1">
      <alignment readingOrder="0" shrinkToFit="0" vertical="center" wrapText="0"/>
    </xf>
    <xf borderId="21" fillId="0" fontId="1" numFmtId="164" xfId="0" applyAlignment="1" applyBorder="1" applyFont="1" applyNumberFormat="1">
      <alignment readingOrder="0" shrinkToFit="0" vertical="center" wrapText="0"/>
    </xf>
    <xf borderId="22" fillId="0" fontId="1" numFmtId="164" xfId="0" applyAlignment="1" applyBorder="1" applyFont="1" applyNumberFormat="1">
      <alignment readingOrder="0" shrinkToFit="0" vertical="center" wrapText="0"/>
    </xf>
    <xf borderId="23" fillId="0" fontId="1" numFmtId="164" xfId="0" applyAlignment="1" applyBorder="1" applyFont="1" applyNumberFormat="1">
      <alignment readingOrder="0" shrinkToFit="0" vertical="center" wrapText="0"/>
    </xf>
    <xf borderId="24" fillId="0" fontId="1" numFmtId="164" xfId="0" applyAlignment="1" applyBorder="1" applyFont="1" applyNumberFormat="1">
      <alignment readingOrder="0" shrinkToFit="0" vertical="center" wrapText="0"/>
    </xf>
    <xf borderId="25" fillId="0" fontId="1" numFmtId="164" xfId="0" applyAlignment="1" applyBorder="1" applyFont="1" applyNumberFormat="1">
      <alignment readingOrder="0" shrinkToFit="0" vertical="center" wrapText="0"/>
    </xf>
    <xf borderId="26" fillId="0" fontId="1" numFmtId="164" xfId="0" applyAlignment="1" applyBorder="1" applyFont="1" applyNumberFormat="1">
      <alignment readingOrder="0" shrinkToFit="0" vertical="center" wrapText="0"/>
    </xf>
    <xf borderId="27" fillId="0" fontId="1" numFmtId="164" xfId="0" applyAlignment="1" applyBorder="1" applyFont="1" applyNumberFormat="1">
      <alignment readingOrder="0" shrinkToFit="0" vertical="center" wrapText="0"/>
    </xf>
    <xf borderId="28" fillId="0" fontId="1" numFmtId="164" xfId="0" applyAlignment="1" applyBorder="1" applyFont="1" applyNumberFormat="1">
      <alignment readingOrder="0" shrinkToFit="0" vertical="center" wrapText="0"/>
    </xf>
    <xf borderId="29" fillId="0" fontId="1" numFmtId="164" xfId="0" applyAlignment="1" applyBorder="1" applyFont="1" applyNumberFormat="1">
      <alignment readingOrder="0" shrinkToFit="0" vertical="center" wrapText="0"/>
    </xf>
    <xf borderId="30" fillId="0" fontId="1" numFmtId="164" xfId="0" applyAlignment="1" applyBorder="1" applyFont="1" applyNumberFormat="1">
      <alignment readingOrder="0" shrinkToFit="0" vertical="center" wrapText="0"/>
    </xf>
    <xf borderId="31" fillId="0" fontId="1" numFmtId="164" xfId="0" applyAlignment="1" applyBorder="1" applyFont="1" applyNumberFormat="1">
      <alignment readingOrder="0" shrinkToFit="0" vertical="center" wrapText="0"/>
    </xf>
    <xf borderId="32" fillId="0" fontId="1" numFmtId="164" xfId="0" applyAlignment="1" applyBorder="1" applyFont="1" applyNumberFormat="1">
      <alignment readingOrder="0" shrinkToFit="0" vertical="center" wrapText="0"/>
    </xf>
    <xf borderId="33" fillId="0" fontId="1" numFmtId="164" xfId="0" applyAlignment="1" applyBorder="1" applyFont="1" applyNumberFormat="1">
      <alignment readingOrder="0" shrinkToFit="0" vertical="center" wrapText="0"/>
    </xf>
    <xf borderId="34" fillId="0" fontId="1" numFmtId="164" xfId="0" applyAlignment="1" applyBorder="1" applyFont="1" applyNumberFormat="1">
      <alignment readingOrder="0" shrinkToFit="0" vertical="center" wrapText="0"/>
    </xf>
    <xf borderId="35" fillId="0" fontId="1" numFmtId="164" xfId="0" applyAlignment="1" applyBorder="1" applyFont="1" applyNumberFormat="1">
      <alignment readingOrder="0" shrinkToFit="0" vertical="center" wrapText="0"/>
    </xf>
    <xf borderId="36" fillId="0" fontId="1" numFmtId="164" xfId="0" applyAlignment="1" applyBorder="1" applyFont="1" applyNumberFormat="1">
      <alignment readingOrder="0" shrinkToFit="0" vertical="center" wrapText="0"/>
    </xf>
    <xf borderId="37" fillId="0" fontId="1" numFmtId="164" xfId="0" applyAlignment="1" applyBorder="1" applyFont="1" applyNumberFormat="1">
      <alignment readingOrder="0" shrinkToFit="0" vertical="center" wrapText="0"/>
    </xf>
    <xf borderId="38" fillId="0" fontId="1" numFmtId="164" xfId="0" applyAlignment="1" applyBorder="1" applyFont="1" applyNumberFormat="1">
      <alignment readingOrder="0" shrinkToFit="0" vertical="center" wrapText="0"/>
    </xf>
    <xf borderId="39" fillId="0" fontId="1" numFmtId="164" xfId="0" applyAlignment="1" applyBorder="1" applyFont="1" applyNumberFormat="1">
      <alignment readingOrder="0" shrinkToFit="0" vertical="center" wrapText="0"/>
    </xf>
    <xf borderId="40" fillId="0" fontId="1" numFmtId="164" xfId="0" applyAlignment="1" applyBorder="1" applyFont="1" applyNumberFormat="1">
      <alignment readingOrder="0" shrinkToFit="0" vertical="center" wrapText="0"/>
    </xf>
    <xf borderId="41" fillId="0" fontId="1" numFmtId="164" xfId="0" applyAlignment="1" applyBorder="1" applyFont="1" applyNumberFormat="1">
      <alignment readingOrder="0" shrinkToFit="0" vertical="center" wrapText="0"/>
    </xf>
    <xf borderId="42" fillId="0" fontId="1" numFmtId="164" xfId="0" applyAlignment="1" applyBorder="1" applyFont="1" applyNumberFormat="1">
      <alignment readingOrder="0" shrinkToFit="0" vertical="center" wrapText="0"/>
    </xf>
    <xf borderId="43" fillId="0" fontId="1" numFmtId="164" xfId="0" applyAlignment="1" applyBorder="1" applyFont="1" applyNumberFormat="1">
      <alignment readingOrder="0" shrinkToFit="0" vertical="center" wrapText="0"/>
    </xf>
    <xf borderId="44" fillId="0" fontId="1" numFmtId="164" xfId="0" applyAlignment="1" applyBorder="1" applyFont="1" applyNumberFormat="1">
      <alignment readingOrder="0" shrinkToFit="0" vertical="center" wrapText="0"/>
    </xf>
    <xf borderId="45" fillId="0" fontId="1" numFmtId="164" xfId="0" applyAlignment="1" applyBorder="1" applyFont="1" applyNumberFormat="1">
      <alignment readingOrder="0" shrinkToFit="0" vertical="center" wrapText="0"/>
    </xf>
    <xf borderId="46" fillId="0" fontId="1" numFmtId="164" xfId="0" applyAlignment="1" applyBorder="1" applyFont="1" applyNumberFormat="1">
      <alignment readingOrder="0" shrinkToFit="0" vertical="center" wrapText="0"/>
    </xf>
    <xf borderId="47" fillId="0" fontId="1" numFmtId="164" xfId="0" applyAlignment="1" applyBorder="1" applyFont="1" applyNumberFormat="1">
      <alignment readingOrder="0" shrinkToFit="0" vertical="center" wrapText="0"/>
    </xf>
    <xf borderId="48" fillId="0" fontId="1" numFmtId="164" xfId="0" applyAlignment="1" applyBorder="1" applyFont="1" applyNumberFormat="1">
      <alignment readingOrder="0" shrinkToFit="0" vertical="center" wrapText="0"/>
    </xf>
    <xf borderId="49" fillId="0" fontId="1" numFmtId="164" xfId="0" applyAlignment="1" applyBorder="1" applyFont="1" applyNumberFormat="1">
      <alignment readingOrder="0" shrinkToFit="0" vertical="center" wrapText="0"/>
    </xf>
    <xf borderId="50" fillId="0" fontId="1" numFmtId="164" xfId="0" applyAlignment="1" applyBorder="1" applyFont="1" applyNumberFormat="1">
      <alignment readingOrder="0" shrinkToFit="0" vertical="center" wrapText="0"/>
    </xf>
    <xf borderId="51" fillId="0" fontId="1" numFmtId="164" xfId="0" applyAlignment="1" applyBorder="1" applyFont="1" applyNumberFormat="1">
      <alignment readingOrder="0" shrinkToFit="0" vertical="center" wrapText="0"/>
    </xf>
    <xf borderId="52" fillId="0" fontId="1" numFmtId="164" xfId="0" applyAlignment="1" applyBorder="1" applyFont="1" applyNumberFormat="1">
      <alignment readingOrder="0" shrinkToFit="0" vertical="center" wrapText="0"/>
    </xf>
    <xf borderId="53" fillId="0" fontId="1" numFmtId="164" xfId="0" applyAlignment="1" applyBorder="1" applyFont="1" applyNumberFormat="1">
      <alignment readingOrder="0" shrinkToFit="0" vertical="center" wrapText="0"/>
    </xf>
    <xf borderId="54" fillId="0" fontId="1" numFmtId="164" xfId="0" applyAlignment="1" applyBorder="1" applyFont="1" applyNumberFormat="1">
      <alignment readingOrder="0" shrinkToFit="0" vertical="center" wrapText="0"/>
    </xf>
    <xf borderId="55" fillId="0" fontId="1" numFmtId="164" xfId="0" applyAlignment="1" applyBorder="1" applyFont="1" applyNumberFormat="1">
      <alignment readingOrder="0" shrinkToFit="0" vertical="center" wrapText="0"/>
    </xf>
    <xf borderId="56" fillId="0" fontId="1" numFmtId="164" xfId="0" applyAlignment="1" applyBorder="1" applyFont="1" applyNumberFormat="1">
      <alignment readingOrder="0" shrinkToFit="0" vertical="center" wrapText="0"/>
    </xf>
    <xf borderId="57" fillId="0" fontId="1" numFmtId="164" xfId="0" applyAlignment="1" applyBorder="1" applyFont="1" applyNumberFormat="1">
      <alignment readingOrder="0" shrinkToFit="0" vertical="center" wrapText="0"/>
    </xf>
    <xf borderId="58" fillId="0" fontId="1" numFmtId="164" xfId="0" applyAlignment="1" applyBorder="1" applyFont="1" applyNumberFormat="1">
      <alignment readingOrder="0" shrinkToFit="0" vertical="center" wrapText="0"/>
    </xf>
    <xf borderId="59" fillId="0" fontId="1" numFmtId="164" xfId="0" applyAlignment="1" applyBorder="1" applyFont="1" applyNumberFormat="1">
      <alignment readingOrder="0" shrinkToFit="0" vertical="center" wrapText="0"/>
    </xf>
    <xf borderId="60" fillId="0" fontId="1" numFmtId="164" xfId="0" applyAlignment="1" applyBorder="1" applyFont="1" applyNumberFormat="1">
      <alignment readingOrder="0" shrinkToFit="0" vertical="center" wrapText="0"/>
    </xf>
    <xf borderId="61" fillId="0" fontId="1" numFmtId="164" xfId="0" applyAlignment="1" applyBorder="1" applyFont="1" applyNumberFormat="1">
      <alignment readingOrder="0" shrinkToFit="0" vertical="center" wrapText="0"/>
    </xf>
    <xf borderId="62" fillId="0" fontId="1" numFmtId="164" xfId="0" applyAlignment="1" applyBorder="1" applyFont="1" applyNumberFormat="1">
      <alignment readingOrder="0" shrinkToFit="0" vertical="center" wrapText="0"/>
    </xf>
    <xf borderId="63" fillId="0" fontId="1" numFmtId="164" xfId="0" applyAlignment="1" applyBorder="1" applyFont="1" applyNumberFormat="1">
      <alignment readingOrder="0" shrinkToFit="0" vertical="center" wrapText="0"/>
    </xf>
    <xf borderId="64" fillId="0" fontId="1" numFmtId="164" xfId="0" applyAlignment="1" applyBorder="1" applyFont="1" applyNumberFormat="1">
      <alignment readingOrder="0" shrinkToFit="0" vertical="center" wrapText="0"/>
    </xf>
    <xf borderId="65" fillId="0" fontId="1" numFmtId="164" xfId="0" applyAlignment="1" applyBorder="1" applyFont="1" applyNumberFormat="1">
      <alignment readingOrder="0" shrinkToFit="0" vertical="center" wrapText="0"/>
    </xf>
    <xf borderId="66" fillId="0" fontId="1" numFmtId="164" xfId="0" applyAlignment="1" applyBorder="1" applyFont="1" applyNumberFormat="1">
      <alignment readingOrder="0" shrinkToFit="0" vertical="center" wrapText="0"/>
    </xf>
    <xf borderId="67" fillId="0" fontId="1" numFmtId="164" xfId="0" applyAlignment="1" applyBorder="1" applyFont="1" applyNumberFormat="1">
      <alignment readingOrder="0" shrinkToFit="0" vertical="center" wrapText="0"/>
    </xf>
    <xf borderId="68" fillId="0" fontId="1" numFmtId="164" xfId="0" applyAlignment="1" applyBorder="1" applyFont="1" applyNumberFormat="1">
      <alignment readingOrder="0" shrinkToFit="0" vertical="center" wrapText="0"/>
    </xf>
    <xf borderId="69" fillId="0" fontId="1" numFmtId="164" xfId="0" applyAlignment="1" applyBorder="1" applyFont="1" applyNumberFormat="1">
      <alignment readingOrder="0" shrinkToFit="0" vertical="center" wrapText="0"/>
    </xf>
    <xf borderId="9" fillId="0" fontId="1" numFmtId="0" xfId="0" applyAlignment="1" applyBorder="1" applyFont="1">
      <alignment shrinkToFit="0" vertical="center" wrapText="0"/>
    </xf>
    <xf borderId="70" fillId="0" fontId="1" numFmtId="164" xfId="0" applyAlignment="1" applyBorder="1" applyFont="1" applyNumberFormat="1">
      <alignment readingOrder="0" shrinkToFit="0" vertical="center" wrapText="0"/>
    </xf>
    <xf borderId="71" fillId="0" fontId="1" numFmtId="164" xfId="0" applyAlignment="1" applyBorder="1" applyFont="1" applyNumberFormat="1">
      <alignment readingOrder="0" shrinkToFit="0" vertical="center" wrapText="0"/>
    </xf>
    <xf borderId="72" fillId="0" fontId="1" numFmtId="164" xfId="0" applyAlignment="1" applyBorder="1" applyFont="1" applyNumberFormat="1">
      <alignment readingOrder="0" shrinkToFit="0" vertical="center" wrapText="0"/>
    </xf>
    <xf borderId="73" fillId="0" fontId="1" numFmtId="164" xfId="0" applyAlignment="1" applyBorder="1" applyFont="1" applyNumberFormat="1">
      <alignment readingOrder="0" shrinkToFit="0" vertical="center" wrapText="0"/>
    </xf>
    <xf borderId="74" fillId="0" fontId="1" numFmtId="164" xfId="0" applyAlignment="1" applyBorder="1" applyFont="1" applyNumberFormat="1">
      <alignment readingOrder="0" shrinkToFit="0" vertical="center" wrapText="0"/>
    </xf>
    <xf borderId="75" fillId="0" fontId="1" numFmtId="164" xfId="0" applyAlignment="1" applyBorder="1" applyFont="1" applyNumberFormat="1">
      <alignment readingOrder="0" shrinkToFit="0" vertical="center" wrapText="0"/>
    </xf>
    <xf borderId="76" fillId="0" fontId="1" numFmtId="164" xfId="0" applyAlignment="1" applyBorder="1" applyFont="1" applyNumberFormat="1">
      <alignment readingOrder="0" shrinkToFit="0" vertical="center" wrapText="0"/>
    </xf>
    <xf borderId="77" fillId="0" fontId="1" numFmtId="164" xfId="0" applyAlignment="1" applyBorder="1" applyFont="1" applyNumberFormat="1">
      <alignment readingOrder="0" shrinkToFit="0" vertical="center" wrapText="0"/>
    </xf>
    <xf borderId="78" fillId="0" fontId="1" numFmtId="164" xfId="0" applyAlignment="1" applyBorder="1" applyFont="1" applyNumberFormat="1">
      <alignment readingOrder="0" shrinkToFit="0" vertical="center" wrapText="0"/>
    </xf>
    <xf borderId="79" fillId="0" fontId="1" numFmtId="164" xfId="0" applyAlignment="1" applyBorder="1" applyFont="1" applyNumberFormat="1">
      <alignment readingOrder="0" shrinkToFit="0" vertical="center" wrapText="0"/>
    </xf>
    <xf borderId="80" fillId="0" fontId="1" numFmtId="164" xfId="0" applyAlignment="1" applyBorder="1" applyFont="1" applyNumberFormat="1">
      <alignment readingOrder="0" shrinkToFit="0" vertical="center" wrapText="0"/>
    </xf>
    <xf borderId="81" fillId="0" fontId="1" numFmtId="164" xfId="0" applyAlignment="1" applyBorder="1" applyFont="1" applyNumberFormat="1">
      <alignment readingOrder="0" shrinkToFit="0" vertical="center" wrapText="0"/>
    </xf>
    <xf borderId="82" fillId="0" fontId="1" numFmtId="164" xfId="0" applyAlignment="1" applyBorder="1" applyFont="1" applyNumberFormat="1">
      <alignment readingOrder="0" shrinkToFit="0" vertical="center" wrapText="0"/>
    </xf>
    <xf borderId="83" fillId="0" fontId="1" numFmtId="164" xfId="0" applyAlignment="1" applyBorder="1" applyFont="1" applyNumberFormat="1">
      <alignment readingOrder="0" shrinkToFit="0" vertical="center" wrapText="0"/>
    </xf>
    <xf borderId="84" fillId="0" fontId="1" numFmtId="164" xfId="0" applyAlignment="1" applyBorder="1" applyFont="1" applyNumberFormat="1">
      <alignment readingOrder="0" shrinkToFit="0" vertical="center" wrapText="0"/>
    </xf>
    <xf borderId="85" fillId="0" fontId="1" numFmtId="164" xfId="0" applyAlignment="1" applyBorder="1" applyFont="1" applyNumberFormat="1">
      <alignment readingOrder="0" shrinkToFit="0" vertical="center" wrapText="0"/>
    </xf>
    <xf borderId="86" fillId="0" fontId="1" numFmtId="164" xfId="0" applyAlignment="1" applyBorder="1" applyFont="1" applyNumberFormat="1">
      <alignment readingOrder="0" shrinkToFit="0" vertical="center" wrapText="0"/>
    </xf>
    <xf borderId="87" fillId="0" fontId="1" numFmtId="164" xfId="0" applyAlignment="1" applyBorder="1" applyFont="1" applyNumberFormat="1">
      <alignment readingOrder="0" shrinkToFit="0" vertical="center" wrapText="0"/>
    </xf>
    <xf borderId="88" fillId="0" fontId="1" numFmtId="164" xfId="0" applyAlignment="1" applyBorder="1" applyFont="1" applyNumberFormat="1">
      <alignment readingOrder="0" shrinkToFit="0" vertical="center" wrapText="0"/>
    </xf>
    <xf borderId="89" fillId="0" fontId="1" numFmtId="164" xfId="0" applyAlignment="1" applyBorder="1" applyFont="1" applyNumberFormat="1">
      <alignment readingOrder="0" shrinkToFit="0" vertical="center" wrapText="0"/>
    </xf>
    <xf borderId="90" fillId="0" fontId="1" numFmtId="164" xfId="0" applyAlignment="1" applyBorder="1" applyFont="1" applyNumberFormat="1">
      <alignment readingOrder="0" shrinkToFit="0" vertical="center" wrapText="0"/>
    </xf>
    <xf borderId="91" fillId="0" fontId="1" numFmtId="164" xfId="0" applyAlignment="1" applyBorder="1" applyFont="1" applyNumberFormat="1">
      <alignment readingOrder="0" shrinkToFit="0" vertical="center" wrapText="0"/>
    </xf>
    <xf borderId="92" fillId="0" fontId="1" numFmtId="164" xfId="0" applyAlignment="1" applyBorder="1" applyFont="1" applyNumberFormat="1">
      <alignment readingOrder="0" shrinkToFit="0" vertical="center" wrapText="0"/>
    </xf>
    <xf borderId="93" fillId="0" fontId="1" numFmtId="164" xfId="0" applyAlignment="1" applyBorder="1" applyFont="1" applyNumberFormat="1">
      <alignment readingOrder="0" shrinkToFit="0" vertical="center" wrapText="0"/>
    </xf>
    <xf borderId="94" fillId="0" fontId="1" numFmtId="164" xfId="0" applyAlignment="1" applyBorder="1" applyFont="1" applyNumberFormat="1">
      <alignment readingOrder="0" shrinkToFit="0" vertical="center" wrapText="0"/>
    </xf>
    <xf borderId="95" fillId="0" fontId="1" numFmtId="164" xfId="0" applyAlignment="1" applyBorder="1" applyFont="1" applyNumberFormat="1">
      <alignment readingOrder="0" shrinkToFit="0" vertical="center" wrapText="0"/>
    </xf>
    <xf borderId="96" fillId="0" fontId="1" numFmtId="166" xfId="0" applyAlignment="1" applyBorder="1" applyFont="1" applyNumberFormat="1">
      <alignment readingOrder="0" shrinkToFit="0" vertical="center" wrapText="0"/>
    </xf>
    <xf borderId="97" fillId="0" fontId="1" numFmtId="0" xfId="0" applyAlignment="1" applyBorder="1" applyFont="1">
      <alignment readingOrder="0" shrinkToFit="0" vertical="center" wrapText="0"/>
    </xf>
    <xf borderId="98" fillId="0" fontId="1" numFmtId="164" xfId="0" applyAlignment="1" applyBorder="1" applyFont="1" applyNumberFormat="1">
      <alignment readingOrder="0" shrinkToFit="0" vertical="center" wrapText="0"/>
    </xf>
    <xf borderId="97" fillId="0" fontId="1" numFmtId="0" xfId="0" applyAlignment="1" applyBorder="1" applyFont="1">
      <alignment readingOrder="0" shrinkToFit="0" vertical="center" wrapText="0"/>
    </xf>
    <xf borderId="97" fillId="0" fontId="1" numFmtId="164" xfId="0" applyAlignment="1" applyBorder="1" applyFont="1" applyNumberFormat="1">
      <alignment shrinkToFit="0" vertical="center" wrapText="0"/>
    </xf>
    <xf borderId="99" fillId="0" fontId="1" numFmtId="164" xfId="0" applyAlignment="1" applyBorder="1" applyFont="1" applyNumberFormat="1">
      <alignment shrinkToFit="0" vertical="center" wrapText="0"/>
    </xf>
    <xf borderId="0" fillId="2" fontId="1" numFmtId="0" xfId="0" applyFill="1" applyFont="1"/>
    <xf borderId="100" fillId="0" fontId="3" numFmtId="0" xfId="0" applyAlignment="1" applyBorder="1" applyFont="1">
      <alignment horizontal="left" readingOrder="0" shrinkToFit="0" vertical="center" wrapText="0"/>
    </xf>
    <xf borderId="101" fillId="0" fontId="3" numFmtId="0" xfId="0" applyAlignment="1" applyBorder="1" applyFont="1">
      <alignment horizontal="left" readingOrder="0" shrinkToFit="0" vertical="center" wrapText="0"/>
    </xf>
    <xf borderId="102" fillId="0" fontId="3" numFmtId="0" xfId="0" applyAlignment="1" applyBorder="1" applyFont="1">
      <alignment horizontal="left" readingOrder="0" shrinkToFit="0" vertical="center" wrapText="0"/>
    </xf>
    <xf borderId="0" fillId="0" fontId="1" numFmtId="0" xfId="0" applyAlignment="1" applyFont="1">
      <alignment readingOrder="0"/>
    </xf>
    <xf borderId="103" fillId="0" fontId="1" numFmtId="0" xfId="0" applyAlignment="1" applyBorder="1" applyFont="1">
      <alignment readingOrder="0" shrinkToFit="0" vertical="center" wrapText="0"/>
    </xf>
    <xf borderId="104" fillId="0" fontId="1" numFmtId="0" xfId="0" applyAlignment="1" applyBorder="1" applyFont="1">
      <alignment readingOrder="0" shrinkToFit="0" vertical="center" wrapText="0"/>
    </xf>
    <xf borderId="105" fillId="0" fontId="1" numFmtId="0" xfId="0" applyAlignment="1" applyBorder="1" applyFont="1">
      <alignment readingOrder="0" shrinkToFit="0" vertical="center" wrapText="0"/>
    </xf>
    <xf borderId="106" fillId="0" fontId="1" numFmtId="0" xfId="0" applyAlignment="1" applyBorder="1" applyFont="1">
      <alignment readingOrder="0" shrinkToFit="0" vertical="center" wrapText="0"/>
    </xf>
    <xf borderId="107" fillId="0" fontId="1" numFmtId="0" xfId="0" applyAlignment="1" applyBorder="1" applyFont="1">
      <alignment readingOrder="0" shrinkToFit="0" vertical="center" wrapText="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5" numFmtId="49" xfId="0" applyAlignment="1" applyFont="1" applyNumberFormat="1">
      <alignment readingOrder="0"/>
    </xf>
    <xf borderId="0" fillId="0" fontId="4" numFmtId="166" xfId="0" applyFont="1" applyNumberFormat="1"/>
    <xf borderId="0" fillId="0" fontId="4" numFmtId="164" xfId="0" applyFont="1" applyNumberFormat="1"/>
    <xf borderId="108" fillId="3" fontId="2" numFmtId="0" xfId="0" applyAlignment="1" applyBorder="1" applyFill="1" applyFont="1">
      <alignment readingOrder="0"/>
    </xf>
    <xf borderId="108" fillId="3" fontId="1" numFmtId="0" xfId="0" applyAlignment="1" applyBorder="1" applyFont="1">
      <alignment readingOrder="0"/>
    </xf>
    <xf borderId="0" fillId="4" fontId="2" numFmtId="0" xfId="0" applyAlignment="1" applyFill="1" applyFont="1">
      <alignment readingOrder="0"/>
    </xf>
    <xf borderId="0" fillId="4" fontId="2" numFmtId="49" xfId="0" applyAlignment="1" applyFont="1" applyNumberFormat="1">
      <alignment readingOrder="0"/>
    </xf>
    <xf borderId="0" fillId="0" fontId="1" numFmtId="166" xfId="0" applyFont="1" applyNumberFormat="1"/>
    <xf borderId="0" fillId="0" fontId="1" numFmtId="164" xfId="0" applyFont="1" applyNumberFormat="1"/>
  </cellXfs>
  <cellStyles count="1">
    <cellStyle xfId="0" name="Normal" builtinId="0"/>
  </cellStyles>
  <dxfs count="5">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008B19"/>
          <bgColor rgb="FF008B19"/>
        </patternFill>
      </fill>
      <border/>
    </dxf>
  </dxfs>
  <tableStyles count="2">
    <tableStyle count="3" pivot="0" name="Budgets-style">
      <tableStyleElement dxfId="1" type="headerRow"/>
      <tableStyleElement dxfId="2" type="firstRowStripe"/>
      <tableStyleElement dxfId="3" type="secondRowStripe"/>
    </tableStyle>
    <tableStyle count="3" pivot="0" name="Categories-style">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Arial black"/>
              </a:defRPr>
            </a:pPr>
            <a:r>
              <a:rPr b="1">
                <a:solidFill>
                  <a:srgbClr val="FFFFFF"/>
                </a:solidFill>
                <a:latin typeface="Arial black"/>
              </a:rPr>
              <a:t>Balance over TIme</a:t>
            </a:r>
          </a:p>
        </c:rich>
      </c:tx>
      <c:overlay val="0"/>
    </c:title>
    <c:plotArea>
      <c:layout/>
      <c:lineChart>
        <c:varyColors val="0"/>
        <c:ser>
          <c:idx val="0"/>
          <c:order val="0"/>
          <c:tx>
            <c:strRef>
              <c:f>Budgets!$G$1</c:f>
            </c:strRef>
          </c:tx>
          <c:spPr>
            <a:ln cmpd="sng">
              <a:solidFill>
                <a:srgbClr val="FF0000">
                  <a:alpha val="100000"/>
                </a:srgbClr>
              </a:solidFill>
            </a:ln>
          </c:spPr>
          <c:marker>
            <c:symbol val="none"/>
          </c:marker>
          <c:cat>
            <c:strRef>
              <c:f>Budgets!$A$2:$A$101</c:f>
            </c:strRef>
          </c:cat>
          <c:val>
            <c:numRef>
              <c:f>Budgets!$G$2:$G$101</c:f>
              <c:numCache/>
            </c:numRef>
          </c:val>
          <c:smooth val="0"/>
        </c:ser>
        <c:axId val="1361727653"/>
        <c:axId val="289263613"/>
      </c:lineChart>
      <c:catAx>
        <c:axId val="13617276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FFFFFF"/>
                </a:solidFill>
                <a:latin typeface="Arial black"/>
              </a:defRPr>
            </a:pPr>
          </a:p>
        </c:txPr>
        <c:crossAx val="289263613"/>
      </c:catAx>
      <c:valAx>
        <c:axId val="289263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FFFFFF"/>
                </a:solidFill>
                <a:latin typeface="Arial black"/>
              </a:defRPr>
            </a:pPr>
          </a:p>
        </c:txPr>
        <c:crossAx val="1361727653"/>
      </c:valAx>
    </c:plotArea>
    <c:legend>
      <c:legendPos val="r"/>
      <c:overlay val="0"/>
      <c:txPr>
        <a:bodyPr/>
        <a:lstStyle/>
        <a:p>
          <a:pPr lvl="0">
            <a:defRPr b="0">
              <a:solidFill>
                <a:srgbClr val="1A1A1A"/>
              </a:solidFill>
              <a:latin typeface="+mn-lt"/>
            </a:defRPr>
          </a:pPr>
        </a:p>
      </c:txPr>
    </c:legend>
    <c:plotVisOnly val="1"/>
  </c:chart>
  <c:spPr>
    <a:solidFill>
      <a:srgbClr val="666666"/>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0</xdr:row>
      <xdr:rowOff>28575</xdr:rowOff>
    </xdr:from>
    <xdr:ext cx="2857500" cy="2857500"/>
    <mc:AlternateContent>
      <mc:Choice Requires="sle15">
        <xdr:graphicFrame>
          <xdr:nvGraphicFramePr>
            <xdr:cNvPr id="1" name="Category_1"/>
            <xdr:cNvGraphicFramePr/>
          </xdr:nvGraphicFramePr>
          <xdr:xfrm>
            <a:off x="0" y="0"/>
            <a:ext cx="0" cy="0"/>
          </xdr:xfrm>
          <a:graphic>
            <a:graphicData uri="http://schemas.microsoft.com/office/drawing/2010/slicer">
              <x3Unk:slicer name="Catego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352925" cy="3267075"/>
    <xdr:pic>
      <xdr:nvPicPr>
        <xdr:cNvPr id="1164617818"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609600</xdr:colOff>
      <xdr:row>0</xdr:row>
      <xdr:rowOff>0</xdr:rowOff>
    </xdr:from>
    <xdr:ext cx="9077325" cy="3267075"/>
    <xdr:pic>
      <xdr:nvPicPr>
        <xdr:cNvPr id="1447325237"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16</xdr:row>
      <xdr:rowOff>180975</xdr:rowOff>
    </xdr:from>
    <xdr:ext cx="976312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1577839669"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Category">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ategory_1" cache="SlicerCache_Table_1_Col_4" caption="Category" rowHeight="247650"/>
</x14:slicers>
</file>

<file path=xl/tables/table1.xml><?xml version="1.0" encoding="utf-8"?>
<table xmlns="http://schemas.openxmlformats.org/spreadsheetml/2006/main" ref="A1:G101" displayName="Budget" name="Budget" id="1">
  <autoFilter ref="$A$1:$G$101"/>
  <tableColumns count="7">
    <tableColumn name="Date" id="1"/>
    <tableColumn name="Transaction" id="2"/>
    <tableColumn name="Amount" id="3"/>
    <tableColumn name="Category" id="4"/>
    <tableColumn name="Pay Method" id="5"/>
    <tableColumn name="Type" id="6"/>
    <tableColumn name="Balance" id="7"/>
  </tableColumns>
  <tableStyleInfo name="Budgets-style" showColumnStripes="0" showFirstColumn="1" showLastColumn="1" showRowStripes="1"/>
</table>
</file>

<file path=xl/tables/table2.xml><?xml version="1.0" encoding="utf-8"?>
<table xmlns="http://schemas.openxmlformats.org/spreadsheetml/2006/main" ref="A1:C13" displayName="Categories" name="Categories" id="2">
  <tableColumns count="3">
    <tableColumn name="Income Accounts" id="1"/>
    <tableColumn name="Expense Accounts" id="2"/>
    <tableColumn name="Payment Methods" id="3"/>
  </tableColumns>
  <tableStyleInfo name="Categ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25"/>
    <col customWidth="1" min="3" max="3" width="14.63"/>
    <col customWidth="1" min="4" max="4" width="15.38"/>
    <col customWidth="1" min="5" max="5" width="17.63"/>
    <col customWidth="1" min="6" max="7" width="14.63"/>
    <col customWidth="1" min="8" max="8" width="6.38"/>
    <col customWidth="1" min="9" max="9" width="14.38"/>
    <col customWidth="1" min="10" max="10" width="13.75"/>
    <col customWidth="1" min="11" max="11" width="21.0"/>
  </cols>
  <sheetData>
    <row r="1" ht="53.25" customHeight="1">
      <c r="A1" s="1" t="s">
        <v>0</v>
      </c>
      <c r="B1" s="2" t="s">
        <v>1</v>
      </c>
      <c r="C1" s="2" t="s">
        <v>2</v>
      </c>
      <c r="D1" s="2" t="s">
        <v>3</v>
      </c>
      <c r="E1" s="2" t="s">
        <v>4</v>
      </c>
      <c r="F1" s="3" t="s">
        <v>5</v>
      </c>
      <c r="G1" s="4" t="s">
        <v>6</v>
      </c>
      <c r="I1" s="5" t="s">
        <v>7</v>
      </c>
      <c r="J1" s="6">
        <v>200000.0</v>
      </c>
      <c r="K1" s="5" t="s">
        <v>8</v>
      </c>
      <c r="L1" s="7" t="s">
        <v>9</v>
      </c>
    </row>
    <row r="2" ht="16.5" customHeight="1">
      <c r="A2" s="8">
        <v>45570.0</v>
      </c>
      <c r="B2" s="9" t="s">
        <v>10</v>
      </c>
      <c r="C2" s="10">
        <v>287.95</v>
      </c>
      <c r="D2" s="11" t="s">
        <v>11</v>
      </c>
      <c r="E2" s="11" t="s">
        <v>12</v>
      </c>
      <c r="F2" s="12" t="str">
        <f>IF(ISERROR(MATCH(D2,Categories[Income Accounts],0)),"Expense","Income")</f>
        <v>Income</v>
      </c>
      <c r="G2" s="13">
        <f>IF(F2="Income",J1+C2)</f>
        <v>200287.95</v>
      </c>
      <c r="I2" s="14" t="str">
        <f t="shared" ref="I2:I101" si="1">IF(C2&gt;1000,"Big Spender","Not much")</f>
        <v>Not much</v>
      </c>
      <c r="K2" s="5" t="s">
        <v>13</v>
      </c>
      <c r="L2" s="15">
        <f>COUNTIF(C2:C1000,"&gt;"&amp;L1)</f>
        <v>46</v>
      </c>
    </row>
    <row r="3">
      <c r="A3" s="16">
        <v>45577.0</v>
      </c>
      <c r="B3" s="17" t="s">
        <v>14</v>
      </c>
      <c r="C3" s="18">
        <v>1963.35</v>
      </c>
      <c r="D3" s="19" t="s">
        <v>14</v>
      </c>
      <c r="E3" s="19" t="s">
        <v>15</v>
      </c>
      <c r="F3" s="20" t="str">
        <f>IF(ISERROR(MATCH(D3,Categories[Income Accounts],0)),"Expense","Income")</f>
        <v>Expense</v>
      </c>
      <c r="G3" s="21">
        <f t="shared" ref="G3:G101" si="2">IF(F3="Income",G2+C3,G2-C3)</f>
        <v>198324.6</v>
      </c>
      <c r="I3" s="14" t="str">
        <f t="shared" si="1"/>
        <v>Big Spender</v>
      </c>
    </row>
    <row r="4">
      <c r="A4" s="8">
        <v>45577.0</v>
      </c>
      <c r="B4" s="9" t="s">
        <v>16</v>
      </c>
      <c r="C4" s="22">
        <v>1455.87</v>
      </c>
      <c r="D4" s="11" t="s">
        <v>11</v>
      </c>
      <c r="E4" s="11" t="s">
        <v>17</v>
      </c>
      <c r="F4" s="12" t="str">
        <f>IF(ISERROR(MATCH(D4,Categories[Income Accounts],0)),"Expense","Income")</f>
        <v>Income</v>
      </c>
      <c r="G4" s="13">
        <f t="shared" si="2"/>
        <v>199780.47</v>
      </c>
      <c r="I4" s="14" t="str">
        <f t="shared" si="1"/>
        <v>Big Spender</v>
      </c>
    </row>
    <row r="5">
      <c r="A5" s="16">
        <v>45577.0</v>
      </c>
      <c r="B5" s="17" t="s">
        <v>18</v>
      </c>
      <c r="C5" s="23">
        <v>654.3</v>
      </c>
      <c r="D5" s="19" t="s">
        <v>19</v>
      </c>
      <c r="E5" s="19" t="s">
        <v>20</v>
      </c>
      <c r="F5" s="20" t="str">
        <f>IF(ISERROR(MATCH(D5,Categories[Income Accounts],0)),"Expense","Income")</f>
        <v>Expense</v>
      </c>
      <c r="G5" s="21">
        <f t="shared" si="2"/>
        <v>199126.17</v>
      </c>
      <c r="I5" s="14" t="str">
        <f t="shared" si="1"/>
        <v>Not much</v>
      </c>
    </row>
    <row r="6">
      <c r="A6" s="8">
        <v>45582.0</v>
      </c>
      <c r="B6" s="9" t="s">
        <v>21</v>
      </c>
      <c r="C6" s="24">
        <v>1558.89</v>
      </c>
      <c r="D6" s="11" t="s">
        <v>22</v>
      </c>
      <c r="E6" s="11" t="s">
        <v>20</v>
      </c>
      <c r="F6" s="12" t="str">
        <f>IF(ISERROR(MATCH(D6,Categories[Income Accounts],0)),"Expense","Income")</f>
        <v>Expense</v>
      </c>
      <c r="G6" s="13">
        <f t="shared" si="2"/>
        <v>197567.28</v>
      </c>
      <c r="I6" s="14" t="str">
        <f t="shared" si="1"/>
        <v>Big Spender</v>
      </c>
    </row>
    <row r="7">
      <c r="A7" s="16">
        <v>45583.0</v>
      </c>
      <c r="B7" s="17" t="s">
        <v>23</v>
      </c>
      <c r="C7" s="25">
        <v>1724.99</v>
      </c>
      <c r="D7" s="19" t="s">
        <v>24</v>
      </c>
      <c r="E7" s="19" t="s">
        <v>15</v>
      </c>
      <c r="F7" s="20" t="str">
        <f>IF(ISERROR(MATCH(D7,Categories[Income Accounts],0)),"Expense","Income")</f>
        <v>Expense</v>
      </c>
      <c r="G7" s="21">
        <f t="shared" si="2"/>
        <v>195842.29</v>
      </c>
      <c r="I7" s="14" t="str">
        <f t="shared" si="1"/>
        <v>Big Spender</v>
      </c>
    </row>
    <row r="8">
      <c r="A8" s="8">
        <v>45583.0</v>
      </c>
      <c r="B8" s="9" t="s">
        <v>25</v>
      </c>
      <c r="C8" s="26">
        <v>1881.46</v>
      </c>
      <c r="D8" s="11" t="s">
        <v>11</v>
      </c>
      <c r="E8" s="11" t="s">
        <v>12</v>
      </c>
      <c r="F8" s="12" t="str">
        <f>IF(ISERROR(MATCH(D8,Categories[Income Accounts],0)),"Expense","Income")</f>
        <v>Income</v>
      </c>
      <c r="G8" s="13">
        <f t="shared" si="2"/>
        <v>197723.75</v>
      </c>
      <c r="I8" s="14" t="str">
        <f t="shared" si="1"/>
        <v>Big Spender</v>
      </c>
    </row>
    <row r="9">
      <c r="A9" s="16">
        <v>45588.0</v>
      </c>
      <c r="B9" s="17" t="s">
        <v>26</v>
      </c>
      <c r="C9" s="27">
        <v>399.15</v>
      </c>
      <c r="D9" s="19" t="s">
        <v>27</v>
      </c>
      <c r="E9" s="19" t="s">
        <v>28</v>
      </c>
      <c r="F9" s="20" t="str">
        <f>IF(ISERROR(MATCH(D9,Categories[Income Accounts],0)),"Expense","Income")</f>
        <v>Expense</v>
      </c>
      <c r="G9" s="21">
        <f t="shared" si="2"/>
        <v>197324.6</v>
      </c>
      <c r="I9" s="14" t="str">
        <f t="shared" si="1"/>
        <v>Not much</v>
      </c>
    </row>
    <row r="10">
      <c r="A10" s="8">
        <v>45593.0</v>
      </c>
      <c r="B10" s="9" t="s">
        <v>29</v>
      </c>
      <c r="C10" s="28">
        <v>577.43</v>
      </c>
      <c r="D10" s="11" t="s">
        <v>29</v>
      </c>
      <c r="E10" s="11" t="s">
        <v>15</v>
      </c>
      <c r="F10" s="12" t="str">
        <f>IF(ISERROR(MATCH(D10,Categories[Income Accounts],0)),"Expense","Income")</f>
        <v>Expense</v>
      </c>
      <c r="G10" s="13">
        <f t="shared" si="2"/>
        <v>196747.17</v>
      </c>
      <c r="I10" s="14" t="str">
        <f t="shared" si="1"/>
        <v>Not much</v>
      </c>
    </row>
    <row r="11">
      <c r="A11" s="16">
        <v>45595.0</v>
      </c>
      <c r="B11" s="17" t="s">
        <v>30</v>
      </c>
      <c r="C11" s="29">
        <v>1297.35</v>
      </c>
      <c r="D11" s="19" t="s">
        <v>11</v>
      </c>
      <c r="E11" s="19" t="s">
        <v>20</v>
      </c>
      <c r="F11" s="20" t="str">
        <f>IF(ISERROR(MATCH(D11,Categories[Income Accounts],0)),"Expense","Income")</f>
        <v>Income</v>
      </c>
      <c r="G11" s="21">
        <f t="shared" si="2"/>
        <v>198044.52</v>
      </c>
      <c r="I11" s="14" t="str">
        <f t="shared" si="1"/>
        <v>Big Spender</v>
      </c>
    </row>
    <row r="12">
      <c r="A12" s="8">
        <v>45599.0</v>
      </c>
      <c r="B12" s="9" t="s">
        <v>31</v>
      </c>
      <c r="C12" s="30">
        <v>272.8</v>
      </c>
      <c r="D12" s="11" t="s">
        <v>27</v>
      </c>
      <c r="E12" s="11" t="s">
        <v>17</v>
      </c>
      <c r="F12" s="12" t="str">
        <f>IF(ISERROR(MATCH(D12,Categories[Income Accounts],0)),"Expense","Income")</f>
        <v>Expense</v>
      </c>
      <c r="G12" s="13">
        <f t="shared" si="2"/>
        <v>197771.72</v>
      </c>
      <c r="I12" s="14" t="str">
        <f t="shared" si="1"/>
        <v>Not much</v>
      </c>
    </row>
    <row r="13">
      <c r="A13" s="16">
        <v>45605.0</v>
      </c>
      <c r="B13" s="17" t="s">
        <v>32</v>
      </c>
      <c r="C13" s="31">
        <v>207.94</v>
      </c>
      <c r="D13" s="19" t="s">
        <v>33</v>
      </c>
      <c r="E13" s="19" t="s">
        <v>34</v>
      </c>
      <c r="F13" s="20" t="str">
        <f>IF(ISERROR(MATCH(D13,Categories[Income Accounts],0)),"Expense","Income")</f>
        <v>Expense</v>
      </c>
      <c r="G13" s="21">
        <f t="shared" si="2"/>
        <v>197563.78</v>
      </c>
      <c r="I13" s="14" t="str">
        <f t="shared" si="1"/>
        <v>Not much</v>
      </c>
    </row>
    <row r="14">
      <c r="A14" s="8">
        <v>45608.0</v>
      </c>
      <c r="B14" s="9" t="s">
        <v>21</v>
      </c>
      <c r="C14" s="32">
        <v>1844.27</v>
      </c>
      <c r="D14" s="11" t="s">
        <v>21</v>
      </c>
      <c r="E14" s="11" t="s">
        <v>15</v>
      </c>
      <c r="F14" s="12" t="str">
        <f>IF(ISERROR(MATCH(D14,Categories[Income Accounts],0)),"Expense","Income")</f>
        <v>Income</v>
      </c>
      <c r="G14" s="13">
        <f t="shared" si="2"/>
        <v>199408.05</v>
      </c>
      <c r="I14" s="14" t="str">
        <f t="shared" si="1"/>
        <v>Big Spender</v>
      </c>
    </row>
    <row r="15">
      <c r="A15" s="16">
        <v>45608.0</v>
      </c>
      <c r="B15" s="17" t="s">
        <v>31</v>
      </c>
      <c r="C15" s="33">
        <v>695.61</v>
      </c>
      <c r="D15" s="19" t="s">
        <v>33</v>
      </c>
      <c r="E15" s="19" t="s">
        <v>17</v>
      </c>
      <c r="F15" s="20" t="str">
        <f>IF(ISERROR(MATCH(D15,Categories[Income Accounts],0)),"Expense","Income")</f>
        <v>Expense</v>
      </c>
      <c r="G15" s="21">
        <f t="shared" si="2"/>
        <v>198712.44</v>
      </c>
      <c r="I15" s="14" t="str">
        <f t="shared" si="1"/>
        <v>Not much</v>
      </c>
    </row>
    <row r="16">
      <c r="A16" s="8">
        <v>45613.0</v>
      </c>
      <c r="B16" s="9" t="s">
        <v>35</v>
      </c>
      <c r="C16" s="28">
        <v>577.47</v>
      </c>
      <c r="D16" s="11" t="s">
        <v>27</v>
      </c>
      <c r="E16" s="11" t="s">
        <v>34</v>
      </c>
      <c r="F16" s="12" t="str">
        <f>IF(ISERROR(MATCH(D16,Categories[Income Accounts],0)),"Expense","Income")</f>
        <v>Expense</v>
      </c>
      <c r="G16" s="13">
        <f t="shared" si="2"/>
        <v>198134.97</v>
      </c>
      <c r="I16" s="14" t="str">
        <f t="shared" si="1"/>
        <v>Not much</v>
      </c>
    </row>
    <row r="17">
      <c r="A17" s="16">
        <v>45621.0</v>
      </c>
      <c r="B17" s="17" t="s">
        <v>36</v>
      </c>
      <c r="C17" s="34">
        <v>1271.78</v>
      </c>
      <c r="D17" s="19" t="s">
        <v>11</v>
      </c>
      <c r="E17" s="19" t="s">
        <v>12</v>
      </c>
      <c r="F17" s="20" t="str">
        <f>IF(ISERROR(MATCH(D17,Categories[Income Accounts],0)),"Expense","Income")</f>
        <v>Income</v>
      </c>
      <c r="G17" s="21">
        <f t="shared" si="2"/>
        <v>199406.75</v>
      </c>
      <c r="I17" s="14" t="str">
        <f t="shared" si="1"/>
        <v>Big Spender</v>
      </c>
    </row>
    <row r="18">
      <c r="A18" s="8">
        <v>45630.0</v>
      </c>
      <c r="B18" s="9" t="s">
        <v>11</v>
      </c>
      <c r="C18" s="35">
        <v>1828.65</v>
      </c>
      <c r="D18" s="11" t="s">
        <v>11</v>
      </c>
      <c r="E18" s="11" t="s">
        <v>12</v>
      </c>
      <c r="F18" s="12" t="str">
        <f>IF(ISERROR(MATCH(D18,Categories[Income Accounts],0)),"Expense","Income")</f>
        <v>Income</v>
      </c>
      <c r="G18" s="13">
        <f t="shared" si="2"/>
        <v>201235.4</v>
      </c>
      <c r="I18" s="14" t="str">
        <f t="shared" si="1"/>
        <v>Big Spender</v>
      </c>
    </row>
    <row r="19">
      <c r="A19" s="16">
        <v>45635.0</v>
      </c>
      <c r="B19" s="17" t="s">
        <v>37</v>
      </c>
      <c r="C19" s="36">
        <v>1152.26</v>
      </c>
      <c r="D19" s="19" t="s">
        <v>11</v>
      </c>
      <c r="E19" s="19" t="s">
        <v>28</v>
      </c>
      <c r="F19" s="20" t="str">
        <f>IF(ISERROR(MATCH(D19,Categories[Income Accounts],0)),"Expense","Income")</f>
        <v>Income</v>
      </c>
      <c r="G19" s="21">
        <f t="shared" si="2"/>
        <v>202387.66</v>
      </c>
      <c r="I19" s="14" t="str">
        <f t="shared" si="1"/>
        <v>Big Spender</v>
      </c>
    </row>
    <row r="20">
      <c r="A20" s="8">
        <v>45636.0</v>
      </c>
      <c r="B20" s="9" t="s">
        <v>38</v>
      </c>
      <c r="C20" s="25">
        <v>1727.84</v>
      </c>
      <c r="D20" s="11" t="s">
        <v>22</v>
      </c>
      <c r="E20" s="11" t="s">
        <v>34</v>
      </c>
      <c r="F20" s="12" t="str">
        <f>IF(ISERROR(MATCH(D20,Categories[Income Accounts],0)),"Expense","Income")</f>
        <v>Expense</v>
      </c>
      <c r="G20" s="13">
        <f t="shared" si="2"/>
        <v>200659.82</v>
      </c>
      <c r="I20" s="14" t="str">
        <f t="shared" si="1"/>
        <v>Big Spender</v>
      </c>
    </row>
    <row r="21">
      <c r="A21" s="16">
        <v>45648.0</v>
      </c>
      <c r="B21" s="17" t="s">
        <v>21</v>
      </c>
      <c r="C21" s="37">
        <v>1172.72</v>
      </c>
      <c r="D21" s="19" t="s">
        <v>24</v>
      </c>
      <c r="E21" s="19" t="s">
        <v>15</v>
      </c>
      <c r="F21" s="20" t="str">
        <f>IF(ISERROR(MATCH(D21,Categories[Income Accounts],0)),"Expense","Income")</f>
        <v>Expense</v>
      </c>
      <c r="G21" s="21">
        <f t="shared" si="2"/>
        <v>199487.1</v>
      </c>
      <c r="I21" s="14" t="str">
        <f t="shared" si="1"/>
        <v>Big Spender</v>
      </c>
    </row>
    <row r="22">
      <c r="A22" s="8">
        <v>45652.0</v>
      </c>
      <c r="B22" s="9" t="s">
        <v>38</v>
      </c>
      <c r="C22" s="38">
        <v>1419.26</v>
      </c>
      <c r="D22" s="11" t="s">
        <v>21</v>
      </c>
      <c r="E22" s="11" t="s">
        <v>12</v>
      </c>
      <c r="F22" s="12" t="str">
        <f>IF(ISERROR(MATCH(D22,Categories[Income Accounts],0)),"Expense","Income")</f>
        <v>Income</v>
      </c>
      <c r="G22" s="13">
        <f t="shared" si="2"/>
        <v>200906.36</v>
      </c>
      <c r="I22" s="14" t="str">
        <f t="shared" si="1"/>
        <v>Big Spender</v>
      </c>
    </row>
    <row r="23">
      <c r="A23" s="16">
        <v>45658.0</v>
      </c>
      <c r="B23" s="17" t="s">
        <v>36</v>
      </c>
      <c r="C23" s="38">
        <v>1417.46</v>
      </c>
      <c r="D23" s="19" t="s">
        <v>11</v>
      </c>
      <c r="E23" s="19" t="s">
        <v>17</v>
      </c>
      <c r="F23" s="20" t="str">
        <f>IF(ISERROR(MATCH(D23,Categories[Income Accounts],0)),"Expense","Income")</f>
        <v>Income</v>
      </c>
      <c r="G23" s="21">
        <f t="shared" si="2"/>
        <v>202323.82</v>
      </c>
      <c r="I23" s="14" t="str">
        <f t="shared" si="1"/>
        <v>Big Spender</v>
      </c>
    </row>
    <row r="24">
      <c r="A24" s="8">
        <v>45673.0</v>
      </c>
      <c r="B24" s="9" t="s">
        <v>21</v>
      </c>
      <c r="C24" s="39">
        <v>568.54</v>
      </c>
      <c r="D24" s="11" t="s">
        <v>39</v>
      </c>
      <c r="E24" s="11" t="s">
        <v>15</v>
      </c>
      <c r="F24" s="12" t="str">
        <f>IF(ISERROR(MATCH(D24,Categories[Income Accounts],0)),"Expense","Income")</f>
        <v>Expense</v>
      </c>
      <c r="G24" s="13">
        <f t="shared" si="2"/>
        <v>201755.28</v>
      </c>
      <c r="I24" s="14" t="str">
        <f t="shared" si="1"/>
        <v>Not much</v>
      </c>
    </row>
    <row r="25">
      <c r="A25" s="16">
        <v>45675.0</v>
      </c>
      <c r="B25" s="17" t="s">
        <v>40</v>
      </c>
      <c r="C25" s="40">
        <v>1655.38</v>
      </c>
      <c r="D25" s="19" t="s">
        <v>14</v>
      </c>
      <c r="E25" s="19" t="s">
        <v>28</v>
      </c>
      <c r="F25" s="20" t="str">
        <f>IF(ISERROR(MATCH(D25,Categories[Income Accounts],0)),"Expense","Income")</f>
        <v>Expense</v>
      </c>
      <c r="G25" s="21">
        <f t="shared" si="2"/>
        <v>200099.9</v>
      </c>
      <c r="I25" s="14" t="str">
        <f t="shared" si="1"/>
        <v>Big Spender</v>
      </c>
    </row>
    <row r="26">
      <c r="A26" s="8">
        <v>45676.0</v>
      </c>
      <c r="B26" s="9" t="s">
        <v>37</v>
      </c>
      <c r="C26" s="41">
        <v>1706.31</v>
      </c>
      <c r="D26" s="11" t="s">
        <v>29</v>
      </c>
      <c r="E26" s="11" t="s">
        <v>34</v>
      </c>
      <c r="F26" s="12" t="str">
        <f>IF(ISERROR(MATCH(D26,Categories[Income Accounts],0)),"Expense","Income")</f>
        <v>Expense</v>
      </c>
      <c r="G26" s="13">
        <f t="shared" si="2"/>
        <v>198393.59</v>
      </c>
      <c r="I26" s="14" t="str">
        <f t="shared" si="1"/>
        <v>Big Spender</v>
      </c>
    </row>
    <row r="27">
      <c r="A27" s="16">
        <v>45683.0</v>
      </c>
      <c r="B27" s="17" t="s">
        <v>41</v>
      </c>
      <c r="C27" s="42">
        <v>1065.27</v>
      </c>
      <c r="D27" s="19" t="s">
        <v>42</v>
      </c>
      <c r="E27" s="19" t="s">
        <v>15</v>
      </c>
      <c r="F27" s="20" t="str">
        <f>IF(ISERROR(MATCH(D27,Categories[Income Accounts],0)),"Expense","Income")</f>
        <v>Expense</v>
      </c>
      <c r="G27" s="21">
        <f t="shared" si="2"/>
        <v>197328.32</v>
      </c>
      <c r="I27" s="14" t="str">
        <f t="shared" si="1"/>
        <v>Big Spender</v>
      </c>
    </row>
    <row r="28">
      <c r="A28" s="8">
        <v>45683.0</v>
      </c>
      <c r="B28" s="9" t="s">
        <v>11</v>
      </c>
      <c r="C28" s="43">
        <v>586.4</v>
      </c>
      <c r="D28" s="11" t="s">
        <v>42</v>
      </c>
      <c r="E28" s="11" t="s">
        <v>20</v>
      </c>
      <c r="F28" s="12" t="str">
        <f>IF(ISERROR(MATCH(D28,Categories[Income Accounts],0)),"Expense","Income")</f>
        <v>Expense</v>
      </c>
      <c r="G28" s="13">
        <f t="shared" si="2"/>
        <v>196741.92</v>
      </c>
      <c r="I28" s="14" t="str">
        <f t="shared" si="1"/>
        <v>Not much</v>
      </c>
    </row>
    <row r="29">
      <c r="A29" s="16">
        <v>45688.0</v>
      </c>
      <c r="B29" s="17" t="s">
        <v>29</v>
      </c>
      <c r="C29" s="44">
        <v>264.94</v>
      </c>
      <c r="D29" s="19" t="s">
        <v>29</v>
      </c>
      <c r="E29" s="19" t="s">
        <v>15</v>
      </c>
      <c r="F29" s="20" t="str">
        <f>IF(ISERROR(MATCH(D29,Categories[Income Accounts],0)),"Expense","Income")</f>
        <v>Expense</v>
      </c>
      <c r="G29" s="21">
        <f t="shared" si="2"/>
        <v>196476.98</v>
      </c>
      <c r="I29" s="14" t="str">
        <f t="shared" si="1"/>
        <v>Not much</v>
      </c>
    </row>
    <row r="30">
      <c r="A30" s="8">
        <v>45701.0</v>
      </c>
      <c r="B30" s="9" t="s">
        <v>43</v>
      </c>
      <c r="C30" s="45">
        <v>1088.56</v>
      </c>
      <c r="D30" s="11" t="s">
        <v>24</v>
      </c>
      <c r="E30" s="11" t="s">
        <v>20</v>
      </c>
      <c r="F30" s="12" t="str">
        <f>IF(ISERROR(MATCH(D30,Categories[Income Accounts],0)),"Expense","Income")</f>
        <v>Expense</v>
      </c>
      <c r="G30" s="13">
        <f t="shared" si="2"/>
        <v>195388.42</v>
      </c>
      <c r="I30" s="14" t="str">
        <f t="shared" si="1"/>
        <v>Big Spender</v>
      </c>
    </row>
    <row r="31">
      <c r="A31" s="16">
        <v>45704.0</v>
      </c>
      <c r="B31" s="17" t="s">
        <v>44</v>
      </c>
      <c r="C31" s="46">
        <v>316.87</v>
      </c>
      <c r="D31" s="19" t="s">
        <v>14</v>
      </c>
      <c r="E31" s="19" t="s">
        <v>15</v>
      </c>
      <c r="F31" s="20" t="str">
        <f>IF(ISERROR(MATCH(D31,Categories[Income Accounts],0)),"Expense","Income")</f>
        <v>Expense</v>
      </c>
      <c r="G31" s="21">
        <f t="shared" si="2"/>
        <v>195071.55</v>
      </c>
      <c r="I31" s="14" t="str">
        <f t="shared" si="1"/>
        <v>Not much</v>
      </c>
    </row>
    <row r="32">
      <c r="A32" s="8">
        <v>45708.0</v>
      </c>
      <c r="B32" s="9" t="s">
        <v>37</v>
      </c>
      <c r="C32" s="47">
        <v>1309.23</v>
      </c>
      <c r="D32" s="11" t="s">
        <v>24</v>
      </c>
      <c r="E32" s="11" t="s">
        <v>20</v>
      </c>
      <c r="F32" s="12" t="str">
        <f>IF(ISERROR(MATCH(D32,Categories[Income Accounts],0)),"Expense","Income")</f>
        <v>Expense</v>
      </c>
      <c r="G32" s="13">
        <f t="shared" si="2"/>
        <v>193762.32</v>
      </c>
      <c r="I32" s="14" t="str">
        <f t="shared" si="1"/>
        <v>Big Spender</v>
      </c>
    </row>
    <row r="33">
      <c r="A33" s="16">
        <v>45709.0</v>
      </c>
      <c r="B33" s="17" t="s">
        <v>45</v>
      </c>
      <c r="C33" s="48">
        <v>278.32</v>
      </c>
      <c r="D33" s="19" t="s">
        <v>24</v>
      </c>
      <c r="E33" s="19" t="s">
        <v>28</v>
      </c>
      <c r="F33" s="20" t="str">
        <f>IF(ISERROR(MATCH(D33,Categories[Income Accounts],0)),"Expense","Income")</f>
        <v>Expense</v>
      </c>
      <c r="G33" s="21">
        <f t="shared" si="2"/>
        <v>193484</v>
      </c>
      <c r="I33" s="14" t="str">
        <f t="shared" si="1"/>
        <v>Not much</v>
      </c>
    </row>
    <row r="34">
      <c r="A34" s="8">
        <v>45712.0</v>
      </c>
      <c r="B34" s="9" t="s">
        <v>14</v>
      </c>
      <c r="C34" s="49">
        <v>956.23</v>
      </c>
      <c r="D34" s="11" t="s">
        <v>14</v>
      </c>
      <c r="E34" s="11" t="s">
        <v>15</v>
      </c>
      <c r="F34" s="12" t="str">
        <f>IF(ISERROR(MATCH(D34,Categories[Income Accounts],0)),"Expense","Income")</f>
        <v>Expense</v>
      </c>
      <c r="G34" s="13">
        <f t="shared" si="2"/>
        <v>192527.77</v>
      </c>
      <c r="I34" s="14" t="str">
        <f t="shared" si="1"/>
        <v>Not much</v>
      </c>
    </row>
    <row r="35">
      <c r="A35" s="16">
        <v>45723.0</v>
      </c>
      <c r="B35" s="17" t="s">
        <v>46</v>
      </c>
      <c r="C35" s="50">
        <v>964.64</v>
      </c>
      <c r="D35" s="19" t="s">
        <v>24</v>
      </c>
      <c r="E35" s="19" t="s">
        <v>12</v>
      </c>
      <c r="F35" s="20" t="str">
        <f>IF(ISERROR(MATCH(D35,Categories[Income Accounts],0)),"Expense","Income")</f>
        <v>Expense</v>
      </c>
      <c r="G35" s="21">
        <f t="shared" si="2"/>
        <v>191563.13</v>
      </c>
      <c r="I35" s="14" t="str">
        <f t="shared" si="1"/>
        <v>Not much</v>
      </c>
    </row>
    <row r="36">
      <c r="A36" s="8">
        <v>45724.0</v>
      </c>
      <c r="B36" s="9" t="s">
        <v>37</v>
      </c>
      <c r="C36" s="51">
        <v>1781.55</v>
      </c>
      <c r="D36" s="11" t="s">
        <v>11</v>
      </c>
      <c r="E36" s="11" t="s">
        <v>17</v>
      </c>
      <c r="F36" s="12" t="str">
        <f>IF(ISERROR(MATCH(D36,Categories[Income Accounts],0)),"Expense","Income")</f>
        <v>Income</v>
      </c>
      <c r="G36" s="13">
        <f t="shared" si="2"/>
        <v>193344.68</v>
      </c>
      <c r="I36" s="14" t="str">
        <f t="shared" si="1"/>
        <v>Big Spender</v>
      </c>
    </row>
    <row r="37">
      <c r="A37" s="16">
        <v>45725.0</v>
      </c>
      <c r="B37" s="17" t="s">
        <v>47</v>
      </c>
      <c r="C37" s="52">
        <v>1431.51</v>
      </c>
      <c r="D37" s="19" t="s">
        <v>11</v>
      </c>
      <c r="E37" s="19" t="s">
        <v>20</v>
      </c>
      <c r="F37" s="20" t="str">
        <f>IF(ISERROR(MATCH(D37,Categories[Income Accounts],0)),"Expense","Income")</f>
        <v>Income</v>
      </c>
      <c r="G37" s="21">
        <f t="shared" si="2"/>
        <v>194776.19</v>
      </c>
      <c r="I37" s="14" t="str">
        <f t="shared" si="1"/>
        <v>Big Spender</v>
      </c>
    </row>
    <row r="38">
      <c r="A38" s="8">
        <v>45727.0</v>
      </c>
      <c r="B38" s="9" t="s">
        <v>48</v>
      </c>
      <c r="C38" s="53">
        <v>1076.88</v>
      </c>
      <c r="D38" s="11" t="s">
        <v>49</v>
      </c>
      <c r="E38" s="11" t="s">
        <v>20</v>
      </c>
      <c r="F38" s="12" t="str">
        <f>IF(ISERROR(MATCH(D38,Categories[Income Accounts],0)),"Expense","Income")</f>
        <v>Expense</v>
      </c>
      <c r="G38" s="13">
        <f t="shared" si="2"/>
        <v>193699.31</v>
      </c>
      <c r="I38" s="14" t="str">
        <f t="shared" si="1"/>
        <v>Big Spender</v>
      </c>
    </row>
    <row r="39">
      <c r="A39" s="16">
        <v>45742.0</v>
      </c>
      <c r="B39" s="17" t="s">
        <v>32</v>
      </c>
      <c r="C39" s="54">
        <v>1594.45</v>
      </c>
      <c r="D39" s="19" t="s">
        <v>14</v>
      </c>
      <c r="E39" s="19" t="s">
        <v>12</v>
      </c>
      <c r="F39" s="20" t="str">
        <f>IF(ISERROR(MATCH(D39,Categories[Income Accounts],0)),"Expense","Income")</f>
        <v>Expense</v>
      </c>
      <c r="G39" s="21">
        <f t="shared" si="2"/>
        <v>192104.86</v>
      </c>
      <c r="I39" s="14" t="str">
        <f t="shared" si="1"/>
        <v>Big Spender</v>
      </c>
    </row>
    <row r="40">
      <c r="A40" s="8">
        <v>45746.0</v>
      </c>
      <c r="B40" s="9" t="s">
        <v>36</v>
      </c>
      <c r="C40" s="55">
        <v>309.14</v>
      </c>
      <c r="D40" s="11" t="s">
        <v>11</v>
      </c>
      <c r="E40" s="11" t="s">
        <v>20</v>
      </c>
      <c r="F40" s="12" t="str">
        <f>IF(ISERROR(MATCH(D40,Categories[Income Accounts],0)),"Expense","Income")</f>
        <v>Income</v>
      </c>
      <c r="G40" s="13">
        <f t="shared" si="2"/>
        <v>192414</v>
      </c>
      <c r="I40" s="14" t="str">
        <f t="shared" si="1"/>
        <v>Not much</v>
      </c>
    </row>
    <row r="41">
      <c r="A41" s="16">
        <v>45746.0</v>
      </c>
      <c r="B41" s="17" t="s">
        <v>26</v>
      </c>
      <c r="C41" s="56">
        <v>170.64</v>
      </c>
      <c r="D41" s="19" t="s">
        <v>27</v>
      </c>
      <c r="E41" s="19" t="s">
        <v>20</v>
      </c>
      <c r="F41" s="20" t="str">
        <f>IF(ISERROR(MATCH(D41,Categories[Income Accounts],0)),"Expense","Income")</f>
        <v>Expense</v>
      </c>
      <c r="G41" s="21">
        <f t="shared" si="2"/>
        <v>192243.36</v>
      </c>
      <c r="I41" s="14" t="str">
        <f t="shared" si="1"/>
        <v>Not much</v>
      </c>
    </row>
    <row r="42">
      <c r="A42" s="8">
        <v>45748.0</v>
      </c>
      <c r="B42" s="9" t="s">
        <v>38</v>
      </c>
      <c r="C42" s="57">
        <v>1495.24</v>
      </c>
      <c r="D42" s="11" t="s">
        <v>27</v>
      </c>
      <c r="E42" s="11" t="s">
        <v>17</v>
      </c>
      <c r="F42" s="12" t="str">
        <f>IF(ISERROR(MATCH(D42,Categories[Income Accounts],0)),"Expense","Income")</f>
        <v>Expense</v>
      </c>
      <c r="G42" s="13">
        <f t="shared" si="2"/>
        <v>190748.12</v>
      </c>
      <c r="I42" s="14" t="str">
        <f t="shared" si="1"/>
        <v>Big Spender</v>
      </c>
    </row>
    <row r="43">
      <c r="A43" s="16">
        <v>45751.0</v>
      </c>
      <c r="B43" s="17" t="s">
        <v>36</v>
      </c>
      <c r="C43" s="58">
        <v>325.37</v>
      </c>
      <c r="D43" s="19" t="s">
        <v>11</v>
      </c>
      <c r="E43" s="19" t="s">
        <v>15</v>
      </c>
      <c r="F43" s="20" t="str">
        <f>IF(ISERROR(MATCH(D43,Categories[Income Accounts],0)),"Expense","Income")</f>
        <v>Income</v>
      </c>
      <c r="G43" s="21">
        <f t="shared" si="2"/>
        <v>191073.49</v>
      </c>
      <c r="I43" s="14" t="str">
        <f t="shared" si="1"/>
        <v>Not much</v>
      </c>
    </row>
    <row r="44">
      <c r="A44" s="8">
        <v>45754.0</v>
      </c>
      <c r="B44" s="9" t="s">
        <v>50</v>
      </c>
      <c r="C44" s="59">
        <v>434.66</v>
      </c>
      <c r="D44" s="11" t="s">
        <v>42</v>
      </c>
      <c r="E44" s="11" t="s">
        <v>12</v>
      </c>
      <c r="F44" s="12" t="str">
        <f>IF(ISERROR(MATCH(D44,Categories[Income Accounts],0)),"Expense","Income")</f>
        <v>Expense</v>
      </c>
      <c r="G44" s="13">
        <f t="shared" si="2"/>
        <v>190638.83</v>
      </c>
      <c r="I44" s="14" t="str">
        <f t="shared" si="1"/>
        <v>Not much</v>
      </c>
    </row>
    <row r="45">
      <c r="A45" s="16">
        <v>45759.0</v>
      </c>
      <c r="B45" s="17" t="s">
        <v>41</v>
      </c>
      <c r="C45" s="60">
        <v>1578.14</v>
      </c>
      <c r="D45" s="19" t="s">
        <v>19</v>
      </c>
      <c r="E45" s="19" t="s">
        <v>34</v>
      </c>
      <c r="F45" s="20" t="str">
        <f>IF(ISERROR(MATCH(D45,Categories[Income Accounts],0)),"Expense","Income")</f>
        <v>Expense</v>
      </c>
      <c r="G45" s="21">
        <f t="shared" si="2"/>
        <v>189060.69</v>
      </c>
      <c r="I45" s="14" t="str">
        <f t="shared" si="1"/>
        <v>Big Spender</v>
      </c>
    </row>
    <row r="46">
      <c r="A46" s="8">
        <v>45766.0</v>
      </c>
      <c r="B46" s="9" t="s">
        <v>50</v>
      </c>
      <c r="C46" s="61">
        <v>833.29</v>
      </c>
      <c r="D46" s="11" t="s">
        <v>42</v>
      </c>
      <c r="E46" s="11" t="s">
        <v>20</v>
      </c>
      <c r="F46" s="12" t="str">
        <f>IF(ISERROR(MATCH(D46,Categories[Income Accounts],0)),"Expense","Income")</f>
        <v>Expense</v>
      </c>
      <c r="G46" s="13">
        <f t="shared" si="2"/>
        <v>188227.4</v>
      </c>
      <c r="I46" s="14" t="str">
        <f t="shared" si="1"/>
        <v>Not much</v>
      </c>
    </row>
    <row r="47">
      <c r="A47" s="16">
        <v>45772.0</v>
      </c>
      <c r="B47" s="17" t="s">
        <v>31</v>
      </c>
      <c r="C47" s="62">
        <v>1340.82</v>
      </c>
      <c r="D47" s="19" t="s">
        <v>27</v>
      </c>
      <c r="E47" s="19" t="s">
        <v>15</v>
      </c>
      <c r="F47" s="20" t="str">
        <f>IF(ISERROR(MATCH(D47,Categories[Income Accounts],0)),"Expense","Income")</f>
        <v>Expense</v>
      </c>
      <c r="G47" s="21">
        <f t="shared" si="2"/>
        <v>186886.58</v>
      </c>
      <c r="I47" s="14" t="str">
        <f t="shared" si="1"/>
        <v>Big Spender</v>
      </c>
    </row>
    <row r="48">
      <c r="A48" s="8">
        <v>45779.0</v>
      </c>
      <c r="B48" s="9" t="s">
        <v>44</v>
      </c>
      <c r="C48" s="63">
        <v>1476.59</v>
      </c>
      <c r="D48" s="11" t="s">
        <v>14</v>
      </c>
      <c r="E48" s="11" t="s">
        <v>12</v>
      </c>
      <c r="F48" s="12" t="str">
        <f>IF(ISERROR(MATCH(D48,Categories[Income Accounts],0)),"Expense","Income")</f>
        <v>Expense</v>
      </c>
      <c r="G48" s="13">
        <f t="shared" si="2"/>
        <v>185409.99</v>
      </c>
      <c r="I48" s="14" t="str">
        <f t="shared" si="1"/>
        <v>Big Spender</v>
      </c>
    </row>
    <row r="49">
      <c r="A49" s="16">
        <v>45780.0</v>
      </c>
      <c r="B49" s="17" t="s">
        <v>14</v>
      </c>
      <c r="C49" s="64">
        <v>822.26</v>
      </c>
      <c r="D49" s="19" t="s">
        <v>14</v>
      </c>
      <c r="E49" s="19" t="s">
        <v>15</v>
      </c>
      <c r="F49" s="20" t="str">
        <f>IF(ISERROR(MATCH(D49,Categories[Income Accounts],0)),"Expense","Income")</f>
        <v>Expense</v>
      </c>
      <c r="G49" s="21">
        <f t="shared" si="2"/>
        <v>184587.73</v>
      </c>
      <c r="I49" s="14" t="str">
        <f t="shared" si="1"/>
        <v>Not much</v>
      </c>
    </row>
    <row r="50">
      <c r="A50" s="8">
        <v>45784.0</v>
      </c>
      <c r="B50" s="9" t="s">
        <v>36</v>
      </c>
      <c r="C50" s="65">
        <v>1104.71</v>
      </c>
      <c r="D50" s="11" t="s">
        <v>11</v>
      </c>
      <c r="E50" s="11" t="s">
        <v>17</v>
      </c>
      <c r="F50" s="12" t="str">
        <f>IF(ISERROR(MATCH(D50,Categories[Income Accounts],0)),"Expense","Income")</f>
        <v>Income</v>
      </c>
      <c r="G50" s="13">
        <f t="shared" si="2"/>
        <v>185692.44</v>
      </c>
      <c r="I50" s="14" t="str">
        <f t="shared" si="1"/>
        <v>Big Spender</v>
      </c>
    </row>
    <row r="51">
      <c r="A51" s="16">
        <v>45786.0</v>
      </c>
      <c r="B51" s="17" t="s">
        <v>51</v>
      </c>
      <c r="C51" s="66">
        <v>389.39</v>
      </c>
      <c r="D51" s="19" t="s">
        <v>24</v>
      </c>
      <c r="E51" s="19" t="s">
        <v>28</v>
      </c>
      <c r="F51" s="20" t="str">
        <f>IF(ISERROR(MATCH(D51,Categories[Income Accounts],0)),"Expense","Income")</f>
        <v>Expense</v>
      </c>
      <c r="G51" s="21">
        <f t="shared" si="2"/>
        <v>185303.05</v>
      </c>
      <c r="I51" s="14" t="str">
        <f t="shared" si="1"/>
        <v>Not much</v>
      </c>
    </row>
    <row r="52">
      <c r="A52" s="8">
        <v>45791.0</v>
      </c>
      <c r="B52" s="9" t="s">
        <v>52</v>
      </c>
      <c r="C52" s="67">
        <v>917.69</v>
      </c>
      <c r="D52" s="11" t="s">
        <v>22</v>
      </c>
      <c r="E52" s="11" t="s">
        <v>20</v>
      </c>
      <c r="F52" s="12" t="str">
        <f>IF(ISERROR(MATCH(D52,Categories[Income Accounts],0)),"Expense","Income")</f>
        <v>Expense</v>
      </c>
      <c r="G52" s="13">
        <f t="shared" si="2"/>
        <v>184385.36</v>
      </c>
      <c r="I52" s="14" t="str">
        <f t="shared" si="1"/>
        <v>Not much</v>
      </c>
    </row>
    <row r="53">
      <c r="A53" s="16">
        <v>45795.0</v>
      </c>
      <c r="B53" s="17" t="s">
        <v>23</v>
      </c>
      <c r="C53" s="68">
        <v>411.76</v>
      </c>
      <c r="D53" s="19" t="s">
        <v>21</v>
      </c>
      <c r="E53" s="19" t="s">
        <v>34</v>
      </c>
      <c r="F53" s="20" t="str">
        <f>IF(ISERROR(MATCH(D53,Categories[Income Accounts],0)),"Expense","Income")</f>
        <v>Income</v>
      </c>
      <c r="G53" s="21">
        <f t="shared" si="2"/>
        <v>184797.12</v>
      </c>
      <c r="I53" s="14" t="str">
        <f t="shared" si="1"/>
        <v>Not much</v>
      </c>
    </row>
    <row r="54">
      <c r="A54" s="8">
        <v>45800.0</v>
      </c>
      <c r="B54" s="9" t="s">
        <v>44</v>
      </c>
      <c r="C54" s="69">
        <v>1645.41</v>
      </c>
      <c r="D54" s="11" t="s">
        <v>11</v>
      </c>
      <c r="E54" s="11" t="s">
        <v>28</v>
      </c>
      <c r="F54" s="12" t="str">
        <f>IF(ISERROR(MATCH(D54,Categories[Income Accounts],0)),"Expense","Income")</f>
        <v>Income</v>
      </c>
      <c r="G54" s="13">
        <f t="shared" si="2"/>
        <v>186442.53</v>
      </c>
      <c r="I54" s="14" t="str">
        <f t="shared" si="1"/>
        <v>Big Spender</v>
      </c>
    </row>
    <row r="55">
      <c r="A55" s="16">
        <v>45804.0</v>
      </c>
      <c r="B55" s="17" t="s">
        <v>35</v>
      </c>
      <c r="C55" s="70">
        <v>1756.99</v>
      </c>
      <c r="D55" s="19" t="s">
        <v>22</v>
      </c>
      <c r="E55" s="19" t="s">
        <v>17</v>
      </c>
      <c r="F55" s="20" t="str">
        <f>IF(ISERROR(MATCH(D55,Categories[Income Accounts],0)),"Expense","Income")</f>
        <v>Expense</v>
      </c>
      <c r="G55" s="21">
        <f t="shared" si="2"/>
        <v>184685.54</v>
      </c>
      <c r="I55" s="14" t="str">
        <f t="shared" si="1"/>
        <v>Big Spender</v>
      </c>
    </row>
    <row r="56">
      <c r="A56" s="8">
        <v>45806.0</v>
      </c>
      <c r="B56" s="9" t="s">
        <v>41</v>
      </c>
      <c r="C56" s="71">
        <v>1906.66</v>
      </c>
      <c r="D56" s="11" t="s">
        <v>19</v>
      </c>
      <c r="E56" s="11" t="s">
        <v>15</v>
      </c>
      <c r="F56" s="12" t="str">
        <f>IF(ISERROR(MATCH(D56,Categories[Income Accounts],0)),"Expense","Income")</f>
        <v>Expense</v>
      </c>
      <c r="G56" s="13">
        <f t="shared" si="2"/>
        <v>182778.88</v>
      </c>
      <c r="I56" s="14" t="str">
        <f t="shared" si="1"/>
        <v>Big Spender</v>
      </c>
    </row>
    <row r="57">
      <c r="A57" s="16">
        <v>45807.0</v>
      </c>
      <c r="B57" s="17" t="s">
        <v>36</v>
      </c>
      <c r="C57" s="72">
        <v>222.61</v>
      </c>
      <c r="D57" s="19" t="s">
        <v>11</v>
      </c>
      <c r="E57" s="19" t="s">
        <v>12</v>
      </c>
      <c r="F57" s="20" t="str">
        <f>IF(ISERROR(MATCH(D57,Categories[Income Accounts],0)),"Expense","Income")</f>
        <v>Income</v>
      </c>
      <c r="G57" s="21">
        <f t="shared" si="2"/>
        <v>183001.49</v>
      </c>
      <c r="I57" s="14" t="str">
        <f t="shared" si="1"/>
        <v>Not much</v>
      </c>
    </row>
    <row r="58">
      <c r="A58" s="8">
        <v>45807.0</v>
      </c>
      <c r="B58" s="9" t="s">
        <v>45</v>
      </c>
      <c r="C58" s="73">
        <v>1369.59</v>
      </c>
      <c r="D58" s="11" t="s">
        <v>24</v>
      </c>
      <c r="E58" s="11" t="s">
        <v>20</v>
      </c>
      <c r="F58" s="12" t="str">
        <f>IF(ISERROR(MATCH(D58,Categories[Income Accounts],0)),"Expense","Income")</f>
        <v>Expense</v>
      </c>
      <c r="G58" s="13">
        <f t="shared" si="2"/>
        <v>181631.9</v>
      </c>
      <c r="I58" s="14" t="str">
        <f t="shared" si="1"/>
        <v>Big Spender</v>
      </c>
    </row>
    <row r="59">
      <c r="A59" s="16">
        <v>45810.0</v>
      </c>
      <c r="B59" s="17" t="s">
        <v>38</v>
      </c>
      <c r="C59" s="74">
        <v>1461.6</v>
      </c>
      <c r="D59" s="19" t="s">
        <v>27</v>
      </c>
      <c r="E59" s="19" t="s">
        <v>28</v>
      </c>
      <c r="F59" s="20" t="str">
        <f>IF(ISERROR(MATCH(D59,Categories[Income Accounts],0)),"Expense","Income")</f>
        <v>Expense</v>
      </c>
      <c r="G59" s="21">
        <f t="shared" si="2"/>
        <v>180170.3</v>
      </c>
      <c r="I59" s="14" t="str">
        <f t="shared" si="1"/>
        <v>Big Spender</v>
      </c>
    </row>
    <row r="60">
      <c r="A60" s="8">
        <v>45811.0</v>
      </c>
      <c r="B60" s="9" t="s">
        <v>29</v>
      </c>
      <c r="C60" s="75">
        <v>1306.79</v>
      </c>
      <c r="D60" s="11" t="s">
        <v>29</v>
      </c>
      <c r="E60" s="11" t="s">
        <v>34</v>
      </c>
      <c r="F60" s="12" t="str">
        <f>IF(ISERROR(MATCH(D60,Categories[Income Accounts],0)),"Expense","Income")</f>
        <v>Expense</v>
      </c>
      <c r="G60" s="13">
        <f t="shared" si="2"/>
        <v>178863.51</v>
      </c>
      <c r="I60" s="14" t="str">
        <f t="shared" si="1"/>
        <v>Big Spender</v>
      </c>
    </row>
    <row r="61">
      <c r="A61" s="16">
        <v>45816.0</v>
      </c>
      <c r="B61" s="17" t="s">
        <v>32</v>
      </c>
      <c r="C61" s="76">
        <v>990.05</v>
      </c>
      <c r="D61" s="19" t="s">
        <v>14</v>
      </c>
      <c r="E61" s="19" t="s">
        <v>12</v>
      </c>
      <c r="F61" s="20" t="str">
        <f>IF(ISERROR(MATCH(D61,Categories[Income Accounts],0)),"Expense","Income")</f>
        <v>Expense</v>
      </c>
      <c r="G61" s="21">
        <f t="shared" si="2"/>
        <v>177873.46</v>
      </c>
      <c r="I61" s="14" t="str">
        <f t="shared" si="1"/>
        <v>Not much</v>
      </c>
    </row>
    <row r="62">
      <c r="A62" s="8">
        <v>45821.0</v>
      </c>
      <c r="B62" s="9" t="s">
        <v>31</v>
      </c>
      <c r="C62" s="37">
        <v>1174.75</v>
      </c>
      <c r="D62" s="11" t="s">
        <v>22</v>
      </c>
      <c r="E62" s="11" t="s">
        <v>15</v>
      </c>
      <c r="F62" s="12" t="str">
        <f>IF(ISERROR(MATCH(D62,Categories[Income Accounts],0)),"Expense","Income")</f>
        <v>Expense</v>
      </c>
      <c r="G62" s="13">
        <f t="shared" si="2"/>
        <v>176698.71</v>
      </c>
      <c r="I62" s="14" t="str">
        <f t="shared" si="1"/>
        <v>Big Spender</v>
      </c>
    </row>
    <row r="63">
      <c r="A63" s="16">
        <v>45823.0</v>
      </c>
      <c r="B63" s="17" t="s">
        <v>48</v>
      </c>
      <c r="C63" s="77">
        <v>1710.67</v>
      </c>
      <c r="D63" s="19" t="s">
        <v>49</v>
      </c>
      <c r="E63" s="19" t="s">
        <v>15</v>
      </c>
      <c r="F63" s="20" t="str">
        <f>IF(ISERROR(MATCH(D63,Categories[Income Accounts],0)),"Expense","Income")</f>
        <v>Expense</v>
      </c>
      <c r="G63" s="21">
        <f t="shared" si="2"/>
        <v>174988.04</v>
      </c>
      <c r="I63" s="14" t="str">
        <f t="shared" si="1"/>
        <v>Big Spender</v>
      </c>
    </row>
    <row r="64">
      <c r="A64" s="8">
        <v>45825.0</v>
      </c>
      <c r="B64" s="9" t="s">
        <v>35</v>
      </c>
      <c r="C64" s="78">
        <v>1571.37</v>
      </c>
      <c r="D64" s="11" t="s">
        <v>14</v>
      </c>
      <c r="E64" s="11" t="s">
        <v>28</v>
      </c>
      <c r="F64" s="12" t="str">
        <f>IF(ISERROR(MATCH(D64,Categories[Income Accounts],0)),"Expense","Income")</f>
        <v>Expense</v>
      </c>
      <c r="G64" s="13">
        <f t="shared" si="2"/>
        <v>173416.67</v>
      </c>
      <c r="I64" s="14" t="str">
        <f t="shared" si="1"/>
        <v>Big Spender</v>
      </c>
    </row>
    <row r="65">
      <c r="A65" s="16">
        <v>45826.0</v>
      </c>
      <c r="B65" s="17" t="s">
        <v>21</v>
      </c>
      <c r="C65" s="79">
        <v>1322.54</v>
      </c>
      <c r="D65" s="80"/>
      <c r="E65" s="19" t="s">
        <v>20</v>
      </c>
      <c r="F65" s="20" t="str">
        <f>IF(ISERROR(MATCH(D65,Categories[Income Accounts],0)),"Expense","Income")</f>
        <v>Expense</v>
      </c>
      <c r="G65" s="21">
        <f t="shared" si="2"/>
        <v>172094.13</v>
      </c>
      <c r="I65" s="14" t="str">
        <f t="shared" si="1"/>
        <v>Big Spender</v>
      </c>
    </row>
    <row r="66">
      <c r="A66" s="8">
        <v>45831.0</v>
      </c>
      <c r="B66" s="9" t="s">
        <v>14</v>
      </c>
      <c r="C66" s="81">
        <v>108.82</v>
      </c>
      <c r="D66" s="11" t="s">
        <v>14</v>
      </c>
      <c r="E66" s="11" t="s">
        <v>28</v>
      </c>
      <c r="F66" s="12" t="str">
        <f>IF(ISERROR(MATCH(D66,Categories[Income Accounts],0)),"Expense","Income")</f>
        <v>Expense</v>
      </c>
      <c r="G66" s="13">
        <f t="shared" si="2"/>
        <v>171985.31</v>
      </c>
      <c r="I66" s="14" t="str">
        <f t="shared" si="1"/>
        <v>Not much</v>
      </c>
    </row>
    <row r="67">
      <c r="A67" s="16">
        <v>45834.0</v>
      </c>
      <c r="B67" s="17" t="s">
        <v>36</v>
      </c>
      <c r="C67" s="82">
        <v>1823.24</v>
      </c>
      <c r="D67" s="19" t="s">
        <v>11</v>
      </c>
      <c r="E67" s="19" t="s">
        <v>12</v>
      </c>
      <c r="F67" s="20" t="str">
        <f>IF(ISERROR(MATCH(D67,Categories[Income Accounts],0)),"Expense","Income")</f>
        <v>Income</v>
      </c>
      <c r="G67" s="21">
        <f t="shared" si="2"/>
        <v>173808.55</v>
      </c>
      <c r="I67" s="14" t="str">
        <f t="shared" si="1"/>
        <v>Big Spender</v>
      </c>
    </row>
    <row r="68">
      <c r="A68" s="8">
        <v>45837.0</v>
      </c>
      <c r="B68" s="9" t="s">
        <v>31</v>
      </c>
      <c r="C68" s="83">
        <v>1887.75</v>
      </c>
      <c r="D68" s="11" t="s">
        <v>27</v>
      </c>
      <c r="E68" s="11" t="s">
        <v>15</v>
      </c>
      <c r="F68" s="12" t="str">
        <f>IF(ISERROR(MATCH(D68,Categories[Income Accounts],0)),"Expense","Income")</f>
        <v>Expense</v>
      </c>
      <c r="G68" s="13">
        <f t="shared" si="2"/>
        <v>171920.8</v>
      </c>
      <c r="I68" s="14" t="str">
        <f t="shared" si="1"/>
        <v>Big Spender</v>
      </c>
    </row>
    <row r="69">
      <c r="A69" s="16">
        <v>45839.0</v>
      </c>
      <c r="B69" s="17" t="s">
        <v>29</v>
      </c>
      <c r="C69" s="23">
        <v>652.84</v>
      </c>
      <c r="D69" s="19" t="s">
        <v>29</v>
      </c>
      <c r="E69" s="19" t="s">
        <v>17</v>
      </c>
      <c r="F69" s="20" t="str">
        <f>IF(ISERROR(MATCH(D69,Categories[Income Accounts],0)),"Expense","Income")</f>
        <v>Expense</v>
      </c>
      <c r="G69" s="21">
        <f t="shared" si="2"/>
        <v>171267.96</v>
      </c>
      <c r="I69" s="14" t="str">
        <f t="shared" si="1"/>
        <v>Not much</v>
      </c>
    </row>
    <row r="70">
      <c r="A70" s="8">
        <v>45849.0</v>
      </c>
      <c r="B70" s="9" t="s">
        <v>53</v>
      </c>
      <c r="C70" s="84">
        <v>1018.81</v>
      </c>
      <c r="D70" s="11" t="s">
        <v>24</v>
      </c>
      <c r="E70" s="11" t="s">
        <v>12</v>
      </c>
      <c r="F70" s="12" t="str">
        <f>IF(ISERROR(MATCH(D70,Categories[Income Accounts],0)),"Expense","Income")</f>
        <v>Expense</v>
      </c>
      <c r="G70" s="13">
        <f t="shared" si="2"/>
        <v>170249.15</v>
      </c>
      <c r="I70" s="14" t="str">
        <f t="shared" si="1"/>
        <v>Big Spender</v>
      </c>
    </row>
    <row r="71">
      <c r="A71" s="16">
        <v>45855.0</v>
      </c>
      <c r="B71" s="17" t="s">
        <v>48</v>
      </c>
      <c r="C71" s="85">
        <v>1978.77</v>
      </c>
      <c r="D71" s="19" t="s">
        <v>49</v>
      </c>
      <c r="E71" s="19" t="s">
        <v>20</v>
      </c>
      <c r="F71" s="20" t="str">
        <f>IF(ISERROR(MATCH(D71,Categories[Income Accounts],0)),"Expense","Income")</f>
        <v>Expense</v>
      </c>
      <c r="G71" s="21">
        <f t="shared" si="2"/>
        <v>168270.38</v>
      </c>
      <c r="I71" s="14" t="str">
        <f t="shared" si="1"/>
        <v>Big Spender</v>
      </c>
    </row>
    <row r="72">
      <c r="A72" s="8">
        <v>45873.0</v>
      </c>
      <c r="B72" s="9" t="s">
        <v>54</v>
      </c>
      <c r="C72" s="86">
        <v>559.74</v>
      </c>
      <c r="D72" s="11" t="s">
        <v>33</v>
      </c>
      <c r="E72" s="11" t="s">
        <v>28</v>
      </c>
      <c r="F72" s="12" t="str">
        <f>IF(ISERROR(MATCH(D72,Categories[Income Accounts],0)),"Expense","Income")</f>
        <v>Expense</v>
      </c>
      <c r="G72" s="13">
        <f t="shared" si="2"/>
        <v>167710.64</v>
      </c>
      <c r="I72" s="14" t="str">
        <f t="shared" si="1"/>
        <v>Not much</v>
      </c>
    </row>
    <row r="73">
      <c r="A73" s="16">
        <v>45885.0</v>
      </c>
      <c r="B73" s="17" t="s">
        <v>21</v>
      </c>
      <c r="C73" s="87">
        <v>459.68</v>
      </c>
      <c r="D73" s="19" t="s">
        <v>21</v>
      </c>
      <c r="E73" s="19" t="s">
        <v>34</v>
      </c>
      <c r="F73" s="20" t="str">
        <f>IF(ISERROR(MATCH(D73,Categories[Income Accounts],0)),"Expense","Income")</f>
        <v>Income</v>
      </c>
      <c r="G73" s="21">
        <f t="shared" si="2"/>
        <v>168170.32</v>
      </c>
      <c r="I73" s="14" t="str">
        <f t="shared" si="1"/>
        <v>Not much</v>
      </c>
    </row>
    <row r="74">
      <c r="A74" s="8">
        <v>45895.0</v>
      </c>
      <c r="B74" s="9" t="s">
        <v>26</v>
      </c>
      <c r="C74" s="88">
        <v>914.78</v>
      </c>
      <c r="D74" s="11" t="s">
        <v>27</v>
      </c>
      <c r="E74" s="11" t="s">
        <v>17</v>
      </c>
      <c r="F74" s="12" t="str">
        <f>IF(ISERROR(MATCH(D74,Categories[Income Accounts],0)),"Expense","Income")</f>
        <v>Expense</v>
      </c>
      <c r="G74" s="13">
        <f t="shared" si="2"/>
        <v>167255.54</v>
      </c>
      <c r="I74" s="14" t="str">
        <f t="shared" si="1"/>
        <v>Not much</v>
      </c>
    </row>
    <row r="75">
      <c r="A75" s="16">
        <v>45896.0</v>
      </c>
      <c r="B75" s="17" t="s">
        <v>29</v>
      </c>
      <c r="C75" s="89">
        <v>478.59</v>
      </c>
      <c r="D75" s="19" t="s">
        <v>29</v>
      </c>
      <c r="E75" s="19" t="s">
        <v>12</v>
      </c>
      <c r="F75" s="20" t="str">
        <f>IF(ISERROR(MATCH(D75,Categories[Income Accounts],0)),"Expense","Income")</f>
        <v>Expense</v>
      </c>
      <c r="G75" s="21">
        <f t="shared" si="2"/>
        <v>166776.95</v>
      </c>
      <c r="I75" s="14" t="str">
        <f t="shared" si="1"/>
        <v>Not much</v>
      </c>
    </row>
    <row r="76">
      <c r="A76" s="8">
        <v>45898.0</v>
      </c>
      <c r="B76" s="9" t="s">
        <v>21</v>
      </c>
      <c r="C76" s="90">
        <v>549.06</v>
      </c>
      <c r="D76" s="11" t="s">
        <v>21</v>
      </c>
      <c r="E76" s="11" t="s">
        <v>17</v>
      </c>
      <c r="F76" s="12" t="str">
        <f>IF(ISERROR(MATCH(D76,Categories[Income Accounts],0)),"Expense","Income")</f>
        <v>Income</v>
      </c>
      <c r="G76" s="13">
        <f t="shared" si="2"/>
        <v>167326.01</v>
      </c>
      <c r="I76" s="14" t="str">
        <f t="shared" si="1"/>
        <v>Not much</v>
      </c>
    </row>
    <row r="77">
      <c r="A77" s="16">
        <v>45917.0</v>
      </c>
      <c r="B77" s="17" t="s">
        <v>46</v>
      </c>
      <c r="C77" s="91">
        <v>1128.57</v>
      </c>
      <c r="D77" s="19" t="s">
        <v>42</v>
      </c>
      <c r="E77" s="19" t="s">
        <v>20</v>
      </c>
      <c r="F77" s="20" t="str">
        <f>IF(ISERROR(MATCH(D77,Categories[Income Accounts],0)),"Expense","Income")</f>
        <v>Expense</v>
      </c>
      <c r="G77" s="21">
        <f t="shared" si="2"/>
        <v>166197.44</v>
      </c>
      <c r="I77" s="14" t="str">
        <f t="shared" si="1"/>
        <v>Big Spender</v>
      </c>
    </row>
    <row r="78">
      <c r="A78" s="8">
        <v>45936.0</v>
      </c>
      <c r="B78" s="9" t="s">
        <v>35</v>
      </c>
      <c r="C78" s="92">
        <v>537.26</v>
      </c>
      <c r="D78" s="11" t="s">
        <v>14</v>
      </c>
      <c r="E78" s="11" t="s">
        <v>20</v>
      </c>
      <c r="F78" s="12" t="str">
        <f>IF(ISERROR(MATCH(D78,Categories[Income Accounts],0)),"Expense","Income")</f>
        <v>Expense</v>
      </c>
      <c r="G78" s="13">
        <f t="shared" si="2"/>
        <v>165660.18</v>
      </c>
      <c r="I78" s="14" t="str">
        <f t="shared" si="1"/>
        <v>Not much</v>
      </c>
    </row>
    <row r="79">
      <c r="A79" s="16">
        <v>45936.0</v>
      </c>
      <c r="B79" s="17" t="s">
        <v>50</v>
      </c>
      <c r="C79" s="93">
        <v>852.72</v>
      </c>
      <c r="D79" s="19" t="s">
        <v>42</v>
      </c>
      <c r="E79" s="19" t="s">
        <v>12</v>
      </c>
      <c r="F79" s="20" t="str">
        <f>IF(ISERROR(MATCH(D79,Categories[Income Accounts],0)),"Expense","Income")</f>
        <v>Expense</v>
      </c>
      <c r="G79" s="21">
        <f t="shared" si="2"/>
        <v>164807.46</v>
      </c>
      <c r="I79" s="14" t="str">
        <f t="shared" si="1"/>
        <v>Not much</v>
      </c>
    </row>
    <row r="80">
      <c r="A80" s="8">
        <v>45946.0</v>
      </c>
      <c r="B80" s="9" t="s">
        <v>46</v>
      </c>
      <c r="C80" s="94">
        <v>1393.05</v>
      </c>
      <c r="D80" s="11" t="s">
        <v>42</v>
      </c>
      <c r="E80" s="11" t="s">
        <v>20</v>
      </c>
      <c r="F80" s="12" t="str">
        <f>IF(ISERROR(MATCH(D80,Categories[Income Accounts],0)),"Expense","Income")</f>
        <v>Expense</v>
      </c>
      <c r="G80" s="13">
        <f t="shared" si="2"/>
        <v>163414.41</v>
      </c>
      <c r="I80" s="14" t="str">
        <f t="shared" si="1"/>
        <v>Big Spender</v>
      </c>
    </row>
    <row r="81">
      <c r="A81" s="16">
        <v>45948.0</v>
      </c>
      <c r="B81" s="17" t="s">
        <v>35</v>
      </c>
      <c r="C81" s="95">
        <v>1977.81</v>
      </c>
      <c r="D81" s="19" t="s">
        <v>14</v>
      </c>
      <c r="E81" s="19" t="s">
        <v>20</v>
      </c>
      <c r="F81" s="20" t="str">
        <f>IF(ISERROR(MATCH(D81,Categories[Income Accounts],0)),"Expense","Income")</f>
        <v>Expense</v>
      </c>
      <c r="G81" s="21">
        <f t="shared" si="2"/>
        <v>161436.6</v>
      </c>
      <c r="I81" s="14" t="str">
        <f t="shared" si="1"/>
        <v>Big Spender</v>
      </c>
    </row>
    <row r="82">
      <c r="A82" s="8">
        <v>45951.0</v>
      </c>
      <c r="B82" s="9" t="s">
        <v>41</v>
      </c>
      <c r="C82" s="30">
        <v>270.69</v>
      </c>
      <c r="D82" s="11" t="s">
        <v>19</v>
      </c>
      <c r="E82" s="11" t="s">
        <v>34</v>
      </c>
      <c r="F82" s="12" t="str">
        <f>IF(ISERROR(MATCH(D82,Categories[Income Accounts],0)),"Expense","Income")</f>
        <v>Expense</v>
      </c>
      <c r="G82" s="13">
        <f t="shared" si="2"/>
        <v>161165.91</v>
      </c>
      <c r="I82" s="14" t="str">
        <f t="shared" si="1"/>
        <v>Not much</v>
      </c>
    </row>
    <row r="83">
      <c r="A83" s="16">
        <v>45953.0</v>
      </c>
      <c r="B83" s="17" t="s">
        <v>43</v>
      </c>
      <c r="C83" s="96">
        <v>582.15</v>
      </c>
      <c r="D83" s="19" t="s">
        <v>11</v>
      </c>
      <c r="E83" s="19" t="s">
        <v>28</v>
      </c>
      <c r="F83" s="20" t="str">
        <f>IF(ISERROR(MATCH(D83,Categories[Income Accounts],0)),"Expense","Income")</f>
        <v>Income</v>
      </c>
      <c r="G83" s="21">
        <f t="shared" si="2"/>
        <v>161748.06</v>
      </c>
      <c r="I83" s="14" t="str">
        <f t="shared" si="1"/>
        <v>Not much</v>
      </c>
    </row>
    <row r="84">
      <c r="A84" s="8">
        <v>45953.0</v>
      </c>
      <c r="B84" s="9" t="s">
        <v>38</v>
      </c>
      <c r="C84" s="97">
        <v>1289.51</v>
      </c>
      <c r="D84" s="11" t="s">
        <v>27</v>
      </c>
      <c r="E84" s="11" t="s">
        <v>12</v>
      </c>
      <c r="F84" s="12" t="str">
        <f>IF(ISERROR(MATCH(D84,Categories[Income Accounts],0)),"Expense","Income")</f>
        <v>Expense</v>
      </c>
      <c r="G84" s="13">
        <f t="shared" si="2"/>
        <v>160458.55</v>
      </c>
      <c r="I84" s="14" t="str">
        <f t="shared" si="1"/>
        <v>Big Spender</v>
      </c>
    </row>
    <row r="85">
      <c r="A85" s="16">
        <v>45962.0</v>
      </c>
      <c r="B85" s="17" t="s">
        <v>21</v>
      </c>
      <c r="C85" s="24">
        <v>1559.49</v>
      </c>
      <c r="D85" s="19" t="s">
        <v>21</v>
      </c>
      <c r="E85" s="19" t="s">
        <v>15</v>
      </c>
      <c r="F85" s="20" t="str">
        <f>IF(ISERROR(MATCH(D85,Categories[Income Accounts],0)),"Expense","Income")</f>
        <v>Income</v>
      </c>
      <c r="G85" s="21">
        <f t="shared" si="2"/>
        <v>162018.04</v>
      </c>
      <c r="I85" s="14" t="str">
        <f t="shared" si="1"/>
        <v>Big Spender</v>
      </c>
    </row>
    <row r="86">
      <c r="A86" s="8">
        <v>45967.0</v>
      </c>
      <c r="B86" s="9" t="s">
        <v>38</v>
      </c>
      <c r="C86" s="53">
        <v>1075.84</v>
      </c>
      <c r="D86" s="11" t="s">
        <v>27</v>
      </c>
      <c r="E86" s="11" t="s">
        <v>20</v>
      </c>
      <c r="F86" s="12" t="str">
        <f>IF(ISERROR(MATCH(D86,Categories[Income Accounts],0)),"Expense","Income")</f>
        <v>Expense</v>
      </c>
      <c r="G86" s="13">
        <f t="shared" si="2"/>
        <v>160942.2</v>
      </c>
      <c r="I86" s="14" t="str">
        <f t="shared" si="1"/>
        <v>Big Spender</v>
      </c>
    </row>
    <row r="87">
      <c r="A87" s="16">
        <v>45969.0</v>
      </c>
      <c r="B87" s="17" t="s">
        <v>43</v>
      </c>
      <c r="C87" s="98">
        <v>1658.82</v>
      </c>
      <c r="D87" s="19" t="s">
        <v>11</v>
      </c>
      <c r="E87" s="19" t="s">
        <v>34</v>
      </c>
      <c r="F87" s="20" t="str">
        <f>IF(ISERROR(MATCH(D87,Categories[Income Accounts],0)),"Expense","Income")</f>
        <v>Income</v>
      </c>
      <c r="G87" s="21">
        <f t="shared" si="2"/>
        <v>162601.02</v>
      </c>
      <c r="I87" s="14" t="str">
        <f t="shared" si="1"/>
        <v>Big Spender</v>
      </c>
    </row>
    <row r="88">
      <c r="A88" s="8">
        <v>45974.0</v>
      </c>
      <c r="B88" s="9" t="s">
        <v>29</v>
      </c>
      <c r="C88" s="29">
        <v>1298.72</v>
      </c>
      <c r="D88" s="11" t="s">
        <v>29</v>
      </c>
      <c r="E88" s="11" t="s">
        <v>28</v>
      </c>
      <c r="F88" s="12" t="str">
        <f>IF(ISERROR(MATCH(D88,Categories[Income Accounts],0)),"Expense","Income")</f>
        <v>Expense</v>
      </c>
      <c r="G88" s="13">
        <f t="shared" si="2"/>
        <v>161302.3</v>
      </c>
      <c r="I88" s="14" t="str">
        <f t="shared" si="1"/>
        <v>Big Spender</v>
      </c>
    </row>
    <row r="89">
      <c r="A89" s="16">
        <v>45982.0</v>
      </c>
      <c r="B89" s="17" t="s">
        <v>45</v>
      </c>
      <c r="C89" s="95">
        <v>1974.51</v>
      </c>
      <c r="D89" s="19" t="s">
        <v>24</v>
      </c>
      <c r="E89" s="19" t="s">
        <v>17</v>
      </c>
      <c r="F89" s="20" t="str">
        <f>IF(ISERROR(MATCH(D89,Categories[Income Accounts],0)),"Expense","Income")</f>
        <v>Expense</v>
      </c>
      <c r="G89" s="21">
        <f t="shared" si="2"/>
        <v>159327.79</v>
      </c>
      <c r="I89" s="14" t="str">
        <f t="shared" si="1"/>
        <v>Big Spender</v>
      </c>
    </row>
    <row r="90">
      <c r="A90" s="8">
        <v>45982.0</v>
      </c>
      <c r="B90" s="9" t="s">
        <v>32</v>
      </c>
      <c r="C90" s="99">
        <v>659.29</v>
      </c>
      <c r="D90" s="11" t="s">
        <v>14</v>
      </c>
      <c r="E90" s="11" t="s">
        <v>15</v>
      </c>
      <c r="F90" s="12" t="str">
        <f>IF(ISERROR(MATCH(D90,Categories[Income Accounts],0)),"Expense","Income")</f>
        <v>Expense</v>
      </c>
      <c r="G90" s="13">
        <f t="shared" si="2"/>
        <v>158668.5</v>
      </c>
      <c r="I90" s="14" t="str">
        <f t="shared" si="1"/>
        <v>Not much</v>
      </c>
    </row>
    <row r="91">
      <c r="A91" s="16">
        <v>45990.0</v>
      </c>
      <c r="B91" s="17" t="s">
        <v>29</v>
      </c>
      <c r="C91" s="31">
        <v>203.21</v>
      </c>
      <c r="D91" s="19" t="s">
        <v>29</v>
      </c>
      <c r="E91" s="19" t="s">
        <v>15</v>
      </c>
      <c r="F91" s="20" t="str">
        <f>IF(ISERROR(MATCH(D91,Categories[Income Accounts],0)),"Expense","Income")</f>
        <v>Expense</v>
      </c>
      <c r="G91" s="21">
        <f t="shared" si="2"/>
        <v>158465.29</v>
      </c>
      <c r="I91" s="14" t="str">
        <f t="shared" si="1"/>
        <v>Not much</v>
      </c>
    </row>
    <row r="92">
      <c r="A92" s="8">
        <v>45992.0</v>
      </c>
      <c r="B92" s="9" t="s">
        <v>35</v>
      </c>
      <c r="C92" s="100">
        <v>962.07</v>
      </c>
      <c r="D92" s="11" t="s">
        <v>14</v>
      </c>
      <c r="E92" s="11" t="s">
        <v>28</v>
      </c>
      <c r="F92" s="12" t="str">
        <f>IF(ISERROR(MATCH(D92,Categories[Income Accounts],0)),"Expense","Income")</f>
        <v>Expense</v>
      </c>
      <c r="G92" s="13">
        <f t="shared" si="2"/>
        <v>157503.22</v>
      </c>
      <c r="I92" s="14" t="str">
        <f t="shared" si="1"/>
        <v>Not much</v>
      </c>
    </row>
    <row r="93">
      <c r="A93" s="16">
        <v>45994.0</v>
      </c>
      <c r="B93" s="17" t="s">
        <v>38</v>
      </c>
      <c r="C93" s="101">
        <v>507.02</v>
      </c>
      <c r="D93" s="19" t="s">
        <v>27</v>
      </c>
      <c r="E93" s="19" t="s">
        <v>20</v>
      </c>
      <c r="F93" s="20" t="str">
        <f>IF(ISERROR(MATCH(D93,Categories[Income Accounts],0)),"Expense","Income")</f>
        <v>Expense</v>
      </c>
      <c r="G93" s="21">
        <f t="shared" si="2"/>
        <v>156996.2</v>
      </c>
      <c r="I93" s="14" t="str">
        <f t="shared" si="1"/>
        <v>Not much</v>
      </c>
    </row>
    <row r="94">
      <c r="A94" s="8">
        <v>45997.0</v>
      </c>
      <c r="B94" s="9" t="s">
        <v>51</v>
      </c>
      <c r="C94" s="102">
        <v>1958.5</v>
      </c>
      <c r="D94" s="11" t="s">
        <v>24</v>
      </c>
      <c r="E94" s="11" t="s">
        <v>20</v>
      </c>
      <c r="F94" s="12" t="str">
        <f>IF(ISERROR(MATCH(D94,Categories[Income Accounts],0)),"Expense","Income")</f>
        <v>Expense</v>
      </c>
      <c r="G94" s="13">
        <f t="shared" si="2"/>
        <v>155037.7</v>
      </c>
      <c r="I94" s="14" t="str">
        <f t="shared" si="1"/>
        <v>Big Spender</v>
      </c>
    </row>
    <row r="95">
      <c r="A95" s="16">
        <v>46001.0</v>
      </c>
      <c r="B95" s="17" t="s">
        <v>18</v>
      </c>
      <c r="C95" s="103">
        <v>777.72</v>
      </c>
      <c r="D95" s="19" t="s">
        <v>19</v>
      </c>
      <c r="E95" s="19" t="s">
        <v>12</v>
      </c>
      <c r="F95" s="20" t="str">
        <f>IF(ISERROR(MATCH(D95,Categories[Income Accounts],0)),"Expense","Income")</f>
        <v>Expense</v>
      </c>
      <c r="G95" s="21">
        <f t="shared" si="2"/>
        <v>154259.98</v>
      </c>
      <c r="I95" s="14" t="str">
        <f t="shared" si="1"/>
        <v>Not much</v>
      </c>
    </row>
    <row r="96">
      <c r="A96" s="8">
        <v>46005.0</v>
      </c>
      <c r="B96" s="9" t="s">
        <v>21</v>
      </c>
      <c r="C96" s="27">
        <v>398.68</v>
      </c>
      <c r="D96" s="11" t="s">
        <v>21</v>
      </c>
      <c r="E96" s="11" t="s">
        <v>28</v>
      </c>
      <c r="F96" s="12" t="str">
        <f>IF(ISERROR(MATCH(D96,Categories[Income Accounts],0)),"Expense","Income")</f>
        <v>Income</v>
      </c>
      <c r="G96" s="13">
        <f t="shared" si="2"/>
        <v>154658.66</v>
      </c>
      <c r="I96" s="14" t="str">
        <f t="shared" si="1"/>
        <v>Not much</v>
      </c>
    </row>
    <row r="97">
      <c r="A97" s="16">
        <v>46014.0</v>
      </c>
      <c r="B97" s="17" t="s">
        <v>44</v>
      </c>
      <c r="C97" s="104">
        <v>1857.7</v>
      </c>
      <c r="D97" s="19" t="s">
        <v>55</v>
      </c>
      <c r="E97" s="19" t="s">
        <v>20</v>
      </c>
      <c r="F97" s="20" t="str">
        <f>IF(ISERROR(MATCH(D97,Categories[Income Accounts],0)),"Expense","Income")</f>
        <v>Expense</v>
      </c>
      <c r="G97" s="21">
        <f t="shared" si="2"/>
        <v>152800.96</v>
      </c>
      <c r="I97" s="14" t="str">
        <f t="shared" si="1"/>
        <v>Big Spender</v>
      </c>
    </row>
    <row r="98">
      <c r="A98" s="8">
        <v>46014.0</v>
      </c>
      <c r="B98" s="9" t="s">
        <v>21</v>
      </c>
      <c r="C98" s="74">
        <v>1462.44</v>
      </c>
      <c r="D98" s="11" t="s">
        <v>21</v>
      </c>
      <c r="E98" s="11" t="s">
        <v>17</v>
      </c>
      <c r="F98" s="12" t="str">
        <f>IF(ISERROR(MATCH(D98,Categories[Income Accounts],0)),"Expense","Income")</f>
        <v>Income</v>
      </c>
      <c r="G98" s="13">
        <f t="shared" si="2"/>
        <v>154263.4</v>
      </c>
      <c r="I98" s="14" t="str">
        <f t="shared" si="1"/>
        <v>Big Spender</v>
      </c>
    </row>
    <row r="99">
      <c r="A99" s="16">
        <v>46015.0</v>
      </c>
      <c r="B99" s="17" t="s">
        <v>46</v>
      </c>
      <c r="C99" s="105">
        <v>683.37</v>
      </c>
      <c r="D99" s="19" t="s">
        <v>24</v>
      </c>
      <c r="E99" s="19" t="s">
        <v>34</v>
      </c>
      <c r="F99" s="20" t="str">
        <f>IF(ISERROR(MATCH(D99,Categories[Income Accounts],0)),"Expense","Income")</f>
        <v>Expense</v>
      </c>
      <c r="G99" s="21">
        <f t="shared" si="2"/>
        <v>153580.03</v>
      </c>
      <c r="I99" s="14" t="str">
        <f t="shared" si="1"/>
        <v>Not much</v>
      </c>
    </row>
    <row r="100">
      <c r="A100" s="8">
        <v>46016.0</v>
      </c>
      <c r="B100" s="9" t="s">
        <v>14</v>
      </c>
      <c r="C100" s="106">
        <v>1901.78</v>
      </c>
      <c r="D100" s="11" t="s">
        <v>55</v>
      </c>
      <c r="E100" s="11" t="s">
        <v>12</v>
      </c>
      <c r="F100" s="12" t="str">
        <f>IF(ISERROR(MATCH(D100,Categories[Income Accounts],0)),"Expense","Income")</f>
        <v>Expense</v>
      </c>
      <c r="G100" s="13">
        <f t="shared" si="2"/>
        <v>151678.25</v>
      </c>
      <c r="I100" s="14" t="str">
        <f t="shared" si="1"/>
        <v>Big Spender</v>
      </c>
    </row>
    <row r="101">
      <c r="A101" s="107">
        <v>46020.0</v>
      </c>
      <c r="B101" s="108" t="s">
        <v>44</v>
      </c>
      <c r="C101" s="109">
        <v>1757.84</v>
      </c>
      <c r="D101" s="110" t="s">
        <v>22</v>
      </c>
      <c r="E101" s="110" t="s">
        <v>17</v>
      </c>
      <c r="F101" s="111" t="str">
        <f>IF(ISERROR(MATCH(D101,Categories[Income Accounts],0)),"Expense","Income")</f>
        <v>Expense</v>
      </c>
      <c r="G101" s="112">
        <f t="shared" si="2"/>
        <v>149920.41</v>
      </c>
      <c r="I101" s="14" t="str">
        <f t="shared" si="1"/>
        <v>Big Spender</v>
      </c>
    </row>
  </sheetData>
  <customSheetViews>
    <customSheetView guid="{FC008EDE-B66F-40BF-89DA-1001E4882775}" filter="1" showAutoFilter="1">
      <autoFilter ref="$A$1:$G$101"/>
    </customSheetView>
  </customSheetViews>
  <conditionalFormatting sqref="C2:C1000">
    <cfRule type="colorScale" priority="1">
      <colorScale>
        <cfvo type="min"/>
        <cfvo type="percent" val="50"/>
        <cfvo type="max"/>
        <color rgb="FFE67C73"/>
        <color rgb="FFFFFFFF"/>
        <color rgb="FF57BB8A"/>
      </colorScale>
    </cfRule>
  </conditionalFormatting>
  <dataValidations>
    <dataValidation type="list" allowBlank="1" sqref="E2:E101">
      <formula1>#REF!</formula1>
    </dataValidation>
    <dataValidation type="custom" allowBlank="1" showDropDown="1" sqref="A2:A101">
      <formula1>OR(NOT(ISERROR(DATEVALUE(A2))), AND(ISNUMBER(A2), LEFT(CELL("format", A2))="D"))</formula1>
    </dataValidation>
    <dataValidation type="custom" allowBlank="1" showDropDown="1" sqref="C2:C101 G2:G101">
      <formula1>AND(ISNUMBER(C2),(NOT(OR(NOT(ISERROR(DATEVALUE(C2))), AND(ISNUMBER(C2), LEFT(CELL("format", C2))="D")))))</formula1>
    </dataValidation>
    <dataValidation type="list" allowBlank="1" sqref="D2:D101">
      <formula1>#REF!</formula1>
    </dataValidation>
  </dataValidation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13"/>
      <c r="B1" s="113"/>
      <c r="C1" s="113"/>
      <c r="D1" s="113"/>
      <c r="E1" s="113"/>
      <c r="F1" s="113"/>
      <c r="G1" s="113"/>
      <c r="H1" s="113"/>
      <c r="I1" s="113"/>
      <c r="J1" s="113"/>
      <c r="K1" s="113"/>
      <c r="L1" s="113"/>
      <c r="M1" s="113"/>
      <c r="N1" s="113"/>
      <c r="O1" s="113"/>
      <c r="P1" s="113"/>
      <c r="Q1" s="113"/>
      <c r="R1" s="113"/>
      <c r="S1" s="113"/>
      <c r="T1" s="113"/>
      <c r="U1" s="113"/>
      <c r="V1" s="113"/>
      <c r="W1" s="113"/>
      <c r="X1" s="113"/>
      <c r="Y1" s="113"/>
      <c r="Z1" s="113"/>
    </row>
    <row r="2">
      <c r="A2" s="113"/>
      <c r="B2" s="113"/>
      <c r="C2" s="113"/>
      <c r="D2" s="113"/>
      <c r="E2" s="113"/>
      <c r="F2" s="113"/>
      <c r="G2" s="113"/>
      <c r="H2" s="113"/>
      <c r="I2" s="113"/>
      <c r="J2" s="113"/>
      <c r="K2" s="113"/>
      <c r="L2" s="113"/>
      <c r="M2" s="113"/>
      <c r="N2" s="113"/>
      <c r="O2" s="113"/>
      <c r="P2" s="113"/>
      <c r="Q2" s="113"/>
      <c r="R2" s="113"/>
      <c r="S2" s="113"/>
      <c r="T2" s="113"/>
      <c r="U2" s="113"/>
      <c r="V2" s="113"/>
      <c r="W2" s="113"/>
      <c r="X2" s="113"/>
      <c r="Y2" s="113"/>
      <c r="Z2" s="113"/>
    </row>
    <row r="3">
      <c r="A3" s="113"/>
      <c r="B3" s="113"/>
      <c r="C3" s="113"/>
      <c r="D3" s="113"/>
      <c r="E3" s="113"/>
      <c r="F3" s="113"/>
      <c r="G3" s="113"/>
      <c r="H3" s="113"/>
      <c r="I3" s="113"/>
      <c r="J3" s="113"/>
      <c r="K3" s="113"/>
      <c r="L3" s="113"/>
      <c r="M3" s="113"/>
      <c r="N3" s="113"/>
      <c r="O3" s="113"/>
      <c r="P3" s="113"/>
      <c r="Q3" s="113"/>
      <c r="R3" s="113"/>
      <c r="S3" s="113"/>
      <c r="T3" s="113"/>
      <c r="U3" s="113"/>
      <c r="V3" s="113"/>
      <c r="W3" s="113"/>
      <c r="X3" s="113"/>
      <c r="Y3" s="113"/>
      <c r="Z3" s="113"/>
    </row>
    <row r="4">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row>
    <row r="5">
      <c r="A5" s="113"/>
      <c r="B5" s="113"/>
      <c r="C5" s="113"/>
      <c r="D5" s="113"/>
      <c r="E5" s="113"/>
      <c r="F5" s="113"/>
      <c r="G5" s="113"/>
      <c r="H5" s="113"/>
      <c r="I5" s="113"/>
      <c r="J5" s="113"/>
      <c r="K5" s="113"/>
      <c r="L5" s="113"/>
      <c r="M5" s="113"/>
      <c r="N5" s="113"/>
      <c r="O5" s="113"/>
      <c r="P5" s="113"/>
      <c r="Q5" s="113"/>
      <c r="R5" s="113"/>
      <c r="S5" s="113"/>
      <c r="T5" s="113"/>
      <c r="U5" s="113"/>
      <c r="V5" s="113"/>
      <c r="W5" s="113"/>
      <c r="X5" s="113"/>
      <c r="Y5" s="113"/>
      <c r="Z5" s="113"/>
    </row>
    <row r="6">
      <c r="A6" s="113"/>
      <c r="B6" s="113"/>
      <c r="C6" s="113"/>
      <c r="D6" s="113"/>
      <c r="E6" s="113"/>
      <c r="F6" s="113"/>
      <c r="G6" s="113"/>
      <c r="H6" s="113"/>
      <c r="I6" s="113"/>
      <c r="J6" s="113"/>
      <c r="K6" s="113"/>
      <c r="L6" s="113"/>
      <c r="M6" s="113"/>
      <c r="N6" s="113"/>
      <c r="O6" s="113"/>
      <c r="P6" s="113"/>
      <c r="Q6" s="113"/>
      <c r="R6" s="113"/>
      <c r="S6" s="113"/>
      <c r="T6" s="113"/>
      <c r="U6" s="113"/>
      <c r="V6" s="113"/>
      <c r="W6" s="113"/>
      <c r="X6" s="113"/>
      <c r="Y6" s="113"/>
      <c r="Z6" s="113"/>
    </row>
    <row r="7">
      <c r="A7" s="113"/>
      <c r="B7" s="113"/>
      <c r="C7" s="113"/>
      <c r="D7" s="113"/>
      <c r="E7" s="113"/>
      <c r="F7" s="113"/>
      <c r="G7" s="113"/>
      <c r="H7" s="113"/>
      <c r="I7" s="113"/>
      <c r="J7" s="113"/>
      <c r="K7" s="113"/>
      <c r="L7" s="113"/>
      <c r="M7" s="113"/>
      <c r="N7" s="113"/>
      <c r="O7" s="113"/>
      <c r="P7" s="113"/>
      <c r="Q7" s="113"/>
      <c r="R7" s="113"/>
      <c r="S7" s="113"/>
      <c r="T7" s="113"/>
      <c r="U7" s="113"/>
      <c r="V7" s="113"/>
      <c r="W7" s="113"/>
      <c r="X7" s="113"/>
      <c r="Y7" s="113"/>
      <c r="Z7" s="113"/>
    </row>
    <row r="8">
      <c r="A8" s="113"/>
      <c r="B8" s="113"/>
      <c r="C8" s="113"/>
      <c r="D8" s="113"/>
      <c r="E8" s="113"/>
      <c r="F8" s="113"/>
      <c r="G8" s="113"/>
      <c r="H8" s="113"/>
      <c r="I8" s="113"/>
      <c r="J8" s="113"/>
      <c r="K8" s="113"/>
      <c r="L8" s="113"/>
      <c r="M8" s="113"/>
      <c r="N8" s="113"/>
      <c r="O8" s="113"/>
      <c r="P8" s="113"/>
      <c r="Q8" s="113"/>
      <c r="R8" s="113"/>
      <c r="S8" s="113"/>
      <c r="T8" s="113"/>
      <c r="U8" s="113"/>
      <c r="V8" s="113"/>
      <c r="W8" s="113"/>
      <c r="X8" s="113"/>
      <c r="Y8" s="113"/>
      <c r="Z8" s="113"/>
    </row>
    <row r="9">
      <c r="A9" s="113"/>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63"/>
    <col customWidth="1" min="2" max="2" width="19.5"/>
    <col customWidth="1" min="3" max="3" width="19.75"/>
  </cols>
  <sheetData>
    <row r="1">
      <c r="A1" s="114" t="s">
        <v>56</v>
      </c>
      <c r="B1" s="115" t="s">
        <v>57</v>
      </c>
      <c r="C1" s="116" t="s">
        <v>58</v>
      </c>
      <c r="F1" s="117" t="s">
        <v>27</v>
      </c>
    </row>
    <row r="2">
      <c r="A2" s="118" t="s">
        <v>21</v>
      </c>
      <c r="B2" s="9" t="s">
        <v>27</v>
      </c>
      <c r="C2" s="119" t="s">
        <v>12</v>
      </c>
      <c r="F2" s="14" t="str">
        <f>IF(ISERROR(MATCH(F1,Categories[Income Accounts],0)),"Income","Expense")</f>
        <v>Income</v>
      </c>
    </row>
    <row r="3">
      <c r="A3" s="120" t="s">
        <v>11</v>
      </c>
      <c r="B3" s="17" t="s">
        <v>59</v>
      </c>
      <c r="C3" s="121" t="s">
        <v>15</v>
      </c>
    </row>
    <row r="4">
      <c r="B4" s="9" t="s">
        <v>29</v>
      </c>
      <c r="C4" s="119" t="s">
        <v>17</v>
      </c>
    </row>
    <row r="5">
      <c r="B5" s="17" t="s">
        <v>33</v>
      </c>
      <c r="C5" s="121" t="s">
        <v>20</v>
      </c>
    </row>
    <row r="6">
      <c r="B6" s="9" t="s">
        <v>39</v>
      </c>
      <c r="C6" s="119" t="s">
        <v>28</v>
      </c>
    </row>
    <row r="7">
      <c r="B7" s="17" t="s">
        <v>49</v>
      </c>
      <c r="C7" s="121" t="s">
        <v>34</v>
      </c>
    </row>
    <row r="8">
      <c r="B8" s="9" t="s">
        <v>14</v>
      </c>
    </row>
    <row r="9">
      <c r="B9" s="17" t="s">
        <v>19</v>
      </c>
    </row>
    <row r="10">
      <c r="B10" s="9" t="s">
        <v>55</v>
      </c>
    </row>
    <row r="11">
      <c r="B11" s="17" t="s">
        <v>22</v>
      </c>
    </row>
    <row r="12">
      <c r="B12" s="9" t="s">
        <v>24</v>
      </c>
    </row>
    <row r="13">
      <c r="B13" s="122" t="s">
        <v>42</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sheetData>
    <row r="1">
      <c r="A1" s="5" t="s">
        <v>60</v>
      </c>
      <c r="B1" s="123" t="s">
        <v>24</v>
      </c>
      <c r="C1" s="124"/>
      <c r="D1" s="124"/>
      <c r="E1" s="124"/>
      <c r="F1" s="124"/>
      <c r="G1" s="124"/>
      <c r="H1" s="124"/>
      <c r="I1" s="124"/>
      <c r="J1" s="124"/>
      <c r="K1" s="124"/>
      <c r="L1" s="124"/>
      <c r="M1" s="124"/>
      <c r="N1" s="124"/>
      <c r="O1" s="124"/>
      <c r="P1" s="124"/>
      <c r="Q1" s="124"/>
      <c r="R1" s="124"/>
      <c r="S1" s="124"/>
      <c r="T1" s="124"/>
      <c r="U1" s="124"/>
      <c r="V1" s="124"/>
      <c r="W1" s="124"/>
      <c r="X1" s="124"/>
      <c r="Y1" s="124"/>
      <c r="Z1" s="124"/>
    </row>
    <row r="2">
      <c r="A2" s="125" t="s">
        <v>0</v>
      </c>
      <c r="B2" s="125" t="s">
        <v>1</v>
      </c>
      <c r="C2" s="125" t="s">
        <v>2</v>
      </c>
      <c r="D2" s="125" t="s">
        <v>3</v>
      </c>
      <c r="E2" s="125" t="s">
        <v>4</v>
      </c>
      <c r="F2" s="126" t="s">
        <v>5</v>
      </c>
      <c r="G2" s="125" t="s">
        <v>6</v>
      </c>
      <c r="H2" s="124"/>
      <c r="I2" s="124"/>
      <c r="J2" s="124"/>
      <c r="K2" s="124"/>
      <c r="L2" s="124"/>
      <c r="M2" s="124"/>
      <c r="N2" s="124"/>
      <c r="O2" s="124"/>
      <c r="P2" s="124"/>
      <c r="Q2" s="124"/>
      <c r="R2" s="124"/>
      <c r="S2" s="124"/>
      <c r="T2" s="124"/>
      <c r="U2" s="124"/>
      <c r="V2" s="124"/>
      <c r="W2" s="124"/>
      <c r="X2" s="124"/>
      <c r="Y2" s="124"/>
      <c r="Z2" s="124"/>
    </row>
    <row r="3">
      <c r="A3" s="127">
        <f>IFERROR(__xludf.DUMMYFUNCTION("FILTER(Budget,Budget[Category]=B1)"),45583.0)</f>
        <v>45583</v>
      </c>
      <c r="B3" s="124" t="str">
        <f>IFERROR(__xludf.DUMMYFUNCTION("""COMPUTED_VALUE"""),"Books")</f>
        <v>Books</v>
      </c>
      <c r="C3" s="128">
        <f>IFERROR(__xludf.DUMMYFUNCTION("""COMPUTED_VALUE"""),1724.99)</f>
        <v>1724.99</v>
      </c>
      <c r="D3" s="124" t="str">
        <f>IFERROR(__xludf.DUMMYFUNCTION("""COMPUTED_VALUE"""),"Entertainment")</f>
        <v>Entertainment</v>
      </c>
      <c r="E3" s="124" t="str">
        <f>IFERROR(__xludf.DUMMYFUNCTION("""COMPUTED_VALUE"""),"GoTyme")</f>
        <v>GoTyme</v>
      </c>
      <c r="F3" s="128" t="str">
        <f>IFERROR(__xludf.DUMMYFUNCTION("""COMPUTED_VALUE"""),"Expense")</f>
        <v>Expense</v>
      </c>
      <c r="G3" s="128">
        <f>IFERROR(__xludf.DUMMYFUNCTION("""COMPUTED_VALUE"""),195842.29)</f>
        <v>195842.29</v>
      </c>
      <c r="H3" s="124"/>
      <c r="I3" s="124"/>
      <c r="J3" s="124"/>
      <c r="K3" s="124"/>
      <c r="L3" s="124"/>
      <c r="M3" s="124"/>
      <c r="N3" s="124"/>
      <c r="O3" s="124"/>
      <c r="P3" s="124"/>
      <c r="Q3" s="124"/>
      <c r="R3" s="124"/>
      <c r="S3" s="124"/>
      <c r="T3" s="124"/>
      <c r="U3" s="124"/>
      <c r="V3" s="124"/>
      <c r="W3" s="124"/>
      <c r="X3" s="124"/>
      <c r="Y3" s="124"/>
      <c r="Z3" s="124"/>
    </row>
    <row r="4">
      <c r="A4" s="127">
        <f>IFERROR(__xludf.DUMMYFUNCTION("""COMPUTED_VALUE"""),45648.0)</f>
        <v>45648</v>
      </c>
      <c r="B4" s="124" t="str">
        <f>IFERROR(__xludf.DUMMYFUNCTION("""COMPUTED_VALUE"""),"Paycheck")</f>
        <v>Paycheck</v>
      </c>
      <c r="C4" s="128">
        <f>IFERROR(__xludf.DUMMYFUNCTION("""COMPUTED_VALUE"""),1172.72)</f>
        <v>1172.72</v>
      </c>
      <c r="D4" s="124" t="str">
        <f>IFERROR(__xludf.DUMMYFUNCTION("""COMPUTED_VALUE"""),"Entertainment")</f>
        <v>Entertainment</v>
      </c>
      <c r="E4" s="124" t="str">
        <f>IFERROR(__xludf.DUMMYFUNCTION("""COMPUTED_VALUE"""),"GoTyme")</f>
        <v>GoTyme</v>
      </c>
      <c r="F4" s="128" t="str">
        <f>IFERROR(__xludf.DUMMYFUNCTION("""COMPUTED_VALUE"""),"Expense")</f>
        <v>Expense</v>
      </c>
      <c r="G4" s="128">
        <f>IFERROR(__xludf.DUMMYFUNCTION("""COMPUTED_VALUE"""),199487.10000000003)</f>
        <v>199487.1</v>
      </c>
      <c r="H4" s="124"/>
      <c r="I4" s="124"/>
      <c r="J4" s="124"/>
      <c r="K4" s="124"/>
      <c r="L4" s="124"/>
      <c r="M4" s="124"/>
      <c r="N4" s="124"/>
      <c r="O4" s="124"/>
      <c r="P4" s="124"/>
      <c r="Q4" s="124"/>
      <c r="R4" s="124"/>
      <c r="S4" s="124"/>
      <c r="T4" s="124"/>
      <c r="U4" s="124"/>
      <c r="V4" s="124"/>
      <c r="W4" s="124"/>
      <c r="X4" s="124"/>
      <c r="Y4" s="124"/>
      <c r="Z4" s="124"/>
    </row>
    <row r="5">
      <c r="A5" s="127">
        <f>IFERROR(__xludf.DUMMYFUNCTION("""COMPUTED_VALUE"""),45701.0)</f>
        <v>45701</v>
      </c>
      <c r="B5" s="124" t="str">
        <f>IFERROR(__xludf.DUMMYFUNCTION("""COMPUTED_VALUE"""),"Jewelry")</f>
        <v>Jewelry</v>
      </c>
      <c r="C5" s="128">
        <f>IFERROR(__xludf.DUMMYFUNCTION("""COMPUTED_VALUE"""),1088.56)</f>
        <v>1088.56</v>
      </c>
      <c r="D5" s="124" t="str">
        <f>IFERROR(__xludf.DUMMYFUNCTION("""COMPUTED_VALUE"""),"Entertainment")</f>
        <v>Entertainment</v>
      </c>
      <c r="E5" s="124" t="str">
        <f>IFERROR(__xludf.DUMMYFUNCTION("""COMPUTED_VALUE"""),"Cash")</f>
        <v>Cash</v>
      </c>
      <c r="F5" s="128" t="str">
        <f>IFERROR(__xludf.DUMMYFUNCTION("""COMPUTED_VALUE"""),"Expense")</f>
        <v>Expense</v>
      </c>
      <c r="G5" s="128">
        <f>IFERROR(__xludf.DUMMYFUNCTION("""COMPUTED_VALUE"""),195388.42000000004)</f>
        <v>195388.42</v>
      </c>
      <c r="H5" s="124"/>
      <c r="I5" s="124"/>
      <c r="J5" s="124"/>
      <c r="K5" s="124"/>
      <c r="L5" s="124"/>
      <c r="M5" s="124"/>
      <c r="N5" s="124"/>
      <c r="O5" s="124"/>
      <c r="P5" s="124"/>
      <c r="Q5" s="124"/>
      <c r="R5" s="124"/>
      <c r="S5" s="124"/>
      <c r="T5" s="124"/>
      <c r="U5" s="124"/>
      <c r="V5" s="124"/>
      <c r="W5" s="124"/>
      <c r="X5" s="124"/>
      <c r="Y5" s="124"/>
      <c r="Z5" s="124"/>
    </row>
    <row r="6">
      <c r="A6" s="127">
        <f>IFERROR(__xludf.DUMMYFUNCTION("""COMPUTED_VALUE"""),45708.0)</f>
        <v>45708</v>
      </c>
      <c r="B6" s="124" t="str">
        <f>IFERROR(__xludf.DUMMYFUNCTION("""COMPUTED_VALUE"""),"Movies")</f>
        <v>Movies</v>
      </c>
      <c r="C6" s="128">
        <f>IFERROR(__xludf.DUMMYFUNCTION("""COMPUTED_VALUE"""),1309.23)</f>
        <v>1309.23</v>
      </c>
      <c r="D6" s="124" t="str">
        <f>IFERROR(__xludf.DUMMYFUNCTION("""COMPUTED_VALUE"""),"Entertainment")</f>
        <v>Entertainment</v>
      </c>
      <c r="E6" s="124" t="str">
        <f>IFERROR(__xludf.DUMMYFUNCTION("""COMPUTED_VALUE"""),"Cash")</f>
        <v>Cash</v>
      </c>
      <c r="F6" s="128" t="str">
        <f>IFERROR(__xludf.DUMMYFUNCTION("""COMPUTED_VALUE"""),"Expense")</f>
        <v>Expense</v>
      </c>
      <c r="G6" s="128">
        <f>IFERROR(__xludf.DUMMYFUNCTION("""COMPUTED_VALUE"""),193762.32000000004)</f>
        <v>193762.32</v>
      </c>
      <c r="H6" s="124"/>
      <c r="I6" s="124"/>
      <c r="J6" s="124"/>
      <c r="K6" s="124"/>
      <c r="L6" s="124"/>
      <c r="M6" s="124"/>
      <c r="N6" s="124"/>
      <c r="O6" s="124"/>
      <c r="P6" s="124"/>
      <c r="Q6" s="124"/>
      <c r="R6" s="124"/>
      <c r="S6" s="124"/>
      <c r="T6" s="124"/>
      <c r="U6" s="124"/>
      <c r="V6" s="124"/>
      <c r="W6" s="124"/>
      <c r="X6" s="124"/>
      <c r="Y6" s="124"/>
      <c r="Z6" s="124"/>
    </row>
    <row r="7">
      <c r="A7" s="127">
        <f>IFERROR(__xludf.DUMMYFUNCTION("""COMPUTED_VALUE"""),45709.0)</f>
        <v>45709</v>
      </c>
      <c r="B7" s="124" t="str">
        <f>IFERROR(__xludf.DUMMYFUNCTION("""COMPUTED_VALUE"""),"Games")</f>
        <v>Games</v>
      </c>
      <c r="C7" s="128">
        <f>IFERROR(__xludf.DUMMYFUNCTION("""COMPUTED_VALUE"""),278.32)</f>
        <v>278.32</v>
      </c>
      <c r="D7" s="124" t="str">
        <f>IFERROR(__xludf.DUMMYFUNCTION("""COMPUTED_VALUE"""),"Entertainment")</f>
        <v>Entertainment</v>
      </c>
      <c r="E7" s="124" t="str">
        <f>IFERROR(__xludf.DUMMYFUNCTION("""COMPUTED_VALUE"""),"Check")</f>
        <v>Check</v>
      </c>
      <c r="F7" s="128" t="str">
        <f>IFERROR(__xludf.DUMMYFUNCTION("""COMPUTED_VALUE"""),"Expense")</f>
        <v>Expense</v>
      </c>
      <c r="G7" s="128">
        <f>IFERROR(__xludf.DUMMYFUNCTION("""COMPUTED_VALUE"""),193484.00000000003)</f>
        <v>193484</v>
      </c>
      <c r="H7" s="124"/>
      <c r="I7" s="124"/>
      <c r="J7" s="124"/>
      <c r="K7" s="124"/>
      <c r="L7" s="124"/>
      <c r="M7" s="124"/>
      <c r="N7" s="124"/>
      <c r="O7" s="124"/>
      <c r="P7" s="124"/>
      <c r="Q7" s="124"/>
      <c r="R7" s="124"/>
      <c r="S7" s="124"/>
      <c r="T7" s="124"/>
      <c r="U7" s="124"/>
      <c r="V7" s="124"/>
      <c r="W7" s="124"/>
      <c r="X7" s="124"/>
      <c r="Y7" s="124"/>
      <c r="Z7" s="124"/>
    </row>
    <row r="8">
      <c r="A8" s="127">
        <f>IFERROR(__xludf.DUMMYFUNCTION("""COMPUTED_VALUE"""),45723.0)</f>
        <v>45723</v>
      </c>
      <c r="B8" s="124" t="str">
        <f>IFERROR(__xludf.DUMMYFUNCTION("""COMPUTED_VALUE"""),"Outdoors")</f>
        <v>Outdoors</v>
      </c>
      <c r="C8" s="128">
        <f>IFERROR(__xludf.DUMMYFUNCTION("""COMPUTED_VALUE"""),964.64)</f>
        <v>964.64</v>
      </c>
      <c r="D8" s="124" t="str">
        <f>IFERROR(__xludf.DUMMYFUNCTION("""COMPUTED_VALUE"""),"Entertainment")</f>
        <v>Entertainment</v>
      </c>
      <c r="E8" s="124" t="str">
        <f>IFERROR(__xludf.DUMMYFUNCTION("""COMPUTED_VALUE"""),"Gcash")</f>
        <v>Gcash</v>
      </c>
      <c r="F8" s="128" t="str">
        <f>IFERROR(__xludf.DUMMYFUNCTION("""COMPUTED_VALUE"""),"Expense")</f>
        <v>Expense</v>
      </c>
      <c r="G8" s="128">
        <f>IFERROR(__xludf.DUMMYFUNCTION("""COMPUTED_VALUE"""),191563.13)</f>
        <v>191563.13</v>
      </c>
      <c r="H8" s="124"/>
      <c r="I8" s="124"/>
      <c r="J8" s="124"/>
      <c r="K8" s="124"/>
      <c r="L8" s="124"/>
      <c r="M8" s="124"/>
      <c r="N8" s="124"/>
      <c r="O8" s="124"/>
      <c r="P8" s="124"/>
      <c r="Q8" s="124"/>
      <c r="R8" s="124"/>
      <c r="S8" s="124"/>
      <c r="T8" s="124"/>
      <c r="U8" s="124"/>
      <c r="V8" s="124"/>
      <c r="W8" s="124"/>
      <c r="X8" s="124"/>
      <c r="Y8" s="124"/>
      <c r="Z8" s="124"/>
    </row>
    <row r="9">
      <c r="A9" s="127">
        <f>IFERROR(__xludf.DUMMYFUNCTION("""COMPUTED_VALUE"""),45786.0)</f>
        <v>45786</v>
      </c>
      <c r="B9" s="124" t="str">
        <f>IFERROR(__xludf.DUMMYFUNCTION("""COMPUTED_VALUE"""),"Toys")</f>
        <v>Toys</v>
      </c>
      <c r="C9" s="128">
        <f>IFERROR(__xludf.DUMMYFUNCTION("""COMPUTED_VALUE"""),389.39)</f>
        <v>389.39</v>
      </c>
      <c r="D9" s="124" t="str">
        <f>IFERROR(__xludf.DUMMYFUNCTION("""COMPUTED_VALUE"""),"Entertainment")</f>
        <v>Entertainment</v>
      </c>
      <c r="E9" s="124" t="str">
        <f>IFERROR(__xludf.DUMMYFUNCTION("""COMPUTED_VALUE"""),"Check")</f>
        <v>Check</v>
      </c>
      <c r="F9" s="128" t="str">
        <f>IFERROR(__xludf.DUMMYFUNCTION("""COMPUTED_VALUE"""),"Expense")</f>
        <v>Expense</v>
      </c>
      <c r="G9" s="128">
        <f>IFERROR(__xludf.DUMMYFUNCTION("""COMPUTED_VALUE"""),185303.04999999993)</f>
        <v>185303.05</v>
      </c>
      <c r="H9" s="124"/>
      <c r="I9" s="124"/>
      <c r="J9" s="124"/>
      <c r="K9" s="124"/>
      <c r="L9" s="124"/>
      <c r="M9" s="124"/>
      <c r="N9" s="124"/>
      <c r="O9" s="124"/>
      <c r="P9" s="124"/>
      <c r="Q9" s="124"/>
      <c r="R9" s="124"/>
      <c r="S9" s="124"/>
      <c r="T9" s="124"/>
      <c r="U9" s="124"/>
      <c r="V9" s="124"/>
      <c r="W9" s="124"/>
      <c r="X9" s="124"/>
      <c r="Y9" s="124"/>
      <c r="Z9" s="124"/>
    </row>
    <row r="10">
      <c r="A10" s="127">
        <f>IFERROR(__xludf.DUMMYFUNCTION("""COMPUTED_VALUE"""),45807.0)</f>
        <v>45807</v>
      </c>
      <c r="B10" s="124" t="str">
        <f>IFERROR(__xludf.DUMMYFUNCTION("""COMPUTED_VALUE"""),"Games")</f>
        <v>Games</v>
      </c>
      <c r="C10" s="128">
        <f>IFERROR(__xludf.DUMMYFUNCTION("""COMPUTED_VALUE"""),1369.59)</f>
        <v>1369.59</v>
      </c>
      <c r="D10" s="124" t="str">
        <f>IFERROR(__xludf.DUMMYFUNCTION("""COMPUTED_VALUE"""),"Entertainment")</f>
        <v>Entertainment</v>
      </c>
      <c r="E10" s="124" t="str">
        <f>IFERROR(__xludf.DUMMYFUNCTION("""COMPUTED_VALUE"""),"Cash")</f>
        <v>Cash</v>
      </c>
      <c r="F10" s="128" t="str">
        <f>IFERROR(__xludf.DUMMYFUNCTION("""COMPUTED_VALUE"""),"Expense")</f>
        <v>Expense</v>
      </c>
      <c r="G10" s="128">
        <f>IFERROR(__xludf.DUMMYFUNCTION("""COMPUTED_VALUE"""),181631.89999999994)</f>
        <v>181631.9</v>
      </c>
      <c r="H10" s="124"/>
      <c r="I10" s="124"/>
      <c r="J10" s="124"/>
      <c r="K10" s="124"/>
      <c r="L10" s="124"/>
      <c r="M10" s="124"/>
      <c r="N10" s="124"/>
      <c r="O10" s="124"/>
      <c r="P10" s="124"/>
      <c r="Q10" s="124"/>
      <c r="R10" s="124"/>
      <c r="S10" s="124"/>
      <c r="T10" s="124"/>
      <c r="U10" s="124"/>
      <c r="V10" s="124"/>
      <c r="W10" s="124"/>
      <c r="X10" s="124"/>
      <c r="Y10" s="124"/>
      <c r="Z10" s="124"/>
    </row>
    <row r="11">
      <c r="A11" s="127">
        <f>IFERROR(__xludf.DUMMYFUNCTION("""COMPUTED_VALUE"""),45849.0)</f>
        <v>45849</v>
      </c>
      <c r="B11" s="124" t="str">
        <f>IFERROR(__xludf.DUMMYFUNCTION("""COMPUTED_VALUE"""),"Music")</f>
        <v>Music</v>
      </c>
      <c r="C11" s="128">
        <f>IFERROR(__xludf.DUMMYFUNCTION("""COMPUTED_VALUE"""),1018.81)</f>
        <v>1018.81</v>
      </c>
      <c r="D11" s="124" t="str">
        <f>IFERROR(__xludf.DUMMYFUNCTION("""COMPUTED_VALUE"""),"Entertainment")</f>
        <v>Entertainment</v>
      </c>
      <c r="E11" s="124" t="str">
        <f>IFERROR(__xludf.DUMMYFUNCTION("""COMPUTED_VALUE"""),"Gcash")</f>
        <v>Gcash</v>
      </c>
      <c r="F11" s="128" t="str">
        <f>IFERROR(__xludf.DUMMYFUNCTION("""COMPUTED_VALUE"""),"Expense")</f>
        <v>Expense</v>
      </c>
      <c r="G11" s="128">
        <f>IFERROR(__xludf.DUMMYFUNCTION("""COMPUTED_VALUE"""),170249.1499999999)</f>
        <v>170249.15</v>
      </c>
      <c r="H11" s="124"/>
      <c r="I11" s="124"/>
      <c r="J11" s="124"/>
      <c r="K11" s="124"/>
      <c r="L11" s="124"/>
      <c r="M11" s="124"/>
      <c r="N11" s="124"/>
      <c r="O11" s="124"/>
      <c r="P11" s="124"/>
      <c r="Q11" s="124"/>
      <c r="R11" s="124"/>
      <c r="S11" s="124"/>
      <c r="T11" s="124"/>
      <c r="U11" s="124"/>
      <c r="V11" s="124"/>
      <c r="W11" s="124"/>
      <c r="X11" s="124"/>
      <c r="Y11" s="124"/>
      <c r="Z11" s="124"/>
    </row>
    <row r="12">
      <c r="A12" s="127">
        <f>IFERROR(__xludf.DUMMYFUNCTION("""COMPUTED_VALUE"""),45982.0)</f>
        <v>45982</v>
      </c>
      <c r="B12" s="124" t="str">
        <f>IFERROR(__xludf.DUMMYFUNCTION("""COMPUTED_VALUE"""),"Games")</f>
        <v>Games</v>
      </c>
      <c r="C12" s="128">
        <f>IFERROR(__xludf.DUMMYFUNCTION("""COMPUTED_VALUE"""),1974.51)</f>
        <v>1974.51</v>
      </c>
      <c r="D12" s="124" t="str">
        <f>IFERROR(__xludf.DUMMYFUNCTION("""COMPUTED_VALUE"""),"Entertainment")</f>
        <v>Entertainment</v>
      </c>
      <c r="E12" s="124" t="str">
        <f>IFERROR(__xludf.DUMMYFUNCTION("""COMPUTED_VALUE"""),"ATM")</f>
        <v>ATM</v>
      </c>
      <c r="F12" s="128" t="str">
        <f>IFERROR(__xludf.DUMMYFUNCTION("""COMPUTED_VALUE"""),"Expense")</f>
        <v>Expense</v>
      </c>
      <c r="G12" s="128">
        <f>IFERROR(__xludf.DUMMYFUNCTION("""COMPUTED_VALUE"""),159327.7899999999)</f>
        <v>159327.79</v>
      </c>
      <c r="H12" s="124"/>
      <c r="I12" s="124"/>
      <c r="J12" s="124"/>
      <c r="K12" s="124"/>
      <c r="L12" s="124"/>
      <c r="M12" s="124"/>
      <c r="N12" s="124"/>
      <c r="O12" s="124"/>
      <c r="P12" s="124"/>
      <c r="Q12" s="124"/>
      <c r="R12" s="124"/>
      <c r="S12" s="124"/>
      <c r="T12" s="124"/>
      <c r="U12" s="124"/>
      <c r="V12" s="124"/>
      <c r="W12" s="124"/>
      <c r="X12" s="124"/>
      <c r="Y12" s="124"/>
      <c r="Z12" s="124"/>
    </row>
    <row r="13">
      <c r="A13" s="127">
        <f>IFERROR(__xludf.DUMMYFUNCTION("""COMPUTED_VALUE"""),45997.0)</f>
        <v>45997</v>
      </c>
      <c r="B13" s="124" t="str">
        <f>IFERROR(__xludf.DUMMYFUNCTION("""COMPUTED_VALUE"""),"Toys")</f>
        <v>Toys</v>
      </c>
      <c r="C13" s="128">
        <f>IFERROR(__xludf.DUMMYFUNCTION("""COMPUTED_VALUE"""),1958.5)</f>
        <v>1958.5</v>
      </c>
      <c r="D13" s="124" t="str">
        <f>IFERROR(__xludf.DUMMYFUNCTION("""COMPUTED_VALUE"""),"Entertainment")</f>
        <v>Entertainment</v>
      </c>
      <c r="E13" s="124" t="str">
        <f>IFERROR(__xludf.DUMMYFUNCTION("""COMPUTED_VALUE"""),"Cash")</f>
        <v>Cash</v>
      </c>
      <c r="F13" s="128" t="str">
        <f>IFERROR(__xludf.DUMMYFUNCTION("""COMPUTED_VALUE"""),"Expense")</f>
        <v>Expense</v>
      </c>
      <c r="G13" s="128">
        <f>IFERROR(__xludf.DUMMYFUNCTION("""COMPUTED_VALUE"""),155037.6999999999)</f>
        <v>155037.7</v>
      </c>
      <c r="H13" s="124"/>
      <c r="I13" s="124"/>
      <c r="J13" s="124"/>
      <c r="K13" s="124"/>
      <c r="L13" s="124"/>
      <c r="M13" s="124"/>
      <c r="N13" s="124"/>
      <c r="O13" s="124"/>
      <c r="P13" s="124"/>
      <c r="Q13" s="124"/>
      <c r="R13" s="124"/>
      <c r="S13" s="124"/>
      <c r="T13" s="124"/>
      <c r="U13" s="124"/>
      <c r="V13" s="124"/>
      <c r="W13" s="124"/>
      <c r="X13" s="124"/>
      <c r="Y13" s="124"/>
      <c r="Z13" s="124"/>
    </row>
    <row r="14">
      <c r="A14" s="127">
        <f>IFERROR(__xludf.DUMMYFUNCTION("""COMPUTED_VALUE"""),46015.0)</f>
        <v>46015</v>
      </c>
      <c r="B14" s="124" t="str">
        <f>IFERROR(__xludf.DUMMYFUNCTION("""COMPUTED_VALUE"""),"Outdoors")</f>
        <v>Outdoors</v>
      </c>
      <c r="C14" s="128">
        <f>IFERROR(__xludf.DUMMYFUNCTION("""COMPUTED_VALUE"""),683.37)</f>
        <v>683.37</v>
      </c>
      <c r="D14" s="124" t="str">
        <f>IFERROR(__xludf.DUMMYFUNCTION("""COMPUTED_VALUE"""),"Entertainment")</f>
        <v>Entertainment</v>
      </c>
      <c r="E14" s="124" t="str">
        <f>IFERROR(__xludf.DUMMYFUNCTION("""COMPUTED_VALUE"""),"Paypal")</f>
        <v>Paypal</v>
      </c>
      <c r="F14" s="128" t="str">
        <f>IFERROR(__xludf.DUMMYFUNCTION("""COMPUTED_VALUE"""),"Expense")</f>
        <v>Expense</v>
      </c>
      <c r="G14" s="128">
        <f>IFERROR(__xludf.DUMMYFUNCTION("""COMPUTED_VALUE"""),153580.02999999988)</f>
        <v>153580.03</v>
      </c>
      <c r="H14" s="124"/>
      <c r="I14" s="124"/>
      <c r="J14" s="124"/>
      <c r="K14" s="124"/>
      <c r="L14" s="124"/>
      <c r="M14" s="124"/>
      <c r="N14" s="124"/>
      <c r="O14" s="124"/>
      <c r="P14" s="124"/>
      <c r="Q14" s="124"/>
      <c r="R14" s="124"/>
      <c r="S14" s="124"/>
      <c r="T14" s="124"/>
      <c r="U14" s="124"/>
      <c r="V14" s="124"/>
      <c r="W14" s="124"/>
      <c r="X14" s="124"/>
      <c r="Y14" s="124"/>
      <c r="Z14" s="124"/>
    </row>
    <row r="15">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row>
    <row r="16">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row>
    <row r="17">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row>
    <row r="18">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sheetData>
  <dataValidations>
    <dataValidation type="list" allowBlank="1" showErrorMessage="1" sqref="B1">
      <formula1>Categories[[Income Accounts]:[Expense Accounts]]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row r="1">
      <c r="B1" s="129" t="s">
        <v>61</v>
      </c>
      <c r="C1" s="130" t="s">
        <v>62</v>
      </c>
    </row>
    <row r="2">
      <c r="A2" s="131" t="s">
        <v>0</v>
      </c>
      <c r="B2" s="131" t="s">
        <v>1</v>
      </c>
      <c r="C2" s="131" t="s">
        <v>2</v>
      </c>
      <c r="D2" s="131" t="s">
        <v>3</v>
      </c>
      <c r="E2" s="131" t="s">
        <v>4</v>
      </c>
      <c r="F2" s="132" t="s">
        <v>5</v>
      </c>
      <c r="G2" s="131" t="s">
        <v>6</v>
      </c>
    </row>
    <row r="3">
      <c r="A3" s="133">
        <f>IFERROR(__xludf.DUMMYFUNCTION("FILTER(Budget,SEARCH(C1,Budget[Transaction]))"),45683.0)</f>
        <v>45683</v>
      </c>
      <c r="B3" s="14" t="str">
        <f>IFERROR(__xludf.DUMMYFUNCTION("""COMPUTED_VALUE"""),"Industrial")</f>
        <v>Industrial</v>
      </c>
      <c r="C3" s="134">
        <f>IFERROR(__xludf.DUMMYFUNCTION("""COMPUTED_VALUE"""),1065.27)</f>
        <v>1065.27</v>
      </c>
      <c r="D3" s="14" t="str">
        <f>IFERROR(__xludf.DUMMYFUNCTION("""COMPUTED_VALUE"""),"Running")</f>
        <v>Running</v>
      </c>
      <c r="E3" s="14" t="str">
        <f>IFERROR(__xludf.DUMMYFUNCTION("""COMPUTED_VALUE"""),"GoTyme")</f>
        <v>GoTyme</v>
      </c>
      <c r="F3" s="134" t="str">
        <f>IFERROR(__xludf.DUMMYFUNCTION("""COMPUTED_VALUE"""),"Expense")</f>
        <v>Expense</v>
      </c>
      <c r="G3" s="134">
        <f>IFERROR(__xludf.DUMMYFUNCTION("""COMPUTED_VALUE"""),197328.32000000004)</f>
        <v>197328.32</v>
      </c>
    </row>
    <row r="4">
      <c r="A4" s="133">
        <f>IFERROR(__xludf.DUMMYFUNCTION("""COMPUTED_VALUE"""),45759.0)</f>
        <v>45759</v>
      </c>
      <c r="B4" s="14" t="str">
        <f>IFERROR(__xludf.DUMMYFUNCTION("""COMPUTED_VALUE"""),"Industrial")</f>
        <v>Industrial</v>
      </c>
      <c r="C4" s="134">
        <f>IFERROR(__xludf.DUMMYFUNCTION("""COMPUTED_VALUE"""),1578.14)</f>
        <v>1578.14</v>
      </c>
      <c r="D4" s="14" t="str">
        <f>IFERROR(__xludf.DUMMYFUNCTION("""COMPUTED_VALUE"""),"Business")</f>
        <v>Business</v>
      </c>
      <c r="E4" s="14" t="str">
        <f>IFERROR(__xludf.DUMMYFUNCTION("""COMPUTED_VALUE"""),"Paypal")</f>
        <v>Paypal</v>
      </c>
      <c r="F4" s="134" t="str">
        <f>IFERROR(__xludf.DUMMYFUNCTION("""COMPUTED_VALUE"""),"Expense")</f>
        <v>Expense</v>
      </c>
      <c r="G4" s="134">
        <f>IFERROR(__xludf.DUMMYFUNCTION("""COMPUTED_VALUE"""),189060.68999999997)</f>
        <v>189060.69</v>
      </c>
    </row>
    <row r="5">
      <c r="A5" s="133">
        <f>IFERROR(__xludf.DUMMYFUNCTION("""COMPUTED_VALUE"""),45806.0)</f>
        <v>45806</v>
      </c>
      <c r="B5" s="14" t="str">
        <f>IFERROR(__xludf.DUMMYFUNCTION("""COMPUTED_VALUE"""),"Industrial")</f>
        <v>Industrial</v>
      </c>
      <c r="C5" s="134">
        <f>IFERROR(__xludf.DUMMYFUNCTION("""COMPUTED_VALUE"""),1906.66)</f>
        <v>1906.66</v>
      </c>
      <c r="D5" s="14" t="str">
        <f>IFERROR(__xludf.DUMMYFUNCTION("""COMPUTED_VALUE"""),"Business")</f>
        <v>Business</v>
      </c>
      <c r="E5" s="14" t="str">
        <f>IFERROR(__xludf.DUMMYFUNCTION("""COMPUTED_VALUE"""),"GoTyme")</f>
        <v>GoTyme</v>
      </c>
      <c r="F5" s="134" t="str">
        <f>IFERROR(__xludf.DUMMYFUNCTION("""COMPUTED_VALUE"""),"Expense")</f>
        <v>Expense</v>
      </c>
      <c r="G5" s="134">
        <f>IFERROR(__xludf.DUMMYFUNCTION("""COMPUTED_VALUE"""),182778.87999999995)</f>
        <v>182778.88</v>
      </c>
    </row>
    <row r="6">
      <c r="A6" s="133">
        <f>IFERROR(__xludf.DUMMYFUNCTION("""COMPUTED_VALUE"""),45951.0)</f>
        <v>45951</v>
      </c>
      <c r="B6" s="14" t="str">
        <f>IFERROR(__xludf.DUMMYFUNCTION("""COMPUTED_VALUE"""),"Industrial")</f>
        <v>Industrial</v>
      </c>
      <c r="C6" s="134">
        <f>IFERROR(__xludf.DUMMYFUNCTION("""COMPUTED_VALUE"""),270.69)</f>
        <v>270.69</v>
      </c>
      <c r="D6" s="14" t="str">
        <f>IFERROR(__xludf.DUMMYFUNCTION("""COMPUTED_VALUE"""),"Business")</f>
        <v>Business</v>
      </c>
      <c r="E6" s="14" t="str">
        <f>IFERROR(__xludf.DUMMYFUNCTION("""COMPUTED_VALUE"""),"Paypal")</f>
        <v>Paypal</v>
      </c>
      <c r="F6" s="134" t="str">
        <f>IFERROR(__xludf.DUMMYFUNCTION("""COMPUTED_VALUE"""),"Expense")</f>
        <v>Expense</v>
      </c>
      <c r="G6" s="134">
        <f>IFERROR(__xludf.DUMMYFUNCTION("""COMPUTED_VALUE"""),161165.90999999992)</f>
        <v>161165.91</v>
      </c>
    </row>
  </sheetData>
  <drawing r:id="rId1"/>
</worksheet>
</file>