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4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1" sheetId="1" r:id="rId1"/>
    <sheet name="Steel Weight" sheetId="2" r:id="rId2"/>
    <sheet name="Wood &amp; Outfit Weight" sheetId="3" r:id="rId3"/>
    <sheet name="Machinery Weight" sheetId="4" r:id="rId4"/>
    <sheet name="Hull Weight" sheetId="5" r:id="rId5"/>
    <sheet name="Trim" sheetId="7" r:id="rId6"/>
    <sheet name="Trim2" sheetId="6" r:id="rId7"/>
    <sheet name="Trim3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E22" i="8"/>
  <c r="L3" i="8"/>
  <c r="O6" i="8" s="1"/>
  <c r="P6" i="8" s="1"/>
  <c r="E22" i="6"/>
  <c r="L16" i="6"/>
  <c r="J3" i="6"/>
  <c r="O11" i="6" s="1"/>
  <c r="P11" i="6" s="1"/>
  <c r="E22" i="7"/>
  <c r="M20" i="7"/>
  <c r="T8" i="7"/>
  <c r="T20" i="7" s="1"/>
  <c r="K3" i="7"/>
  <c r="C21" i="7" s="1"/>
  <c r="F88" i="5"/>
  <c r="D88" i="5"/>
  <c r="F87" i="5"/>
  <c r="C87" i="5"/>
  <c r="C88" i="5" s="1"/>
  <c r="F86" i="5"/>
  <c r="D86" i="5"/>
  <c r="C86" i="5"/>
  <c r="E86" i="5" s="1"/>
  <c r="C85" i="5"/>
  <c r="G85" i="5" s="1"/>
  <c r="C84" i="5"/>
  <c r="C94" i="5" s="1"/>
  <c r="C80" i="5"/>
  <c r="Q77" i="5"/>
  <c r="O77" i="5"/>
  <c r="L76" i="5"/>
  <c r="O76" i="5" s="1"/>
  <c r="L75" i="5"/>
  <c r="Q75" i="5" s="1"/>
  <c r="Q74" i="5"/>
  <c r="O74" i="5"/>
  <c r="Q73" i="5"/>
  <c r="O73" i="5"/>
  <c r="Q72" i="5"/>
  <c r="O72" i="5"/>
  <c r="L71" i="5"/>
  <c r="Q71" i="5" s="1"/>
  <c r="R54" i="5"/>
  <c r="P54" i="5"/>
  <c r="R53" i="5"/>
  <c r="P53" i="5"/>
  <c r="R52" i="5"/>
  <c r="P52" i="5"/>
  <c r="M51" i="5"/>
  <c r="P51" i="5" s="1"/>
  <c r="M50" i="5"/>
  <c r="R50" i="5" s="1"/>
  <c r="M49" i="5"/>
  <c r="R49" i="5" s="1"/>
  <c r="M48" i="5"/>
  <c r="R48" i="5" s="1"/>
  <c r="C47" i="5"/>
  <c r="C43" i="5"/>
  <c r="D36" i="5"/>
  <c r="D37" i="5" s="1"/>
  <c r="D39" i="5" s="1"/>
  <c r="D33" i="5"/>
  <c r="D34" i="5" s="1"/>
  <c r="C32" i="5"/>
  <c r="C30" i="5"/>
  <c r="B30" i="5"/>
  <c r="Q29" i="5"/>
  <c r="O29" i="5"/>
  <c r="Q28" i="5"/>
  <c r="O28" i="5"/>
  <c r="B28" i="5"/>
  <c r="Q27" i="5"/>
  <c r="O27" i="5"/>
  <c r="Q26" i="5"/>
  <c r="O26" i="5"/>
  <c r="Q25" i="5"/>
  <c r="O25" i="5"/>
  <c r="Q24" i="5"/>
  <c r="O24" i="5"/>
  <c r="C24" i="5"/>
  <c r="L23" i="5"/>
  <c r="Q23" i="5" s="1"/>
  <c r="P5" i="5"/>
  <c r="Q5" i="5" s="1"/>
  <c r="N5" i="5"/>
  <c r="O5" i="5" s="1"/>
  <c r="P4" i="5"/>
  <c r="Q4" i="5" s="1"/>
  <c r="N4" i="5"/>
  <c r="O4" i="5" s="1"/>
  <c r="L6" i="5"/>
  <c r="P3" i="5"/>
  <c r="Q3" i="5" s="1"/>
  <c r="N3" i="5"/>
  <c r="O3" i="5" s="1"/>
  <c r="O8" i="8" l="1"/>
  <c r="P8" i="8" s="1"/>
  <c r="O7" i="8"/>
  <c r="P7" i="8" s="1"/>
  <c r="G24" i="8"/>
  <c r="G23" i="8"/>
  <c r="O12" i="6"/>
  <c r="P12" i="6" s="1"/>
  <c r="O8" i="6"/>
  <c r="P8" i="6" s="1"/>
  <c r="O9" i="6"/>
  <c r="P9" i="6" s="1"/>
  <c r="O13" i="6"/>
  <c r="P13" i="6" s="1"/>
  <c r="O10" i="6"/>
  <c r="P10" i="6" s="1"/>
  <c r="O14" i="6"/>
  <c r="P14" i="6" s="1"/>
  <c r="C21" i="6"/>
  <c r="O7" i="6"/>
  <c r="P7" i="6" s="1"/>
  <c r="P16" i="6" s="1"/>
  <c r="S20" i="7"/>
  <c r="G24" i="7"/>
  <c r="G23" i="7"/>
  <c r="P15" i="7"/>
  <c r="R15" i="7" s="1"/>
  <c r="P8" i="7"/>
  <c r="R8" i="7" s="1"/>
  <c r="P12" i="7"/>
  <c r="R12" i="7" s="1"/>
  <c r="P16" i="7"/>
  <c r="R16" i="7" s="1"/>
  <c r="P9" i="7"/>
  <c r="R9" i="7" s="1"/>
  <c r="P10" i="7"/>
  <c r="R10" i="7" s="1"/>
  <c r="P14" i="7"/>
  <c r="R14" i="7" s="1"/>
  <c r="P18" i="7"/>
  <c r="R18" i="7" s="1"/>
  <c r="P11" i="7"/>
  <c r="R11" i="7" s="1"/>
  <c r="P13" i="7"/>
  <c r="R13" i="7" s="1"/>
  <c r="P17" i="7"/>
  <c r="R17" i="7" s="1"/>
  <c r="G86" i="5"/>
  <c r="R51" i="5"/>
  <c r="G87" i="5"/>
  <c r="O23" i="5"/>
  <c r="E84" i="5"/>
  <c r="G84" i="5"/>
  <c r="G89" i="5" s="1"/>
  <c r="G88" i="5"/>
  <c r="Q76" i="5"/>
  <c r="C95" i="5"/>
  <c r="C96" i="5"/>
  <c r="Q6" i="5"/>
  <c r="P6" i="5" s="1"/>
  <c r="P22" i="5" s="1"/>
  <c r="Q47" i="5" s="1"/>
  <c r="C98" i="5"/>
  <c r="E88" i="5"/>
  <c r="O6" i="5"/>
  <c r="N6" i="5" s="1"/>
  <c r="L70" i="5"/>
  <c r="L22" i="5"/>
  <c r="T6" i="5"/>
  <c r="P49" i="5"/>
  <c r="O71" i="5"/>
  <c r="E85" i="5"/>
  <c r="E87" i="5"/>
  <c r="C89" i="5"/>
  <c r="L78" i="5" s="1"/>
  <c r="C97" i="5"/>
  <c r="C100" i="5" s="1"/>
  <c r="P50" i="5"/>
  <c r="O75" i="5"/>
  <c r="P48" i="5"/>
  <c r="D100" i="5"/>
  <c r="P9" i="8" l="1"/>
  <c r="E20" i="8" s="1"/>
  <c r="D27" i="8" s="1"/>
  <c r="D36" i="8" s="1"/>
  <c r="E42" i="8" s="1"/>
  <c r="E43" i="8" s="1"/>
  <c r="G23" i="6"/>
  <c r="G24" i="6"/>
  <c r="E20" i="6"/>
  <c r="D27" i="6" s="1"/>
  <c r="R20" i="7"/>
  <c r="E20" i="7" s="1"/>
  <c r="P70" i="5"/>
  <c r="Q70" i="5" s="1"/>
  <c r="E89" i="5"/>
  <c r="D91" i="5" s="1"/>
  <c r="N78" i="5" s="1"/>
  <c r="O78" i="5" s="1"/>
  <c r="L79" i="5"/>
  <c r="N70" i="5"/>
  <c r="O70" i="5" s="1"/>
  <c r="O79" i="5" s="1"/>
  <c r="N22" i="5"/>
  <c r="F91" i="5"/>
  <c r="P78" i="5" s="1"/>
  <c r="Q78" i="5" s="1"/>
  <c r="Q22" i="5"/>
  <c r="Q31" i="5" s="1"/>
  <c r="L31" i="5"/>
  <c r="O35" i="5" s="1"/>
  <c r="M47" i="5"/>
  <c r="D32" i="8" l="1"/>
  <c r="C42" i="8" s="1"/>
  <c r="C43" i="8" s="1"/>
  <c r="D36" i="6"/>
  <c r="E42" i="6" s="1"/>
  <c r="E43" i="6" s="1"/>
  <c r="D32" i="6"/>
  <c r="C42" i="6" s="1"/>
  <c r="C43" i="6" s="1"/>
  <c r="D27" i="7"/>
  <c r="D32" i="7" s="1"/>
  <c r="C42" i="7" s="1"/>
  <c r="C43" i="7" s="1"/>
  <c r="Q79" i="5"/>
  <c r="P79" i="5" s="1"/>
  <c r="P31" i="5"/>
  <c r="M56" i="5"/>
  <c r="P59" i="5" s="1"/>
  <c r="R47" i="5"/>
  <c r="R56" i="5" s="1"/>
  <c r="O22" i="5"/>
  <c r="O31" i="5" s="1"/>
  <c r="N31" i="5" s="1"/>
  <c r="O47" i="5"/>
  <c r="P47" i="5" s="1"/>
  <c r="P56" i="5" s="1"/>
  <c r="N79" i="5"/>
  <c r="I124" i="3"/>
  <c r="G124" i="3"/>
  <c r="I123" i="3"/>
  <c r="E123" i="3"/>
  <c r="G123" i="3" s="1"/>
  <c r="E121" i="3"/>
  <c r="I121" i="3" s="1"/>
  <c r="I119" i="3"/>
  <c r="G119" i="3"/>
  <c r="E119" i="3"/>
  <c r="E118" i="3"/>
  <c r="I118" i="3" s="1"/>
  <c r="E116" i="3"/>
  <c r="I116" i="3" s="1"/>
  <c r="I114" i="3"/>
  <c r="G114" i="3"/>
  <c r="E114" i="3"/>
  <c r="G112" i="3"/>
  <c r="E112" i="3"/>
  <c r="I112" i="3" s="1"/>
  <c r="E110" i="3"/>
  <c r="G110" i="3" s="1"/>
  <c r="I106" i="3"/>
  <c r="E106" i="3"/>
  <c r="G106" i="3" s="1"/>
  <c r="I105" i="3"/>
  <c r="E105" i="3"/>
  <c r="G105" i="3" s="1"/>
  <c r="I104" i="3"/>
  <c r="G104" i="3"/>
  <c r="E104" i="3"/>
  <c r="E103" i="3"/>
  <c r="I103" i="3" s="1"/>
  <c r="E102" i="3"/>
  <c r="I102" i="3" s="1"/>
  <c r="I100" i="3"/>
  <c r="G100" i="3"/>
  <c r="E100" i="3"/>
  <c r="G99" i="3"/>
  <c r="E99" i="3"/>
  <c r="I99" i="3" s="1"/>
  <c r="E98" i="3"/>
  <c r="I98" i="3" s="1"/>
  <c r="I97" i="3"/>
  <c r="E97" i="3"/>
  <c r="G97" i="3" s="1"/>
  <c r="I96" i="3"/>
  <c r="E96" i="3"/>
  <c r="G96" i="3" s="1"/>
  <c r="I92" i="3"/>
  <c r="G92" i="3"/>
  <c r="E92" i="3"/>
  <c r="E91" i="3"/>
  <c r="I91" i="3" s="1"/>
  <c r="E90" i="3"/>
  <c r="I90" i="3" s="1"/>
  <c r="I87" i="3"/>
  <c r="G87" i="3"/>
  <c r="E87" i="3"/>
  <c r="G86" i="3"/>
  <c r="E86" i="3"/>
  <c r="I86" i="3" s="1"/>
  <c r="E85" i="3"/>
  <c r="G85" i="3" s="1"/>
  <c r="I82" i="3"/>
  <c r="E82" i="3"/>
  <c r="G82" i="3" s="1"/>
  <c r="I81" i="3"/>
  <c r="E81" i="3"/>
  <c r="G81" i="3" s="1"/>
  <c r="I80" i="3"/>
  <c r="G80" i="3"/>
  <c r="E80" i="3"/>
  <c r="E77" i="3"/>
  <c r="I77" i="3" s="1"/>
  <c r="E76" i="3"/>
  <c r="I76" i="3" s="1"/>
  <c r="I75" i="3"/>
  <c r="G75" i="3"/>
  <c r="E75" i="3"/>
  <c r="G73" i="3"/>
  <c r="E73" i="3"/>
  <c r="I73" i="3" s="1"/>
  <c r="E72" i="3"/>
  <c r="I72" i="3" s="1"/>
  <c r="I71" i="3"/>
  <c r="E71" i="3"/>
  <c r="G71" i="3" s="1"/>
  <c r="I69" i="3"/>
  <c r="E69" i="3"/>
  <c r="G69" i="3" s="1"/>
  <c r="I68" i="3"/>
  <c r="G68" i="3"/>
  <c r="E68" i="3"/>
  <c r="E67" i="3"/>
  <c r="I67" i="3" s="1"/>
  <c r="E65" i="3"/>
  <c r="I65" i="3" s="1"/>
  <c r="I64" i="3"/>
  <c r="G64" i="3"/>
  <c r="E64" i="3"/>
  <c r="G63" i="3"/>
  <c r="E63" i="3"/>
  <c r="I63" i="3" s="1"/>
  <c r="E61" i="3"/>
  <c r="G61" i="3" s="1"/>
  <c r="I60" i="3"/>
  <c r="E60" i="3"/>
  <c r="G60" i="3" s="1"/>
  <c r="I59" i="3"/>
  <c r="E59" i="3"/>
  <c r="G59" i="3" s="1"/>
  <c r="I57" i="3"/>
  <c r="G57" i="3"/>
  <c r="E57" i="3"/>
  <c r="E56" i="3"/>
  <c r="I56" i="3" s="1"/>
  <c r="E55" i="3"/>
  <c r="I55" i="3" s="1"/>
  <c r="I53" i="3"/>
  <c r="G53" i="3"/>
  <c r="E53" i="3"/>
  <c r="G52" i="3"/>
  <c r="E52" i="3"/>
  <c r="I52" i="3" s="1"/>
  <c r="E51" i="3"/>
  <c r="G51" i="3" s="1"/>
  <c r="I50" i="3"/>
  <c r="G50" i="3"/>
  <c r="E50" i="3"/>
  <c r="I49" i="3"/>
  <c r="E49" i="3"/>
  <c r="G49" i="3" s="1"/>
  <c r="I48" i="3"/>
  <c r="G48" i="3"/>
  <c r="E48" i="3"/>
  <c r="E47" i="3"/>
  <c r="I47" i="3" s="1"/>
  <c r="E46" i="3"/>
  <c r="I46" i="3" s="1"/>
  <c r="I45" i="3"/>
  <c r="G45" i="3"/>
  <c r="E45" i="3"/>
  <c r="E42" i="3"/>
  <c r="I42" i="3" s="1"/>
  <c r="E41" i="3"/>
  <c r="G41" i="3" s="1"/>
  <c r="I40" i="3"/>
  <c r="G40" i="3"/>
  <c r="E40" i="3"/>
  <c r="I39" i="3"/>
  <c r="G39" i="3"/>
  <c r="E39" i="3"/>
  <c r="I38" i="3"/>
  <c r="G38" i="3"/>
  <c r="E38" i="3"/>
  <c r="E37" i="3"/>
  <c r="I37" i="3" s="1"/>
  <c r="E34" i="3"/>
  <c r="I34" i="3" s="1"/>
  <c r="I33" i="3"/>
  <c r="G33" i="3"/>
  <c r="E32" i="3"/>
  <c r="I32" i="3" s="1"/>
  <c r="E31" i="3"/>
  <c r="I31" i="3" s="1"/>
  <c r="I30" i="3"/>
  <c r="G30" i="3"/>
  <c r="E30" i="3"/>
  <c r="E29" i="3"/>
  <c r="I29" i="3" s="1"/>
  <c r="E27" i="3"/>
  <c r="G27" i="3" s="1"/>
  <c r="I26" i="3"/>
  <c r="G26" i="3"/>
  <c r="E26" i="3"/>
  <c r="I25" i="3"/>
  <c r="G25" i="3"/>
  <c r="E25" i="3"/>
  <c r="I23" i="3"/>
  <c r="G23" i="3"/>
  <c r="E23" i="3"/>
  <c r="E22" i="3"/>
  <c r="I22" i="3" s="1"/>
  <c r="E21" i="3"/>
  <c r="I21" i="3" s="1"/>
  <c r="I19" i="3"/>
  <c r="G19" i="3"/>
  <c r="E19" i="3"/>
  <c r="E15" i="3"/>
  <c r="I15" i="3" s="1"/>
  <c r="E14" i="3"/>
  <c r="G14" i="3" s="1"/>
  <c r="I13" i="3"/>
  <c r="G13" i="3"/>
  <c r="E13" i="3"/>
  <c r="I12" i="3"/>
  <c r="G12" i="3"/>
  <c r="E12" i="3"/>
  <c r="I11" i="3"/>
  <c r="G11" i="3"/>
  <c r="E11" i="3"/>
  <c r="E10" i="3"/>
  <c r="I10" i="3" s="1"/>
  <c r="E9" i="3"/>
  <c r="I9" i="3" s="1"/>
  <c r="I8" i="3"/>
  <c r="G8" i="3"/>
  <c r="E8" i="3"/>
  <c r="E7" i="3"/>
  <c r="I7" i="3" s="1"/>
  <c r="E6" i="3"/>
  <c r="G6" i="3" s="1"/>
  <c r="I5" i="3"/>
  <c r="G5" i="3"/>
  <c r="E5" i="3"/>
  <c r="I4" i="3"/>
  <c r="G4" i="3"/>
  <c r="E4" i="3"/>
  <c r="I3" i="3"/>
  <c r="G3" i="3"/>
  <c r="E3" i="3"/>
  <c r="AD235" i="2"/>
  <c r="AD236" i="2" s="1"/>
  <c r="AG236" i="2" s="1"/>
  <c r="AD234" i="2"/>
  <c r="AG234" i="2" s="1"/>
  <c r="AD233" i="2"/>
  <c r="AG233" i="2" s="1"/>
  <c r="AD232" i="2"/>
  <c r="AG232" i="2" s="1"/>
  <c r="AD231" i="2"/>
  <c r="AG231" i="2" s="1"/>
  <c r="AD229" i="2"/>
  <c r="AD230" i="2" s="1"/>
  <c r="AG230" i="2" s="1"/>
  <c r="AD228" i="2"/>
  <c r="AG228" i="2" s="1"/>
  <c r="AD216" i="2"/>
  <c r="AD219" i="2" s="1"/>
  <c r="AG219" i="2" s="1"/>
  <c r="AG213" i="2"/>
  <c r="AI213" i="2" s="1"/>
  <c r="AD213" i="2"/>
  <c r="AD212" i="2"/>
  <c r="AD215" i="2" s="1"/>
  <c r="AD211" i="2"/>
  <c r="AG211" i="2" s="1"/>
  <c r="AG203" i="2"/>
  <c r="AK203" i="2" s="1"/>
  <c r="AG202" i="2"/>
  <c r="AK202" i="2" s="1"/>
  <c r="AG201" i="2"/>
  <c r="AI201" i="2" s="1"/>
  <c r="AJ200" i="2"/>
  <c r="AG200" i="2"/>
  <c r="AK200" i="2" s="1"/>
  <c r="AG192" i="2"/>
  <c r="AK192" i="2" s="1"/>
  <c r="AG191" i="2"/>
  <c r="AK191" i="2" s="1"/>
  <c r="AG190" i="2"/>
  <c r="AK190" i="2" s="1"/>
  <c r="AG189" i="2"/>
  <c r="AG194" i="2" s="1"/>
  <c r="AC181" i="2"/>
  <c r="AG179" i="2" s="1"/>
  <c r="AC180" i="2"/>
  <c r="AG178" i="2" s="1"/>
  <c r="AK178" i="2" s="1"/>
  <c r="AH179" i="2"/>
  <c r="AC179" i="2"/>
  <c r="AG177" i="2" s="1"/>
  <c r="Y175" i="2"/>
  <c r="AJ150" i="2"/>
  <c r="AJ149" i="2"/>
  <c r="AJ148" i="2"/>
  <c r="AJ147" i="2"/>
  <c r="AJ146" i="2"/>
  <c r="AJ145" i="2"/>
  <c r="AJ144" i="2"/>
  <c r="AJ143" i="2"/>
  <c r="AJ142" i="2"/>
  <c r="AJ141" i="2"/>
  <c r="AJ140" i="2"/>
  <c r="AG140" i="2"/>
  <c r="AJ131" i="2"/>
  <c r="AG131" i="2"/>
  <c r="AJ130" i="2"/>
  <c r="AG130" i="2"/>
  <c r="AJ129" i="2"/>
  <c r="AG129" i="2"/>
  <c r="AJ128" i="2"/>
  <c r="AG128" i="2"/>
  <c r="AJ127" i="2"/>
  <c r="AG127" i="2"/>
  <c r="AJ126" i="2"/>
  <c r="AG126" i="2"/>
  <c r="AJ125" i="2"/>
  <c r="AG125" i="2"/>
  <c r="AJ124" i="2"/>
  <c r="AG124" i="2"/>
  <c r="AC124" i="2"/>
  <c r="AJ123" i="2"/>
  <c r="AG123" i="2"/>
  <c r="AJ122" i="2"/>
  <c r="AG122" i="2"/>
  <c r="AJ121" i="2"/>
  <c r="AG121" i="2"/>
  <c r="AJ120" i="2"/>
  <c r="AG120" i="2"/>
  <c r="AJ119" i="2"/>
  <c r="AG119" i="2"/>
  <c r="AC119" i="2"/>
  <c r="AC120" i="2" s="1"/>
  <c r="AJ118" i="2"/>
  <c r="AG118" i="2"/>
  <c r="AJ117" i="2"/>
  <c r="AG117" i="2"/>
  <c r="AE100" i="2"/>
  <c r="AF100" i="2" s="1"/>
  <c r="AG100" i="2" s="1"/>
  <c r="AE99" i="2"/>
  <c r="AF99" i="2" s="1"/>
  <c r="AG99" i="2" s="1"/>
  <c r="AE98" i="2"/>
  <c r="AF98" i="2" s="1"/>
  <c r="AG98" i="2" s="1"/>
  <c r="AK98" i="2" s="1"/>
  <c r="AE97" i="2"/>
  <c r="AF97" i="2" s="1"/>
  <c r="AG97" i="2" s="1"/>
  <c r="AK97" i="2" s="1"/>
  <c r="AE96" i="2"/>
  <c r="AF96" i="2" s="1"/>
  <c r="AG96" i="2" s="1"/>
  <c r="AK96" i="2" s="1"/>
  <c r="AE95" i="2"/>
  <c r="AF95" i="2" s="1"/>
  <c r="AG95" i="2" s="1"/>
  <c r="AK95" i="2" s="1"/>
  <c r="AE94" i="2"/>
  <c r="AF94" i="2" s="1"/>
  <c r="AG94" i="2" s="1"/>
  <c r="AK94" i="2" s="1"/>
  <c r="AE93" i="2"/>
  <c r="AF93" i="2" s="1"/>
  <c r="AG93" i="2" s="1"/>
  <c r="AK93" i="2" s="1"/>
  <c r="AE92" i="2"/>
  <c r="AF92" i="2" s="1"/>
  <c r="AG92" i="2" s="1"/>
  <c r="AK92" i="2" s="1"/>
  <c r="AE91" i="2"/>
  <c r="AF91" i="2" s="1"/>
  <c r="AG91" i="2" s="1"/>
  <c r="AK91" i="2" s="1"/>
  <c r="AE90" i="2"/>
  <c r="AF90" i="2" s="1"/>
  <c r="AG90" i="2" s="1"/>
  <c r="AK90" i="2" s="1"/>
  <c r="AH89" i="2"/>
  <c r="AH90" i="2" s="1"/>
  <c r="AE89" i="2"/>
  <c r="AF89" i="2" s="1"/>
  <c r="AG89" i="2" s="1"/>
  <c r="AE88" i="2"/>
  <c r="AF88" i="2" s="1"/>
  <c r="AG88" i="2" s="1"/>
  <c r="AK88" i="2" s="1"/>
  <c r="AE87" i="2"/>
  <c r="AF87" i="2" s="1"/>
  <c r="AG87" i="2" s="1"/>
  <c r="AE86" i="2"/>
  <c r="AF86" i="2" s="1"/>
  <c r="AG86" i="2" s="1"/>
  <c r="AK86" i="2" s="1"/>
  <c r="AE85" i="2"/>
  <c r="AF85" i="2" s="1"/>
  <c r="AG85" i="2" s="1"/>
  <c r="AK85" i="2" s="1"/>
  <c r="AF84" i="2"/>
  <c r="AG84" i="2" s="1"/>
  <c r="AK84" i="2" s="1"/>
  <c r="AE84" i="2"/>
  <c r="AE83" i="2"/>
  <c r="AF83" i="2" s="1"/>
  <c r="AG83" i="2" s="1"/>
  <c r="AK83" i="2" s="1"/>
  <c r="AE82" i="2"/>
  <c r="AF82" i="2" s="1"/>
  <c r="AG82" i="2" s="1"/>
  <c r="AK82" i="2" s="1"/>
  <c r="AE81" i="2"/>
  <c r="AF81" i="2" s="1"/>
  <c r="AG81" i="2" s="1"/>
  <c r="AK81" i="2" s="1"/>
  <c r="AE80" i="2"/>
  <c r="AF80" i="2" s="1"/>
  <c r="AG80" i="2" s="1"/>
  <c r="AK80" i="2" s="1"/>
  <c r="AE79" i="2"/>
  <c r="AF79" i="2" s="1"/>
  <c r="AG79" i="2" s="1"/>
  <c r="AK79" i="2" s="1"/>
  <c r="AE78" i="2"/>
  <c r="AF78" i="2" s="1"/>
  <c r="AG78" i="2" s="1"/>
  <c r="AK78" i="2" s="1"/>
  <c r="AH77" i="2"/>
  <c r="AH78" i="2" s="1"/>
  <c r="AE77" i="2"/>
  <c r="AF77" i="2" s="1"/>
  <c r="AG77" i="2" s="1"/>
  <c r="AK77" i="2" s="1"/>
  <c r="AE76" i="2"/>
  <c r="AF76" i="2" s="1"/>
  <c r="AG76" i="2" s="1"/>
  <c r="G76" i="2"/>
  <c r="I76" i="2" s="1"/>
  <c r="K76" i="2" s="1"/>
  <c r="L76" i="2" s="1"/>
  <c r="H75" i="2"/>
  <c r="I75" i="2" s="1"/>
  <c r="K75" i="2" s="1"/>
  <c r="L75" i="2" s="1"/>
  <c r="G74" i="2"/>
  <c r="I74" i="2" s="1"/>
  <c r="K74" i="2" s="1"/>
  <c r="L74" i="2" s="1"/>
  <c r="P74" i="2" s="1"/>
  <c r="G70" i="2"/>
  <c r="I70" i="2" s="1"/>
  <c r="K70" i="2" s="1"/>
  <c r="L70" i="2" s="1"/>
  <c r="P70" i="2" s="1"/>
  <c r="H69" i="2"/>
  <c r="I69" i="2" s="1"/>
  <c r="K69" i="2" s="1"/>
  <c r="L69" i="2" s="1"/>
  <c r="I68" i="2"/>
  <c r="K68" i="2" s="1"/>
  <c r="L68" i="2" s="1"/>
  <c r="AE66" i="2"/>
  <c r="AF66" i="2" s="1"/>
  <c r="AG66" i="2" s="1"/>
  <c r="AK66" i="2" s="1"/>
  <c r="AE65" i="2"/>
  <c r="AF65" i="2" s="1"/>
  <c r="AG65" i="2" s="1"/>
  <c r="AK65" i="2" s="1"/>
  <c r="AE64" i="2"/>
  <c r="AF64" i="2" s="1"/>
  <c r="AG64" i="2" s="1"/>
  <c r="AK64" i="2" s="1"/>
  <c r="H64" i="2"/>
  <c r="G64" i="2"/>
  <c r="AE63" i="2"/>
  <c r="AF63" i="2" s="1"/>
  <c r="AG63" i="2" s="1"/>
  <c r="AK63" i="2" s="1"/>
  <c r="H63" i="2"/>
  <c r="I63" i="2" s="1"/>
  <c r="K63" i="2" s="1"/>
  <c r="L63" i="2" s="1"/>
  <c r="AF62" i="2"/>
  <c r="AG62" i="2" s="1"/>
  <c r="AK62" i="2" s="1"/>
  <c r="AE62" i="2"/>
  <c r="G62" i="2"/>
  <c r="I62" i="2" s="1"/>
  <c r="K62" i="2" s="1"/>
  <c r="L62" i="2" s="1"/>
  <c r="AE61" i="2"/>
  <c r="AF61" i="2" s="1"/>
  <c r="AG61" i="2" s="1"/>
  <c r="AK61" i="2" s="1"/>
  <c r="AE60" i="2"/>
  <c r="AF60" i="2" s="1"/>
  <c r="AG60" i="2" s="1"/>
  <c r="AK60" i="2" s="1"/>
  <c r="AE59" i="2"/>
  <c r="AF59" i="2" s="1"/>
  <c r="AG59" i="2" s="1"/>
  <c r="AK59" i="2" s="1"/>
  <c r="AH58" i="2"/>
  <c r="AE58" i="2"/>
  <c r="AF58" i="2" s="1"/>
  <c r="AG58" i="2" s="1"/>
  <c r="AK58" i="2" s="1"/>
  <c r="O58" i="2"/>
  <c r="H58" i="2"/>
  <c r="G58" i="2"/>
  <c r="I58" i="2" s="1"/>
  <c r="K58" i="2" s="1"/>
  <c r="L58" i="2" s="1"/>
  <c r="AS57" i="2"/>
  <c r="AH57" i="2"/>
  <c r="AF57" i="2"/>
  <c r="AG57" i="2" s="1"/>
  <c r="AK57" i="2" s="1"/>
  <c r="AE57" i="2"/>
  <c r="O57" i="2"/>
  <c r="P57" i="2" s="1"/>
  <c r="I57" i="2"/>
  <c r="K57" i="2" s="1"/>
  <c r="L57" i="2" s="1"/>
  <c r="N57" i="2" s="1"/>
  <c r="AE56" i="2"/>
  <c r="AF56" i="2" s="1"/>
  <c r="AG56" i="2" s="1"/>
  <c r="AI56" i="2" s="1"/>
  <c r="O56" i="2"/>
  <c r="I56" i="2"/>
  <c r="K56" i="2" s="1"/>
  <c r="L56" i="2" s="1"/>
  <c r="N56" i="2" s="1"/>
  <c r="H52" i="2"/>
  <c r="G52" i="2"/>
  <c r="H51" i="2"/>
  <c r="G51" i="2"/>
  <c r="I51" i="2" s="1"/>
  <c r="K51" i="2" s="1"/>
  <c r="L51" i="2" s="1"/>
  <c r="AP50" i="2"/>
  <c r="G50" i="2"/>
  <c r="I50" i="2" s="1"/>
  <c r="K50" i="2" s="1"/>
  <c r="L50" i="2" s="1"/>
  <c r="P50" i="2" s="1"/>
  <c r="AP49" i="2"/>
  <c r="G47" i="2"/>
  <c r="I47" i="2" s="1"/>
  <c r="L48" i="2" s="1"/>
  <c r="AP46" i="2"/>
  <c r="G46" i="2"/>
  <c r="I46" i="2" s="1"/>
  <c r="L47" i="2" s="1"/>
  <c r="AP45" i="2"/>
  <c r="I45" i="2"/>
  <c r="L45" i="2" s="1"/>
  <c r="N45" i="2" s="1"/>
  <c r="G45" i="2"/>
  <c r="AP44" i="2"/>
  <c r="AJ44" i="2"/>
  <c r="AE44" i="2"/>
  <c r="AF44" i="2" s="1"/>
  <c r="AG44" i="2" s="1"/>
  <c r="AP43" i="2"/>
  <c r="AJ43" i="2"/>
  <c r="AE43" i="2"/>
  <c r="AF43" i="2" s="1"/>
  <c r="AG43" i="2" s="1"/>
  <c r="I43" i="2"/>
  <c r="L43" i="2" s="1"/>
  <c r="G43" i="2"/>
  <c r="AP42" i="2"/>
  <c r="AJ42" i="2"/>
  <c r="AE42" i="2"/>
  <c r="AF42" i="2" s="1"/>
  <c r="AG42" i="2" s="1"/>
  <c r="O42" i="2"/>
  <c r="M42" i="2"/>
  <c r="I42" i="2"/>
  <c r="L42" i="2" s="1"/>
  <c r="N42" i="2" s="1"/>
  <c r="G42" i="2"/>
  <c r="AP41" i="2"/>
  <c r="AJ41" i="2"/>
  <c r="AE41" i="2"/>
  <c r="AF41" i="2" s="1"/>
  <c r="AG41" i="2" s="1"/>
  <c r="L41" i="2"/>
  <c r="P41" i="2" s="1"/>
  <c r="K41" i="2"/>
  <c r="AP40" i="2"/>
  <c r="AJ40" i="2"/>
  <c r="AE40" i="2"/>
  <c r="AF40" i="2" s="1"/>
  <c r="AG40" i="2" s="1"/>
  <c r="AI40" i="2" s="1"/>
  <c r="K40" i="2"/>
  <c r="L40" i="2" s="1"/>
  <c r="AP39" i="2"/>
  <c r="AJ39" i="2"/>
  <c r="AF39" i="2"/>
  <c r="AG39" i="2" s="1"/>
  <c r="AE39" i="2"/>
  <c r="K39" i="2"/>
  <c r="L39" i="2" s="1"/>
  <c r="P39" i="2" s="1"/>
  <c r="AP38" i="2"/>
  <c r="AJ38" i="2"/>
  <c r="AF38" i="2"/>
  <c r="AG38" i="2" s="1"/>
  <c r="AI38" i="2" s="1"/>
  <c r="AE38" i="2"/>
  <c r="O38" i="2"/>
  <c r="M38" i="2"/>
  <c r="K38" i="2"/>
  <c r="L38" i="2" s="1"/>
  <c r="P38" i="2" s="1"/>
  <c r="AP37" i="2"/>
  <c r="AJ37" i="2"/>
  <c r="AH37" i="2"/>
  <c r="AH38" i="2" s="1"/>
  <c r="AH39" i="2" s="1"/>
  <c r="AH40" i="2" s="1"/>
  <c r="AH41" i="2" s="1"/>
  <c r="AH42" i="2" s="1"/>
  <c r="AH43" i="2" s="1"/>
  <c r="AH44" i="2" s="1"/>
  <c r="AE37" i="2"/>
  <c r="AF37" i="2" s="1"/>
  <c r="AG37" i="2" s="1"/>
  <c r="AK37" i="2" s="1"/>
  <c r="AP36" i="2"/>
  <c r="AJ36" i="2"/>
  <c r="AE36" i="2"/>
  <c r="AF36" i="2" s="1"/>
  <c r="AG36" i="2" s="1"/>
  <c r="I36" i="2"/>
  <c r="K36" i="2" s="1"/>
  <c r="L36" i="2" s="1"/>
  <c r="N36" i="2" s="1"/>
  <c r="AP35" i="2"/>
  <c r="AJ35" i="2"/>
  <c r="AE35" i="2"/>
  <c r="AF35" i="2" s="1"/>
  <c r="AG35" i="2" s="1"/>
  <c r="AK35" i="2" s="1"/>
  <c r="AP34" i="2"/>
  <c r="AJ34" i="2"/>
  <c r="AF34" i="2"/>
  <c r="AG34" i="2" s="1"/>
  <c r="AE34" i="2"/>
  <c r="AP33" i="2"/>
  <c r="AJ33" i="2"/>
  <c r="AE33" i="2"/>
  <c r="AF33" i="2" s="1"/>
  <c r="AG33" i="2" s="1"/>
  <c r="AK33" i="2" s="1"/>
  <c r="AP32" i="2"/>
  <c r="AJ32" i="2"/>
  <c r="AE32" i="2"/>
  <c r="AF32" i="2" s="1"/>
  <c r="AG32" i="2" s="1"/>
  <c r="AK32" i="2" s="1"/>
  <c r="AP31" i="2"/>
  <c r="AJ31" i="2"/>
  <c r="AE31" i="2"/>
  <c r="AF31" i="2" s="1"/>
  <c r="AG31" i="2" s="1"/>
  <c r="AP30" i="2"/>
  <c r="AJ30" i="2"/>
  <c r="AF30" i="2"/>
  <c r="AG30" i="2" s="1"/>
  <c r="AE30" i="2"/>
  <c r="AP29" i="2"/>
  <c r="AJ29" i="2"/>
  <c r="AE29" i="2"/>
  <c r="AF29" i="2" s="1"/>
  <c r="AG29" i="2" s="1"/>
  <c r="AK29" i="2" s="1"/>
  <c r="AP28" i="2"/>
  <c r="AH28" i="2"/>
  <c r="AH29" i="2" s="1"/>
  <c r="AH30" i="2" s="1"/>
  <c r="AH31" i="2" s="1"/>
  <c r="AH32" i="2" s="1"/>
  <c r="AH33" i="2" s="1"/>
  <c r="AH34" i="2" s="1"/>
  <c r="AE28" i="2"/>
  <c r="AF28" i="2" s="1"/>
  <c r="AG28" i="2" s="1"/>
  <c r="AK28" i="2" s="1"/>
  <c r="AE27" i="2"/>
  <c r="AF27" i="2" s="1"/>
  <c r="AG27" i="2" s="1"/>
  <c r="U27" i="2"/>
  <c r="L27" i="2"/>
  <c r="U26" i="2"/>
  <c r="U25" i="2"/>
  <c r="O25" i="2"/>
  <c r="M25" i="2"/>
  <c r="K25" i="2"/>
  <c r="L25" i="2" s="1"/>
  <c r="N25" i="2" s="1"/>
  <c r="O24" i="2"/>
  <c r="K24" i="2"/>
  <c r="L24" i="2" s="1"/>
  <c r="P24" i="2" s="1"/>
  <c r="L23" i="2"/>
  <c r="P23" i="2" s="1"/>
  <c r="K23" i="2"/>
  <c r="O22" i="2"/>
  <c r="H22" i="2"/>
  <c r="I22" i="2" s="1"/>
  <c r="K22" i="2" s="1"/>
  <c r="L22" i="2" s="1"/>
  <c r="AP21" i="2"/>
  <c r="O21" i="2"/>
  <c r="I21" i="2"/>
  <c r="K21" i="2" s="1"/>
  <c r="L21" i="2" s="1"/>
  <c r="H21" i="2"/>
  <c r="O20" i="2"/>
  <c r="I20" i="2"/>
  <c r="K20" i="2" s="1"/>
  <c r="L20" i="2" s="1"/>
  <c r="N20" i="2" s="1"/>
  <c r="O19" i="2"/>
  <c r="M19" i="2"/>
  <c r="K19" i="2"/>
  <c r="L19" i="2" s="1"/>
  <c r="N19" i="2" s="1"/>
  <c r="O18" i="2"/>
  <c r="M18" i="2"/>
  <c r="K18" i="2"/>
  <c r="L18" i="2" s="1"/>
  <c r="AE17" i="2"/>
  <c r="AF17" i="2" s="1"/>
  <c r="AG17" i="2" s="1"/>
  <c r="AE16" i="2"/>
  <c r="AF16" i="2" s="1"/>
  <c r="AG16" i="2" s="1"/>
  <c r="H16" i="2"/>
  <c r="K16" i="2" s="1"/>
  <c r="L16" i="2" s="1"/>
  <c r="P16" i="2" s="1"/>
  <c r="AJ15" i="2"/>
  <c r="AF15" i="2"/>
  <c r="AG15" i="2" s="1"/>
  <c r="AE15" i="2"/>
  <c r="H15" i="2"/>
  <c r="K15" i="2" s="1"/>
  <c r="L15" i="2" s="1"/>
  <c r="AJ14" i="2"/>
  <c r="AE14" i="2"/>
  <c r="AF14" i="2" s="1"/>
  <c r="AG14" i="2" s="1"/>
  <c r="N14" i="2"/>
  <c r="H14" i="2"/>
  <c r="K14" i="2" s="1"/>
  <c r="L14" i="2" s="1"/>
  <c r="P14" i="2" s="1"/>
  <c r="AJ13" i="2"/>
  <c r="AE13" i="2"/>
  <c r="AF13" i="2" s="1"/>
  <c r="AG13" i="2" s="1"/>
  <c r="H13" i="2"/>
  <c r="K13" i="2" s="1"/>
  <c r="L13" i="2" s="1"/>
  <c r="AJ12" i="2"/>
  <c r="AF12" i="2"/>
  <c r="AG12" i="2" s="1"/>
  <c r="AE12" i="2"/>
  <c r="H12" i="2"/>
  <c r="K12" i="2" s="1"/>
  <c r="L12" i="2" s="1"/>
  <c r="P12" i="2" s="1"/>
  <c r="AJ11" i="2"/>
  <c r="AE11" i="2"/>
  <c r="AF11" i="2" s="1"/>
  <c r="AG11" i="2" s="1"/>
  <c r="G11" i="2"/>
  <c r="I11" i="2" s="1"/>
  <c r="K11" i="2" s="1"/>
  <c r="L11" i="2" s="1"/>
  <c r="AJ10" i="2"/>
  <c r="AE10" i="2"/>
  <c r="AF10" i="2" s="1"/>
  <c r="AG10" i="2" s="1"/>
  <c r="AJ9" i="2"/>
  <c r="AE9" i="2"/>
  <c r="AF9" i="2" s="1"/>
  <c r="AG9" i="2" s="1"/>
  <c r="AK9" i="2" s="1"/>
  <c r="I9" i="2"/>
  <c r="K9" i="2" s="1"/>
  <c r="AJ8" i="2"/>
  <c r="AE8" i="2"/>
  <c r="AF8" i="2" s="1"/>
  <c r="AG8" i="2" s="1"/>
  <c r="AK8" i="2" s="1"/>
  <c r="G8" i="2"/>
  <c r="I8" i="2" s="1"/>
  <c r="K8" i="2" s="1"/>
  <c r="AJ7" i="2"/>
  <c r="AH7" i="2"/>
  <c r="AH8" i="2" s="1"/>
  <c r="AH9" i="2" s="1"/>
  <c r="AH10" i="2" s="1"/>
  <c r="AH11" i="2" s="1"/>
  <c r="AH12" i="2" s="1"/>
  <c r="AH13" i="2" s="1"/>
  <c r="AH14" i="2" s="1"/>
  <c r="AH15" i="2" s="1"/>
  <c r="AH16" i="2" s="1"/>
  <c r="AE7" i="2"/>
  <c r="AF7" i="2" s="1"/>
  <c r="AG7" i="2" s="1"/>
  <c r="K7" i="2"/>
  <c r="G7" i="2"/>
  <c r="I7" i="2" s="1"/>
  <c r="AH6" i="2"/>
  <c r="AE6" i="2"/>
  <c r="AF6" i="2" s="1"/>
  <c r="AG6" i="2" s="1"/>
  <c r="AE5" i="2"/>
  <c r="AF5" i="2" s="1"/>
  <c r="AG5" i="2" s="1"/>
  <c r="AK5" i="2" s="1"/>
  <c r="G5" i="2"/>
  <c r="I5" i="2" s="1"/>
  <c r="K5" i="2" s="1"/>
  <c r="G4" i="2"/>
  <c r="I4" i="2" s="1"/>
  <c r="K4" i="2" s="1"/>
  <c r="G3" i="2"/>
  <c r="I3" i="2" s="1"/>
  <c r="K3" i="2" s="1"/>
  <c r="G2" i="2"/>
  <c r="I2" i="2" s="1"/>
  <c r="I308" i="1"/>
  <c r="D308" i="1"/>
  <c r="F308" i="1" s="1"/>
  <c r="I307" i="1"/>
  <c r="D307" i="1"/>
  <c r="F307" i="1" s="1"/>
  <c r="I306" i="1"/>
  <c r="D306" i="1"/>
  <c r="F306" i="1" s="1"/>
  <c r="I305" i="1"/>
  <c r="D305" i="1"/>
  <c r="F305" i="1" s="1"/>
  <c r="I304" i="1"/>
  <c r="D304" i="1"/>
  <c r="F304" i="1" s="1"/>
  <c r="I303" i="1"/>
  <c r="D303" i="1"/>
  <c r="F303" i="1" s="1"/>
  <c r="I302" i="1"/>
  <c r="D302" i="1"/>
  <c r="F302" i="1" s="1"/>
  <c r="I301" i="1"/>
  <c r="D301" i="1"/>
  <c r="F301" i="1" s="1"/>
  <c r="I300" i="1"/>
  <c r="D300" i="1"/>
  <c r="F300" i="1" s="1"/>
  <c r="I299" i="1"/>
  <c r="D299" i="1"/>
  <c r="F299" i="1" s="1"/>
  <c r="I298" i="1"/>
  <c r="D298" i="1"/>
  <c r="F298" i="1" s="1"/>
  <c r="I297" i="1"/>
  <c r="D297" i="1"/>
  <c r="F297" i="1" s="1"/>
  <c r="I296" i="1"/>
  <c r="D296" i="1"/>
  <c r="F296" i="1" s="1"/>
  <c r="I295" i="1"/>
  <c r="D295" i="1"/>
  <c r="F295" i="1" s="1"/>
  <c r="I294" i="1"/>
  <c r="D294" i="1"/>
  <c r="F294" i="1" s="1"/>
  <c r="I293" i="1"/>
  <c r="D293" i="1"/>
  <c r="F293" i="1" s="1"/>
  <c r="I292" i="1"/>
  <c r="D292" i="1"/>
  <c r="F292" i="1" s="1"/>
  <c r="I291" i="1"/>
  <c r="D291" i="1"/>
  <c r="F291" i="1" s="1"/>
  <c r="I290" i="1"/>
  <c r="D290" i="1"/>
  <c r="F290" i="1" s="1"/>
  <c r="I289" i="1"/>
  <c r="D289" i="1"/>
  <c r="F289" i="1" s="1"/>
  <c r="I288" i="1"/>
  <c r="D288" i="1"/>
  <c r="F288" i="1" s="1"/>
  <c r="I287" i="1"/>
  <c r="D287" i="1"/>
  <c r="F287" i="1" s="1"/>
  <c r="I286" i="1"/>
  <c r="D286" i="1"/>
  <c r="F286" i="1" s="1"/>
  <c r="I285" i="1"/>
  <c r="D285" i="1"/>
  <c r="F285" i="1" s="1"/>
  <c r="I284" i="1"/>
  <c r="D284" i="1"/>
  <c r="F284" i="1" s="1"/>
  <c r="I283" i="1"/>
  <c r="D283" i="1"/>
  <c r="F283" i="1" s="1"/>
  <c r="I282" i="1"/>
  <c r="D282" i="1"/>
  <c r="F282" i="1" s="1"/>
  <c r="I281" i="1"/>
  <c r="D281" i="1"/>
  <c r="F281" i="1" s="1"/>
  <c r="I280" i="1"/>
  <c r="D280" i="1"/>
  <c r="F280" i="1" s="1"/>
  <c r="I279" i="1"/>
  <c r="D279" i="1"/>
  <c r="F279" i="1" s="1"/>
  <c r="I278" i="1"/>
  <c r="D278" i="1"/>
  <c r="F278" i="1" s="1"/>
  <c r="I277" i="1"/>
  <c r="D277" i="1"/>
  <c r="F277" i="1" s="1"/>
  <c r="I276" i="1"/>
  <c r="D276" i="1"/>
  <c r="F276" i="1" s="1"/>
  <c r="I275" i="1"/>
  <c r="D275" i="1"/>
  <c r="F275" i="1" s="1"/>
  <c r="I274" i="1"/>
  <c r="D274" i="1"/>
  <c r="F274" i="1" s="1"/>
  <c r="I273" i="1"/>
  <c r="D273" i="1"/>
  <c r="F273" i="1" s="1"/>
  <c r="I272" i="1"/>
  <c r="D272" i="1"/>
  <c r="F272" i="1" s="1"/>
  <c r="I271" i="1"/>
  <c r="D271" i="1"/>
  <c r="F271" i="1" s="1"/>
  <c r="I270" i="1"/>
  <c r="D270" i="1"/>
  <c r="F270" i="1" s="1"/>
  <c r="I269" i="1"/>
  <c r="D269" i="1"/>
  <c r="F269" i="1" s="1"/>
  <c r="I268" i="1"/>
  <c r="D268" i="1"/>
  <c r="F268" i="1" s="1"/>
  <c r="I267" i="1"/>
  <c r="D267" i="1"/>
  <c r="F267" i="1" s="1"/>
  <c r="I266" i="1"/>
  <c r="D266" i="1"/>
  <c r="F266" i="1" s="1"/>
  <c r="I265" i="1"/>
  <c r="D265" i="1"/>
  <c r="F265" i="1" s="1"/>
  <c r="I264" i="1"/>
  <c r="D264" i="1"/>
  <c r="F264" i="1" s="1"/>
  <c r="I263" i="1"/>
  <c r="D263" i="1"/>
  <c r="F263" i="1" s="1"/>
  <c r="I262" i="1"/>
  <c r="D262" i="1"/>
  <c r="F262" i="1" s="1"/>
  <c r="I261" i="1"/>
  <c r="D261" i="1"/>
  <c r="F261" i="1" s="1"/>
  <c r="I260" i="1"/>
  <c r="D260" i="1"/>
  <c r="F260" i="1" s="1"/>
  <c r="I259" i="1"/>
  <c r="D259" i="1"/>
  <c r="F259" i="1" s="1"/>
  <c r="I258" i="1"/>
  <c r="D258" i="1"/>
  <c r="F258" i="1" s="1"/>
  <c r="I257" i="1"/>
  <c r="D257" i="1"/>
  <c r="F257" i="1" s="1"/>
  <c r="I256" i="1"/>
  <c r="D256" i="1"/>
  <c r="F256" i="1" s="1"/>
  <c r="I255" i="1"/>
  <c r="D255" i="1"/>
  <c r="F255" i="1" s="1"/>
  <c r="I254" i="1"/>
  <c r="D254" i="1"/>
  <c r="F254" i="1" s="1"/>
  <c r="I253" i="1"/>
  <c r="D253" i="1"/>
  <c r="F253" i="1" s="1"/>
  <c r="I252" i="1"/>
  <c r="D252" i="1"/>
  <c r="F252" i="1" s="1"/>
  <c r="I251" i="1"/>
  <c r="D251" i="1"/>
  <c r="F251" i="1" s="1"/>
  <c r="I250" i="1"/>
  <c r="D250" i="1"/>
  <c r="F250" i="1" s="1"/>
  <c r="I249" i="1"/>
  <c r="D249" i="1"/>
  <c r="F249" i="1" s="1"/>
  <c r="I248" i="1"/>
  <c r="D248" i="1"/>
  <c r="F248" i="1" s="1"/>
  <c r="I247" i="1"/>
  <c r="D247" i="1"/>
  <c r="F247" i="1" s="1"/>
  <c r="I246" i="1"/>
  <c r="D246" i="1"/>
  <c r="F246" i="1" s="1"/>
  <c r="I245" i="1"/>
  <c r="D245" i="1"/>
  <c r="F245" i="1" s="1"/>
  <c r="I244" i="1"/>
  <c r="D244" i="1"/>
  <c r="F244" i="1" s="1"/>
  <c r="I243" i="1"/>
  <c r="D243" i="1"/>
  <c r="F243" i="1" s="1"/>
  <c r="I242" i="1"/>
  <c r="D242" i="1"/>
  <c r="F242" i="1" s="1"/>
  <c r="I241" i="1"/>
  <c r="D241" i="1"/>
  <c r="F241" i="1" s="1"/>
  <c r="I240" i="1"/>
  <c r="D240" i="1"/>
  <c r="F240" i="1" s="1"/>
  <c r="I239" i="1"/>
  <c r="D239" i="1"/>
  <c r="F239" i="1" s="1"/>
  <c r="I238" i="1"/>
  <c r="D238" i="1"/>
  <c r="F238" i="1" s="1"/>
  <c r="I237" i="1"/>
  <c r="D237" i="1"/>
  <c r="F237" i="1" s="1"/>
  <c r="I236" i="1"/>
  <c r="D236" i="1"/>
  <c r="F236" i="1" s="1"/>
  <c r="I235" i="1"/>
  <c r="G235" i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D235" i="1"/>
  <c r="F235" i="1" s="1"/>
  <c r="I234" i="1"/>
  <c r="D234" i="1"/>
  <c r="F234" i="1" s="1"/>
  <c r="H234" i="1" s="1"/>
  <c r="F212" i="1"/>
  <c r="J212" i="1" s="1"/>
  <c r="F211" i="1"/>
  <c r="F209" i="1"/>
  <c r="J209" i="1" s="1"/>
  <c r="F208" i="1"/>
  <c r="J208" i="1" s="1"/>
  <c r="F207" i="1"/>
  <c r="J207" i="1" s="1"/>
  <c r="F206" i="1"/>
  <c r="H206" i="1" s="1"/>
  <c r="F204" i="1"/>
  <c r="J204" i="1" s="1"/>
  <c r="F203" i="1"/>
  <c r="J203" i="1" s="1"/>
  <c r="F202" i="1"/>
  <c r="J202" i="1" s="1"/>
  <c r="F201" i="1"/>
  <c r="J201" i="1" s="1"/>
  <c r="F200" i="1"/>
  <c r="J200" i="1" s="1"/>
  <c r="F199" i="1"/>
  <c r="J199" i="1" s="1"/>
  <c r="G198" i="1"/>
  <c r="G199" i="1" s="1"/>
  <c r="F198" i="1"/>
  <c r="F197" i="1"/>
  <c r="H197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G143" i="1"/>
  <c r="G144" i="1" s="1"/>
  <c r="F143" i="1"/>
  <c r="J143" i="1" s="1"/>
  <c r="F142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G85" i="1"/>
  <c r="G86" i="1" s="1"/>
  <c r="G87" i="1" s="1"/>
  <c r="G88" i="1" s="1"/>
  <c r="F85" i="1"/>
  <c r="I84" i="1"/>
  <c r="F84" i="1"/>
  <c r="H84" i="1" s="1"/>
  <c r="I60" i="1"/>
  <c r="D60" i="1"/>
  <c r="F60" i="1" s="1"/>
  <c r="I59" i="1"/>
  <c r="D59" i="1"/>
  <c r="F59" i="1" s="1"/>
  <c r="I58" i="1"/>
  <c r="D58" i="1"/>
  <c r="F58" i="1" s="1"/>
  <c r="I57" i="1"/>
  <c r="D57" i="1"/>
  <c r="F57" i="1" s="1"/>
  <c r="I56" i="1"/>
  <c r="D56" i="1"/>
  <c r="F56" i="1" s="1"/>
  <c r="I55" i="1"/>
  <c r="D55" i="1"/>
  <c r="F55" i="1" s="1"/>
  <c r="I54" i="1"/>
  <c r="D54" i="1"/>
  <c r="F54" i="1" s="1"/>
  <c r="I53" i="1"/>
  <c r="D53" i="1"/>
  <c r="F53" i="1" s="1"/>
  <c r="I52" i="1"/>
  <c r="D52" i="1"/>
  <c r="F52" i="1" s="1"/>
  <c r="J52" i="1" s="1"/>
  <c r="I51" i="1"/>
  <c r="D51" i="1"/>
  <c r="F51" i="1" s="1"/>
  <c r="I50" i="1"/>
  <c r="D50" i="1"/>
  <c r="F50" i="1" s="1"/>
  <c r="I49" i="1"/>
  <c r="D49" i="1"/>
  <c r="F49" i="1" s="1"/>
  <c r="I48" i="1"/>
  <c r="D48" i="1"/>
  <c r="F48" i="1" s="1"/>
  <c r="J48" i="1" s="1"/>
  <c r="I47" i="1"/>
  <c r="D47" i="1"/>
  <c r="F47" i="1" s="1"/>
  <c r="J47" i="1" s="1"/>
  <c r="I46" i="1"/>
  <c r="D46" i="1"/>
  <c r="F46" i="1" s="1"/>
  <c r="I45" i="1"/>
  <c r="D45" i="1"/>
  <c r="F45" i="1" s="1"/>
  <c r="I44" i="1"/>
  <c r="D44" i="1"/>
  <c r="F44" i="1" s="1"/>
  <c r="I43" i="1"/>
  <c r="D43" i="1"/>
  <c r="F43" i="1" s="1"/>
  <c r="I42" i="1"/>
  <c r="D42" i="1"/>
  <c r="F42" i="1" s="1"/>
  <c r="I41" i="1"/>
  <c r="D41" i="1"/>
  <c r="F41" i="1" s="1"/>
  <c r="I40" i="1"/>
  <c r="D40" i="1"/>
  <c r="F40" i="1" s="1"/>
  <c r="I39" i="1"/>
  <c r="D39" i="1"/>
  <c r="F39" i="1" s="1"/>
  <c r="I38" i="1"/>
  <c r="D38" i="1"/>
  <c r="F38" i="1" s="1"/>
  <c r="I37" i="1"/>
  <c r="D37" i="1"/>
  <c r="F37" i="1" s="1"/>
  <c r="I36" i="1"/>
  <c r="D36" i="1"/>
  <c r="F36" i="1" s="1"/>
  <c r="I35" i="1"/>
  <c r="D35" i="1"/>
  <c r="F35" i="1" s="1"/>
  <c r="I34" i="1"/>
  <c r="D34" i="1"/>
  <c r="F34" i="1" s="1"/>
  <c r="I33" i="1"/>
  <c r="D33" i="1"/>
  <c r="F33" i="1" s="1"/>
  <c r="J33" i="1" s="1"/>
  <c r="I32" i="1"/>
  <c r="D32" i="1"/>
  <c r="F32" i="1" s="1"/>
  <c r="J32" i="1" s="1"/>
  <c r="I31" i="1"/>
  <c r="D31" i="1"/>
  <c r="F31" i="1" s="1"/>
  <c r="I30" i="1"/>
  <c r="D30" i="1"/>
  <c r="F30" i="1" s="1"/>
  <c r="I29" i="1"/>
  <c r="D29" i="1"/>
  <c r="F29" i="1" s="1"/>
  <c r="J29" i="1" s="1"/>
  <c r="I28" i="1"/>
  <c r="D28" i="1"/>
  <c r="F28" i="1" s="1"/>
  <c r="I27" i="1"/>
  <c r="D27" i="1"/>
  <c r="F27" i="1" s="1"/>
  <c r="J27" i="1" s="1"/>
  <c r="I26" i="1"/>
  <c r="D26" i="1"/>
  <c r="F26" i="1" s="1"/>
  <c r="I25" i="1"/>
  <c r="D25" i="1"/>
  <c r="F25" i="1" s="1"/>
  <c r="J25" i="1" s="1"/>
  <c r="I24" i="1"/>
  <c r="D24" i="1"/>
  <c r="F24" i="1" s="1"/>
  <c r="I23" i="1"/>
  <c r="D23" i="1"/>
  <c r="F23" i="1" s="1"/>
  <c r="I22" i="1"/>
  <c r="D22" i="1"/>
  <c r="F22" i="1" s="1"/>
  <c r="I21" i="1"/>
  <c r="D21" i="1"/>
  <c r="F21" i="1" s="1"/>
  <c r="I20" i="1"/>
  <c r="D20" i="1"/>
  <c r="F20" i="1" s="1"/>
  <c r="I19" i="1"/>
  <c r="D19" i="1"/>
  <c r="F19" i="1" s="1"/>
  <c r="I18" i="1"/>
  <c r="D18" i="1"/>
  <c r="F18" i="1" s="1"/>
  <c r="I17" i="1"/>
  <c r="D17" i="1"/>
  <c r="F17" i="1" s="1"/>
  <c r="I16" i="1"/>
  <c r="D16" i="1"/>
  <c r="F16" i="1" s="1"/>
  <c r="J16" i="1" s="1"/>
  <c r="I15" i="1"/>
  <c r="D15" i="1"/>
  <c r="F15" i="1" s="1"/>
  <c r="I14" i="1"/>
  <c r="D14" i="1"/>
  <c r="F14" i="1" s="1"/>
  <c r="I13" i="1"/>
  <c r="D13" i="1"/>
  <c r="F13" i="1" s="1"/>
  <c r="I12" i="1"/>
  <c r="D12" i="1"/>
  <c r="F12" i="1" s="1"/>
  <c r="I11" i="1"/>
  <c r="D11" i="1"/>
  <c r="F11" i="1" s="1"/>
  <c r="I10" i="1"/>
  <c r="D10" i="1"/>
  <c r="F10" i="1" s="1"/>
  <c r="O9" i="1"/>
  <c r="O10" i="1" s="1"/>
  <c r="I9" i="1"/>
  <c r="D9" i="1"/>
  <c r="F9" i="1" s="1"/>
  <c r="I8" i="1"/>
  <c r="D8" i="1"/>
  <c r="F8" i="1" s="1"/>
  <c r="I7" i="1"/>
  <c r="D7" i="1"/>
  <c r="F7" i="1" s="1"/>
  <c r="I6" i="1"/>
  <c r="D6" i="1"/>
  <c r="F6" i="1" s="1"/>
  <c r="I5" i="1"/>
  <c r="G5" i="1"/>
  <c r="G6" i="1" s="1"/>
  <c r="G7" i="1" s="1"/>
  <c r="G8" i="1" s="1"/>
  <c r="G9" i="1" s="1"/>
  <c r="G10" i="1" s="1"/>
  <c r="G11" i="1" s="1"/>
  <c r="G12" i="1" s="1"/>
  <c r="G13" i="1" s="1"/>
  <c r="G14" i="1" s="1"/>
  <c r="D5" i="1"/>
  <c r="F5" i="1" s="1"/>
  <c r="J5" i="1" s="1"/>
  <c r="I4" i="1"/>
  <c r="D4" i="1"/>
  <c r="F4" i="1" s="1"/>
  <c r="D36" i="7" l="1"/>
  <c r="E42" i="7" s="1"/>
  <c r="E43" i="7" s="1"/>
  <c r="O56" i="5"/>
  <c r="Q56" i="5"/>
  <c r="G72" i="3"/>
  <c r="G98" i="3"/>
  <c r="I6" i="3"/>
  <c r="G9" i="3"/>
  <c r="I14" i="3"/>
  <c r="I126" i="3" s="1"/>
  <c r="G134" i="3" s="1"/>
  <c r="G21" i="3"/>
  <c r="I27" i="3"/>
  <c r="G31" i="3"/>
  <c r="G34" i="3"/>
  <c r="I41" i="3"/>
  <c r="G46" i="3"/>
  <c r="I51" i="3"/>
  <c r="G55" i="3"/>
  <c r="I61" i="3"/>
  <c r="G65" i="3"/>
  <c r="G76" i="3"/>
  <c r="I85" i="3"/>
  <c r="G90" i="3"/>
  <c r="G102" i="3"/>
  <c r="I110" i="3"/>
  <c r="G116" i="3"/>
  <c r="G121" i="3"/>
  <c r="G7" i="3"/>
  <c r="G126" i="3" s="1"/>
  <c r="G132" i="3" s="1"/>
  <c r="G15" i="3"/>
  <c r="G29" i="3"/>
  <c r="G42" i="3"/>
  <c r="G10" i="3"/>
  <c r="G22" i="3"/>
  <c r="G32" i="3"/>
  <c r="G37" i="3"/>
  <c r="G47" i="3"/>
  <c r="G56" i="3"/>
  <c r="G67" i="3"/>
  <c r="G77" i="3"/>
  <c r="G91" i="3"/>
  <c r="G103" i="3"/>
  <c r="G118" i="3"/>
  <c r="AK30" i="2"/>
  <c r="N47" i="2"/>
  <c r="P47" i="2"/>
  <c r="AI211" i="2"/>
  <c r="AK211" i="2"/>
  <c r="AK36" i="2"/>
  <c r="AI36" i="2"/>
  <c r="AK42" i="2"/>
  <c r="AK34" i="2"/>
  <c r="AK15" i="2"/>
  <c r="AI28" i="2"/>
  <c r="AJ152" i="2"/>
  <c r="AJ154" i="2" s="1"/>
  <c r="AG161" i="2" s="1"/>
  <c r="AK13" i="2"/>
  <c r="AI44" i="2"/>
  <c r="AK201" i="2"/>
  <c r="AK205" i="2" s="1"/>
  <c r="AI208" i="2" s="1"/>
  <c r="O28" i="2" s="1"/>
  <c r="P28" i="2" s="1"/>
  <c r="I52" i="2"/>
  <c r="K52" i="2" s="1"/>
  <c r="L52" i="2" s="1"/>
  <c r="N52" i="2" s="1"/>
  <c r="I64" i="2"/>
  <c r="K64" i="2" s="1"/>
  <c r="L64" i="2" s="1"/>
  <c r="AI190" i="2"/>
  <c r="AG205" i="2"/>
  <c r="L28" i="2" s="1"/>
  <c r="AD214" i="2"/>
  <c r="AD217" i="2" s="1"/>
  <c r="AG217" i="2" s="1"/>
  <c r="AI217" i="2" s="1"/>
  <c r="P36" i="2"/>
  <c r="AI43" i="2"/>
  <c r="AJ133" i="2"/>
  <c r="AJ135" i="2" s="1"/>
  <c r="X175" i="2" s="1"/>
  <c r="AK41" i="2"/>
  <c r="P25" i="2"/>
  <c r="AP52" i="2"/>
  <c r="AP53" i="2" s="1"/>
  <c r="AR53" i="2" s="1"/>
  <c r="AK39" i="2"/>
  <c r="AI203" i="2"/>
  <c r="AK213" i="2"/>
  <c r="P63" i="2"/>
  <c r="N63" i="2"/>
  <c r="AK16" i="2"/>
  <c r="AI16" i="2"/>
  <c r="P51" i="2"/>
  <c r="N51" i="2"/>
  <c r="N21" i="2"/>
  <c r="P21" i="2"/>
  <c r="AI8" i="2"/>
  <c r="AK10" i="2"/>
  <c r="AI10" i="2"/>
  <c r="N22" i="2"/>
  <c r="P22" i="2"/>
  <c r="AK27" i="2"/>
  <c r="AI27" i="2"/>
  <c r="AG46" i="2"/>
  <c r="P48" i="2"/>
  <c r="N48" i="2"/>
  <c r="P52" i="2"/>
  <c r="P68" i="2"/>
  <c r="N68" i="2"/>
  <c r="AK17" i="2"/>
  <c r="AI17" i="2"/>
  <c r="N58" i="2"/>
  <c r="P58" i="2"/>
  <c r="AI6" i="2"/>
  <c r="AK6" i="2"/>
  <c r="AI12" i="2"/>
  <c r="AK12" i="2"/>
  <c r="P62" i="2"/>
  <c r="N62" i="2"/>
  <c r="AK7" i="2"/>
  <c r="AI7" i="2"/>
  <c r="P15" i="2"/>
  <c r="N15" i="2"/>
  <c r="P11" i="2"/>
  <c r="N11" i="2"/>
  <c r="AR54" i="2"/>
  <c r="N13" i="2"/>
  <c r="P13" i="2"/>
  <c r="AI11" i="2"/>
  <c r="AI5" i="2"/>
  <c r="AK228" i="2"/>
  <c r="AI228" i="2"/>
  <c r="P20" i="2"/>
  <c r="N23" i="2"/>
  <c r="AI31" i="2"/>
  <c r="N38" i="2"/>
  <c r="P40" i="2"/>
  <c r="N40" i="2"/>
  <c r="N41" i="2"/>
  <c r="AK230" i="2"/>
  <c r="AI230" i="2"/>
  <c r="AK11" i="2"/>
  <c r="AI13" i="2"/>
  <c r="N16" i="2"/>
  <c r="AI29" i="2"/>
  <c r="AI30" i="2"/>
  <c r="N39" i="2"/>
  <c r="AG215" i="2"/>
  <c r="AD218" i="2"/>
  <c r="AG218" i="2" s="1"/>
  <c r="AK231" i="2"/>
  <c r="AI231" i="2"/>
  <c r="AI33" i="2"/>
  <c r="P45" i="2"/>
  <c r="AC178" i="2"/>
  <c r="AG176" i="2" s="1"/>
  <c r="AI14" i="2"/>
  <c r="AI41" i="2"/>
  <c r="P42" i="2"/>
  <c r="P43" i="2"/>
  <c r="N43" i="2"/>
  <c r="P56" i="2"/>
  <c r="P75" i="2"/>
  <c r="N75" i="2"/>
  <c r="AK232" i="2"/>
  <c r="AI232" i="2"/>
  <c r="AI9" i="2"/>
  <c r="AI219" i="2"/>
  <c r="AK219" i="2"/>
  <c r="AI32" i="2"/>
  <c r="AI78" i="2"/>
  <c r="AH79" i="2"/>
  <c r="AK179" i="2"/>
  <c r="AI179" i="2"/>
  <c r="N12" i="2"/>
  <c r="P18" i="2"/>
  <c r="P19" i="2"/>
  <c r="N24" i="2"/>
  <c r="AK31" i="2"/>
  <c r="AI37" i="2"/>
  <c r="AI39" i="2"/>
  <c r="AK44" i="2"/>
  <c r="P69" i="2"/>
  <c r="N69" i="2"/>
  <c r="P76" i="2"/>
  <c r="N76" i="2"/>
  <c r="AI89" i="2"/>
  <c r="AK89" i="2"/>
  <c r="AK233" i="2"/>
  <c r="AI233" i="2"/>
  <c r="AK43" i="2"/>
  <c r="P64" i="2"/>
  <c r="N64" i="2"/>
  <c r="AK87" i="2"/>
  <c r="AI87" i="2"/>
  <c r="AI15" i="2"/>
  <c r="AG19" i="2"/>
  <c r="AK40" i="2"/>
  <c r="N50" i="2"/>
  <c r="AK76" i="2"/>
  <c r="AI76" i="2"/>
  <c r="AG102" i="2"/>
  <c r="L7" i="2" s="1"/>
  <c r="AI90" i="2"/>
  <c r="AH91" i="2"/>
  <c r="AK99" i="2"/>
  <c r="AI99" i="2"/>
  <c r="AK177" i="2"/>
  <c r="AI177" i="2"/>
  <c r="AK234" i="2"/>
  <c r="AI234" i="2"/>
  <c r="N74" i="2"/>
  <c r="AK14" i="2"/>
  <c r="N18" i="2"/>
  <c r="AI34" i="2"/>
  <c r="AI35" i="2"/>
  <c r="AK38" i="2"/>
  <c r="AI42" i="2"/>
  <c r="AG68" i="2"/>
  <c r="L5" i="2" s="1"/>
  <c r="AK56" i="2"/>
  <c r="AK68" i="2" s="1"/>
  <c r="AI57" i="2"/>
  <c r="AI58" i="2"/>
  <c r="AH59" i="2"/>
  <c r="N70" i="2"/>
  <c r="AI100" i="2"/>
  <c r="AK100" i="2"/>
  <c r="AG163" i="2"/>
  <c r="AK217" i="2"/>
  <c r="AK236" i="2"/>
  <c r="AI236" i="2"/>
  <c r="AI88" i="2"/>
  <c r="AI191" i="2"/>
  <c r="AG212" i="2"/>
  <c r="AG216" i="2"/>
  <c r="AI77" i="2"/>
  <c r="AC126" i="2"/>
  <c r="AG165" i="2" s="1"/>
  <c r="AI189" i="2"/>
  <c r="AI202" i="2"/>
  <c r="AG229" i="2"/>
  <c r="AG238" i="2" s="1"/>
  <c r="AG235" i="2"/>
  <c r="AI178" i="2"/>
  <c r="AK189" i="2"/>
  <c r="AK194" i="2" s="1"/>
  <c r="AH197" i="2" s="1"/>
  <c r="O27" i="2" s="1"/>
  <c r="P27" i="2" s="1"/>
  <c r="AI192" i="2"/>
  <c r="AI200" i="2"/>
  <c r="J245" i="1"/>
  <c r="J37" i="1"/>
  <c r="J41" i="1"/>
  <c r="J45" i="1"/>
  <c r="J49" i="1"/>
  <c r="J102" i="1"/>
  <c r="J14" i="1"/>
  <c r="J22" i="1"/>
  <c r="J295" i="1"/>
  <c r="J19" i="1"/>
  <c r="J23" i="1"/>
  <c r="H85" i="1"/>
  <c r="J9" i="1"/>
  <c r="J35" i="1"/>
  <c r="J39" i="1"/>
  <c r="J43" i="1"/>
  <c r="J54" i="1"/>
  <c r="J84" i="1"/>
  <c r="H236" i="1"/>
  <c r="J36" i="1"/>
  <c r="J40" i="1"/>
  <c r="J44" i="1"/>
  <c r="J51" i="1"/>
  <c r="J55" i="1"/>
  <c r="J263" i="1"/>
  <c r="H143" i="1"/>
  <c r="J234" i="1"/>
  <c r="H237" i="1"/>
  <c r="J11" i="1"/>
  <c r="H235" i="1"/>
  <c r="J91" i="1"/>
  <c r="J239" i="1"/>
  <c r="J197" i="1"/>
  <c r="J107" i="1"/>
  <c r="J115" i="1"/>
  <c r="H209" i="1"/>
  <c r="J257" i="1"/>
  <c r="J264" i="1"/>
  <c r="J289" i="1"/>
  <c r="H88" i="1"/>
  <c r="J88" i="1"/>
  <c r="F177" i="1"/>
  <c r="J247" i="1"/>
  <c r="J268" i="1"/>
  <c r="J279" i="1"/>
  <c r="J300" i="1"/>
  <c r="J307" i="1"/>
  <c r="J256" i="1"/>
  <c r="J236" i="1"/>
  <c r="H142" i="1"/>
  <c r="J237" i="1"/>
  <c r="J251" i="1"/>
  <c r="J272" i="1"/>
  <c r="J283" i="1"/>
  <c r="J304" i="1"/>
  <c r="J252" i="1"/>
  <c r="J118" i="1"/>
  <c r="J267" i="1"/>
  <c r="J260" i="1"/>
  <c r="J285" i="1"/>
  <c r="J292" i="1"/>
  <c r="J99" i="1"/>
  <c r="J85" i="1"/>
  <c r="H241" i="1"/>
  <c r="J244" i="1"/>
  <c r="J269" i="1"/>
  <c r="J276" i="1"/>
  <c r="J301" i="1"/>
  <c r="J284" i="1"/>
  <c r="J110" i="1"/>
  <c r="J288" i="1"/>
  <c r="J253" i="1"/>
  <c r="J95" i="1"/>
  <c r="J296" i="1"/>
  <c r="H6" i="1"/>
  <c r="J15" i="1"/>
  <c r="J18" i="1"/>
  <c r="J31" i="1"/>
  <c r="J86" i="1"/>
  <c r="J206" i="1"/>
  <c r="H212" i="1"/>
  <c r="J273" i="1"/>
  <c r="J280" i="1"/>
  <c r="J305" i="1"/>
  <c r="J308" i="1"/>
  <c r="J103" i="1"/>
  <c r="J10" i="1"/>
  <c r="G89" i="1"/>
  <c r="G90" i="1" s="1"/>
  <c r="G91" i="1" s="1"/>
  <c r="H91" i="1" s="1"/>
  <c r="J92" i="1"/>
  <c r="J100" i="1"/>
  <c r="J89" i="1"/>
  <c r="J104" i="1"/>
  <c r="J111" i="1"/>
  <c r="J6" i="1"/>
  <c r="J93" i="1"/>
  <c r="J97" i="1"/>
  <c r="J101" i="1"/>
  <c r="H7" i="1"/>
  <c r="H87" i="1"/>
  <c r="J105" i="1"/>
  <c r="J112" i="1"/>
  <c r="J119" i="1"/>
  <c r="J109" i="1"/>
  <c r="J113" i="1"/>
  <c r="J116" i="1"/>
  <c r="J96" i="1"/>
  <c r="J108" i="1"/>
  <c r="J117" i="1"/>
  <c r="G15" i="1"/>
  <c r="G16" i="1" s="1"/>
  <c r="G17" i="1" s="1"/>
  <c r="G18" i="1" s="1"/>
  <c r="H14" i="1"/>
  <c r="H12" i="1"/>
  <c r="J12" i="1"/>
  <c r="J42" i="1"/>
  <c r="J94" i="1"/>
  <c r="J26" i="1"/>
  <c r="J46" i="1"/>
  <c r="H5" i="1"/>
  <c r="J24" i="1"/>
  <c r="J30" i="1"/>
  <c r="G246" i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H308" i="1" s="1"/>
  <c r="H245" i="1"/>
  <c r="J57" i="1"/>
  <c r="J17" i="1"/>
  <c r="H9" i="1"/>
  <c r="J13" i="1"/>
  <c r="H13" i="1"/>
  <c r="J7" i="1"/>
  <c r="H11" i="1"/>
  <c r="J50" i="1"/>
  <c r="H10" i="1"/>
  <c r="J38" i="1"/>
  <c r="J53" i="1"/>
  <c r="J56" i="1"/>
  <c r="J21" i="1"/>
  <c r="J34" i="1"/>
  <c r="F63" i="1"/>
  <c r="J4" i="1"/>
  <c r="H4" i="1"/>
  <c r="J20" i="1"/>
  <c r="J8" i="1"/>
  <c r="H8" i="1"/>
  <c r="J28" i="1"/>
  <c r="J60" i="1"/>
  <c r="J114" i="1"/>
  <c r="H243" i="1"/>
  <c r="J258" i="1"/>
  <c r="J274" i="1"/>
  <c r="J290" i="1"/>
  <c r="J306" i="1"/>
  <c r="H207" i="1"/>
  <c r="J235" i="1"/>
  <c r="H238" i="1"/>
  <c r="J240" i="1"/>
  <c r="J243" i="1"/>
  <c r="J248" i="1"/>
  <c r="J255" i="1"/>
  <c r="J261" i="1"/>
  <c r="J271" i="1"/>
  <c r="J277" i="1"/>
  <c r="J287" i="1"/>
  <c r="J293" i="1"/>
  <c r="J303" i="1"/>
  <c r="J106" i="1"/>
  <c r="J262" i="1"/>
  <c r="J278" i="1"/>
  <c r="J294" i="1"/>
  <c r="J87" i="1"/>
  <c r="F214" i="1"/>
  <c r="J198" i="1"/>
  <c r="H198" i="1"/>
  <c r="J238" i="1"/>
  <c r="H244" i="1"/>
  <c r="J246" i="1"/>
  <c r="J249" i="1"/>
  <c r="H256" i="1"/>
  <c r="J259" i="1"/>
  <c r="J265" i="1"/>
  <c r="J275" i="1"/>
  <c r="J281" i="1"/>
  <c r="J291" i="1"/>
  <c r="J297" i="1"/>
  <c r="G200" i="1"/>
  <c r="H199" i="1"/>
  <c r="H239" i="1"/>
  <c r="J241" i="1"/>
  <c r="J250" i="1"/>
  <c r="J266" i="1"/>
  <c r="J282" i="1"/>
  <c r="J298" i="1"/>
  <c r="J90" i="1"/>
  <c r="H242" i="1"/>
  <c r="H260" i="1"/>
  <c r="J58" i="1"/>
  <c r="J98" i="1"/>
  <c r="G145" i="1"/>
  <c r="H144" i="1"/>
  <c r="H211" i="1"/>
  <c r="J211" i="1"/>
  <c r="H251" i="1"/>
  <c r="J254" i="1"/>
  <c r="J270" i="1"/>
  <c r="J286" i="1"/>
  <c r="J302" i="1"/>
  <c r="J59" i="1"/>
  <c r="F122" i="1"/>
  <c r="H86" i="1"/>
  <c r="H240" i="1"/>
  <c r="J242" i="1"/>
  <c r="J299" i="1"/>
  <c r="H208" i="1"/>
  <c r="J142" i="1"/>
  <c r="J177" i="1" s="1"/>
  <c r="F310" i="1"/>
  <c r="AK46" i="2" l="1"/>
  <c r="AI205" i="2"/>
  <c r="AI207" i="2" s="1"/>
  <c r="M28" i="2" s="1"/>
  <c r="N28" i="2" s="1"/>
  <c r="AG214" i="2"/>
  <c r="AI214" i="2" s="1"/>
  <c r="AG72" i="2"/>
  <c r="O5" i="2" s="1"/>
  <c r="P5" i="2" s="1"/>
  <c r="AG167" i="2"/>
  <c r="AK167" i="2" s="1"/>
  <c r="AK19" i="2"/>
  <c r="AD22" i="2" s="1"/>
  <c r="O2" i="2" s="1"/>
  <c r="L30" i="2"/>
  <c r="AK214" i="2"/>
  <c r="AK235" i="2"/>
  <c r="AI235" i="2"/>
  <c r="AK212" i="2"/>
  <c r="AI212" i="2"/>
  <c r="AG221" i="2"/>
  <c r="L29" i="2" s="1"/>
  <c r="AK163" i="2"/>
  <c r="AI163" i="2"/>
  <c r="AI19" i="2"/>
  <c r="AD21" i="2" s="1"/>
  <c r="M2" i="2" s="1"/>
  <c r="AI59" i="2"/>
  <c r="AH60" i="2"/>
  <c r="AK176" i="2"/>
  <c r="AK181" i="2" s="1"/>
  <c r="AG181" i="2"/>
  <c r="L26" i="2" s="1"/>
  <c r="AI176" i="2"/>
  <c r="AI181" i="2" s="1"/>
  <c r="L3" i="2"/>
  <c r="AI46" i="2"/>
  <c r="AG50" i="2" s="1"/>
  <c r="AK216" i="2"/>
  <c r="AI216" i="2"/>
  <c r="AG51" i="2"/>
  <c r="AR42" i="2" s="1"/>
  <c r="O3" i="2" s="1"/>
  <c r="AO7" i="2"/>
  <c r="K2" i="2"/>
  <c r="AK218" i="2"/>
  <c r="AI218" i="2"/>
  <c r="AI91" i="2"/>
  <c r="AH92" i="2"/>
  <c r="AH80" i="2"/>
  <c r="AI79" i="2"/>
  <c r="AH158" i="2"/>
  <c r="AI215" i="2"/>
  <c r="AK215" i="2"/>
  <c r="AK165" i="2"/>
  <c r="AI165" i="2"/>
  <c r="AK102" i="2"/>
  <c r="AH106" i="2" s="1"/>
  <c r="O7" i="2" s="1"/>
  <c r="P7" i="2" s="1"/>
  <c r="AK229" i="2"/>
  <c r="AI229" i="2"/>
  <c r="AI238" i="2" s="1"/>
  <c r="AH240" i="2" s="1"/>
  <c r="M30" i="2" s="1"/>
  <c r="AI194" i="2"/>
  <c r="AH196" i="2" s="1"/>
  <c r="M27" i="2" s="1"/>
  <c r="N27" i="2" s="1"/>
  <c r="AG169" i="2"/>
  <c r="L9" i="2" s="1"/>
  <c r="AK161" i="2"/>
  <c r="AI161" i="2"/>
  <c r="G92" i="1"/>
  <c r="O190" i="1"/>
  <c r="H253" i="1"/>
  <c r="H250" i="1"/>
  <c r="H249" i="1"/>
  <c r="H304" i="1"/>
  <c r="H290" i="1"/>
  <c r="H305" i="1"/>
  <c r="H246" i="1"/>
  <c r="H247" i="1"/>
  <c r="H277" i="1"/>
  <c r="H270" i="1"/>
  <c r="H265" i="1"/>
  <c r="H274" i="1"/>
  <c r="H285" i="1"/>
  <c r="H275" i="1"/>
  <c r="H279" i="1"/>
  <c r="H272" i="1"/>
  <c r="H248" i="1"/>
  <c r="H273" i="1"/>
  <c r="H254" i="1"/>
  <c r="H269" i="1"/>
  <c r="J214" i="1"/>
  <c r="I216" i="1" s="1"/>
  <c r="H259" i="1"/>
  <c r="H268" i="1"/>
  <c r="H258" i="1"/>
  <c r="H89" i="1"/>
  <c r="H286" i="1"/>
  <c r="H252" i="1"/>
  <c r="J310" i="1"/>
  <c r="I312" i="1" s="1"/>
  <c r="J122" i="1"/>
  <c r="I124" i="1" s="1"/>
  <c r="H15" i="1"/>
  <c r="H90" i="1"/>
  <c r="H16" i="1"/>
  <c r="H17" i="1"/>
  <c r="J63" i="1"/>
  <c r="I65" i="1" s="1"/>
  <c r="G201" i="1"/>
  <c r="H200" i="1"/>
  <c r="H282" i="1"/>
  <c r="H297" i="1"/>
  <c r="H319" i="1"/>
  <c r="H283" i="1"/>
  <c r="H307" i="1"/>
  <c r="H294" i="1"/>
  <c r="H262" i="1"/>
  <c r="H300" i="1"/>
  <c r="H287" i="1"/>
  <c r="H255" i="1"/>
  <c r="H302" i="1"/>
  <c r="H301" i="1"/>
  <c r="H284" i="1"/>
  <c r="I179" i="1"/>
  <c r="G93" i="1"/>
  <c r="H92" i="1"/>
  <c r="H296" i="1"/>
  <c r="H266" i="1"/>
  <c r="H280" i="1"/>
  <c r="H299" i="1"/>
  <c r="H267" i="1"/>
  <c r="H292" i="1"/>
  <c r="H288" i="1"/>
  <c r="H278" i="1"/>
  <c r="H303" i="1"/>
  <c r="H271" i="1"/>
  <c r="H291" i="1"/>
  <c r="H306" i="1"/>
  <c r="H298" i="1"/>
  <c r="H281" i="1"/>
  <c r="H264" i="1"/>
  <c r="H289" i="1"/>
  <c r="H257" i="1"/>
  <c r="G146" i="1"/>
  <c r="H145" i="1"/>
  <c r="H276" i="1"/>
  <c r="H295" i="1"/>
  <c r="H263" i="1"/>
  <c r="H293" i="1"/>
  <c r="H261" i="1"/>
  <c r="G19" i="1"/>
  <c r="H18" i="1"/>
  <c r="AK221" i="2" l="1"/>
  <c r="AH225" i="2" s="1"/>
  <c r="O29" i="2" s="1"/>
  <c r="P29" i="2" s="1"/>
  <c r="AI167" i="2"/>
  <c r="AK238" i="2"/>
  <c r="AH241" i="2" s="1"/>
  <c r="O30" i="2" s="1"/>
  <c r="P30" i="2" s="1"/>
  <c r="AK169" i="2"/>
  <c r="AH173" i="2" s="1"/>
  <c r="AS56" i="2"/>
  <c r="M3" i="2"/>
  <c r="N3" i="2" s="1"/>
  <c r="P3" i="2"/>
  <c r="L2" i="2"/>
  <c r="R8" i="2"/>
  <c r="AG183" i="2"/>
  <c r="M26" i="2" s="1"/>
  <c r="N30" i="2"/>
  <c r="AG184" i="2"/>
  <c r="O26" i="2" s="1"/>
  <c r="P26" i="2" s="1"/>
  <c r="AE246" i="2"/>
  <c r="AH93" i="2"/>
  <c r="AI92" i="2"/>
  <c r="P9" i="2"/>
  <c r="N26" i="2"/>
  <c r="AI169" i="2"/>
  <c r="AH172" i="2" s="1"/>
  <c r="M9" i="2" s="1"/>
  <c r="N9" i="2" s="1"/>
  <c r="AH81" i="2"/>
  <c r="AI80" i="2"/>
  <c r="AH61" i="2"/>
  <c r="AI60" i="2"/>
  <c r="AI221" i="2"/>
  <c r="AH224" i="2" s="1"/>
  <c r="M29" i="2" s="1"/>
  <c r="N29" i="2" s="1"/>
  <c r="O193" i="1"/>
  <c r="H310" i="1"/>
  <c r="G312" i="1" s="1"/>
  <c r="G20" i="1"/>
  <c r="H19" i="1"/>
  <c r="G147" i="1"/>
  <c r="H146" i="1"/>
  <c r="G94" i="1"/>
  <c r="H93" i="1"/>
  <c r="G202" i="1"/>
  <c r="H201" i="1"/>
  <c r="AI61" i="2" l="1"/>
  <c r="AH62" i="2"/>
  <c r="AI93" i="2"/>
  <c r="AH94" i="2"/>
  <c r="P2" i="2"/>
  <c r="P78" i="2" s="1"/>
  <c r="N2" i="2"/>
  <c r="AI81" i="2"/>
  <c r="AH82" i="2"/>
  <c r="G148" i="1"/>
  <c r="H147" i="1"/>
  <c r="G95" i="1"/>
  <c r="H94" i="1"/>
  <c r="G21" i="1"/>
  <c r="H20" i="1"/>
  <c r="G203" i="1"/>
  <c r="H202" i="1"/>
  <c r="AI94" i="2" l="1"/>
  <c r="AH95" i="2"/>
  <c r="AI82" i="2"/>
  <c r="AH83" i="2"/>
  <c r="AH63" i="2"/>
  <c r="AI62" i="2"/>
  <c r="J88" i="2"/>
  <c r="G204" i="1"/>
  <c r="H204" i="1" s="1"/>
  <c r="H203" i="1"/>
  <c r="G22" i="1"/>
  <c r="H21" i="1"/>
  <c r="G96" i="1"/>
  <c r="H95" i="1"/>
  <c r="G149" i="1"/>
  <c r="H148" i="1"/>
  <c r="AI83" i="2" l="1"/>
  <c r="AH84" i="2"/>
  <c r="AI63" i="2"/>
  <c r="AH64" i="2"/>
  <c r="AI95" i="2"/>
  <c r="AH96" i="2"/>
  <c r="H214" i="1"/>
  <c r="G216" i="1" s="1"/>
  <c r="G150" i="1"/>
  <c r="H149" i="1"/>
  <c r="H96" i="1"/>
  <c r="G97" i="1"/>
  <c r="G23" i="1"/>
  <c r="H22" i="1"/>
  <c r="AH97" i="2" l="1"/>
  <c r="AI96" i="2"/>
  <c r="AH65" i="2"/>
  <c r="AI64" i="2"/>
  <c r="AH85" i="2"/>
  <c r="AI84" i="2"/>
  <c r="G24" i="1"/>
  <c r="H23" i="1"/>
  <c r="H97" i="1"/>
  <c r="G98" i="1"/>
  <c r="G151" i="1"/>
  <c r="H150" i="1"/>
  <c r="AI85" i="2" l="1"/>
  <c r="AH86" i="2"/>
  <c r="AI86" i="2" s="1"/>
  <c r="AH66" i="2"/>
  <c r="AI66" i="2" s="1"/>
  <c r="AI65" i="2"/>
  <c r="AI97" i="2"/>
  <c r="AH98" i="2"/>
  <c r="AI98" i="2" s="1"/>
  <c r="G99" i="1"/>
  <c r="H98" i="1"/>
  <c r="G152" i="1"/>
  <c r="H151" i="1"/>
  <c r="G25" i="1"/>
  <c r="H24" i="1"/>
  <c r="AI102" i="2" l="1"/>
  <c r="AH105" i="2" s="1"/>
  <c r="M7" i="2" s="1"/>
  <c r="N7" i="2" s="1"/>
  <c r="AI68" i="2"/>
  <c r="AG71" i="2" s="1"/>
  <c r="M5" i="2" s="1"/>
  <c r="N5" i="2" s="1"/>
  <c r="N78" i="2" s="1"/>
  <c r="J86" i="2" s="1"/>
  <c r="G26" i="1"/>
  <c r="H25" i="1"/>
  <c r="G153" i="1"/>
  <c r="H152" i="1"/>
  <c r="G100" i="1"/>
  <c r="H99" i="1"/>
  <c r="H100" i="1" l="1"/>
  <c r="G101" i="1"/>
  <c r="G154" i="1"/>
  <c r="H153" i="1"/>
  <c r="G27" i="1"/>
  <c r="H26" i="1"/>
  <c r="G102" i="1" l="1"/>
  <c r="H101" i="1"/>
  <c r="G28" i="1"/>
  <c r="H27" i="1"/>
  <c r="G155" i="1"/>
  <c r="H154" i="1"/>
  <c r="G156" i="1" l="1"/>
  <c r="H155" i="1"/>
  <c r="G29" i="1"/>
  <c r="H28" i="1"/>
  <c r="G103" i="1"/>
  <c r="H102" i="1"/>
  <c r="G157" i="1" l="1"/>
  <c r="H156" i="1"/>
  <c r="G104" i="1"/>
  <c r="H103" i="1"/>
  <c r="G30" i="1"/>
  <c r="H29" i="1"/>
  <c r="G31" i="1" l="1"/>
  <c r="H30" i="1"/>
  <c r="G105" i="1"/>
  <c r="H104" i="1"/>
  <c r="G158" i="1"/>
  <c r="H157" i="1"/>
  <c r="G159" i="1" l="1"/>
  <c r="H158" i="1"/>
  <c r="G106" i="1"/>
  <c r="H105" i="1"/>
  <c r="G32" i="1"/>
  <c r="H31" i="1"/>
  <c r="G33" i="1" l="1"/>
  <c r="H32" i="1"/>
  <c r="G107" i="1"/>
  <c r="H106" i="1"/>
  <c r="G160" i="1"/>
  <c r="H159" i="1"/>
  <c r="G161" i="1" l="1"/>
  <c r="H160" i="1"/>
  <c r="G108" i="1"/>
  <c r="H107" i="1"/>
  <c r="G34" i="1"/>
  <c r="H33" i="1"/>
  <c r="H108" i="1" l="1"/>
  <c r="G109" i="1"/>
  <c r="G35" i="1"/>
  <c r="H34" i="1"/>
  <c r="G162" i="1"/>
  <c r="H161" i="1"/>
  <c r="G163" i="1" l="1"/>
  <c r="H162" i="1"/>
  <c r="G110" i="1"/>
  <c r="H109" i="1"/>
  <c r="G36" i="1"/>
  <c r="H35" i="1"/>
  <c r="G37" i="1" l="1"/>
  <c r="H36" i="1"/>
  <c r="G111" i="1"/>
  <c r="H110" i="1"/>
  <c r="G164" i="1"/>
  <c r="H163" i="1"/>
  <c r="G112" i="1" l="1"/>
  <c r="H111" i="1"/>
  <c r="G165" i="1"/>
  <c r="H164" i="1"/>
  <c r="G38" i="1"/>
  <c r="H37" i="1"/>
  <c r="G39" i="1" l="1"/>
  <c r="H38" i="1"/>
  <c r="G166" i="1"/>
  <c r="H165" i="1"/>
  <c r="G113" i="1"/>
  <c r="H112" i="1"/>
  <c r="G40" i="1" l="1"/>
  <c r="H39" i="1"/>
  <c r="G114" i="1"/>
  <c r="H113" i="1"/>
  <c r="G167" i="1"/>
  <c r="H166" i="1"/>
  <c r="G115" i="1" l="1"/>
  <c r="H114" i="1"/>
  <c r="G41" i="1"/>
  <c r="H40" i="1"/>
  <c r="G168" i="1"/>
  <c r="H167" i="1"/>
  <c r="G42" i="1" l="1"/>
  <c r="H41" i="1"/>
  <c r="H115" i="1"/>
  <c r="G116" i="1"/>
  <c r="G169" i="1"/>
  <c r="H168" i="1"/>
  <c r="G43" i="1" l="1"/>
  <c r="H42" i="1"/>
  <c r="G170" i="1"/>
  <c r="H169" i="1"/>
  <c r="H116" i="1"/>
  <c r="G117" i="1"/>
  <c r="G118" i="1" l="1"/>
  <c r="H117" i="1"/>
  <c r="G171" i="1"/>
  <c r="H170" i="1"/>
  <c r="G44" i="1"/>
  <c r="H43" i="1"/>
  <c r="G45" i="1" l="1"/>
  <c r="H44" i="1"/>
  <c r="G172" i="1"/>
  <c r="H171" i="1"/>
  <c r="G119" i="1"/>
  <c r="H119" i="1" s="1"/>
  <c r="H118" i="1"/>
  <c r="H122" i="1" l="1"/>
  <c r="G124" i="1" s="1"/>
  <c r="G173" i="1"/>
  <c r="H172" i="1"/>
  <c r="G46" i="1"/>
  <c r="H45" i="1"/>
  <c r="G47" i="1" l="1"/>
  <c r="H46" i="1"/>
  <c r="G174" i="1"/>
  <c r="H174" i="1" s="1"/>
  <c r="H173" i="1"/>
  <c r="H177" i="1" l="1"/>
  <c r="G48" i="1"/>
  <c r="H47" i="1"/>
  <c r="G49" i="1" l="1"/>
  <c r="H48" i="1"/>
  <c r="O191" i="1"/>
  <c r="G179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60" i="1" s="1"/>
  <c r="H59" i="1"/>
  <c r="H63" i="1" l="1"/>
  <c r="G65" i="1" s="1"/>
</calcChain>
</file>

<file path=xl/sharedStrings.xml><?xml version="1.0" encoding="utf-8"?>
<sst xmlns="http://schemas.openxmlformats.org/spreadsheetml/2006/main" count="878" uniqueCount="445">
  <si>
    <t>Dimension</t>
  </si>
  <si>
    <t>Area (m^2)</t>
  </si>
  <si>
    <t>Length</t>
  </si>
  <si>
    <t>Weight</t>
  </si>
  <si>
    <t>LCG</t>
  </si>
  <si>
    <t>VCG</t>
  </si>
  <si>
    <t>Floor</t>
  </si>
  <si>
    <t>Floor 1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</si>
  <si>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</si>
  <si>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</si>
  <si>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</si>
  <si>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</si>
  <si>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</si>
  <si>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</si>
  <si>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</si>
  <si>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</si>
  <si>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</si>
  <si>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</si>
  <si>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</si>
  <si>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</si>
  <si>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</si>
  <si>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</si>
  <si>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</si>
  <si>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</si>
  <si>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</si>
  <si>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</si>
  <si>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</si>
  <si>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</si>
  <si>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</si>
  <si>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</si>
  <si>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</si>
  <si>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</si>
  <si>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</si>
  <si>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</si>
  <si>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</si>
  <si>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</si>
  <si>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</si>
  <si>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</si>
  <si>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</si>
  <si>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</si>
  <si>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</si>
  <si>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</si>
  <si>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</si>
  <si>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</si>
  <si>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</si>
  <si>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</si>
  <si>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</si>
  <si>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</si>
  <si>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</si>
  <si>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</si>
  <si>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</si>
  <si>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</si>
  <si>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</si>
  <si>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</si>
  <si>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</si>
  <si>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</si>
  <si>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</si>
  <si>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</si>
  <si>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Floor 52</t>
  </si>
  <si>
    <t>Floor 53</t>
  </si>
  <si>
    <t>Floor 54</t>
  </si>
  <si>
    <t>Floor 55</t>
  </si>
  <si>
    <t>Floor 56</t>
  </si>
  <si>
    <t>Floor 57</t>
  </si>
  <si>
    <t>Web Frame</t>
  </si>
  <si>
    <t>WF 1</t>
  </si>
  <si>
    <t>WF 2</t>
  </si>
  <si>
    <t>WF 3</t>
  </si>
  <si>
    <t>WF 4</t>
  </si>
  <si>
    <t>WF 5</t>
  </si>
  <si>
    <t>WF 6</t>
  </si>
  <si>
    <t>WF 7</t>
  </si>
  <si>
    <t>WF 8</t>
  </si>
  <si>
    <t>WF 9</t>
  </si>
  <si>
    <t>WF 10</t>
  </si>
  <si>
    <t>WF 11</t>
  </si>
  <si>
    <t>WF 12</t>
  </si>
  <si>
    <t>WF 13</t>
  </si>
  <si>
    <t>WF 14</t>
  </si>
  <si>
    <t>WF 15</t>
  </si>
  <si>
    <t>WF 16</t>
  </si>
  <si>
    <t>WF 17</t>
  </si>
  <si>
    <t>WF 18</t>
  </si>
  <si>
    <t>WF 19</t>
  </si>
  <si>
    <t>WF 20</t>
  </si>
  <si>
    <t>WF 21</t>
  </si>
  <si>
    <t>WF 22</t>
  </si>
  <si>
    <t>WF 23</t>
  </si>
  <si>
    <t>WF 24</t>
  </si>
  <si>
    <t>WF 25</t>
  </si>
  <si>
    <t>WF 26</t>
  </si>
  <si>
    <t>WF 27</t>
  </si>
  <si>
    <t>WF 28</t>
  </si>
  <si>
    <t>WF 29</t>
  </si>
  <si>
    <t>WF 30</t>
  </si>
  <si>
    <t>WF 31</t>
  </si>
  <si>
    <t>WF 32</t>
  </si>
  <si>
    <t>WF 33</t>
  </si>
  <si>
    <t>WF 34</t>
  </si>
  <si>
    <t>WF 35</t>
  </si>
  <si>
    <t>WF 36</t>
  </si>
  <si>
    <t>WF</t>
  </si>
  <si>
    <t>Main Frame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</si>
  <si>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</si>
  <si>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</si>
  <si>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</si>
  <si>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</si>
  <si>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</si>
  <si>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</si>
  <si>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</si>
  <si>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</si>
  <si>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Frame 9</t>
  </si>
  <si>
    <t>Frame 10</t>
  </si>
  <si>
    <t>Frame 11</t>
  </si>
  <si>
    <t>Frame 12</t>
  </si>
  <si>
    <t>Frame 13</t>
  </si>
  <si>
    <t>Frame 14</t>
  </si>
  <si>
    <t>Frame 15</t>
  </si>
  <si>
    <t>Frame 16</t>
  </si>
  <si>
    <t>Frame 17</t>
  </si>
  <si>
    <t>Frame 18</t>
  </si>
  <si>
    <t>Frame 19</t>
  </si>
  <si>
    <t>Frame 20</t>
  </si>
  <si>
    <t>Frame 21</t>
  </si>
  <si>
    <t>Frame 22</t>
  </si>
  <si>
    <t>Frame 23</t>
  </si>
  <si>
    <t>Frame 24</t>
  </si>
  <si>
    <t>Frame 25</t>
  </si>
  <si>
    <t>Frame 26</t>
  </si>
  <si>
    <t>Frame 27</t>
  </si>
  <si>
    <t>Frame 28</t>
  </si>
  <si>
    <t>Frame 29</t>
  </si>
  <si>
    <t>Frame 30</t>
  </si>
  <si>
    <t>Frame 31</t>
  </si>
  <si>
    <t>Frame 32</t>
  </si>
  <si>
    <t>Frame 33</t>
  </si>
  <si>
    <t>Frame 34</t>
  </si>
  <si>
    <t>Frame 35</t>
  </si>
  <si>
    <t>Frame 36</t>
  </si>
  <si>
    <t>Frame 37</t>
  </si>
  <si>
    <t>Frame 38</t>
  </si>
  <si>
    <t>Frame 39</t>
  </si>
  <si>
    <t>Frame 40</t>
  </si>
  <si>
    <t>Frame 41</t>
  </si>
  <si>
    <t>Frame 42</t>
  </si>
  <si>
    <t>Frame 43</t>
  </si>
  <si>
    <t>Frame 44</t>
  </si>
  <si>
    <t>Frame 45</t>
  </si>
  <si>
    <t>Frame 46</t>
  </si>
  <si>
    <t>Frame 47</t>
  </si>
  <si>
    <t>Frame 48</t>
  </si>
  <si>
    <t>Frame 49</t>
  </si>
  <si>
    <t>Frame 50</t>
  </si>
  <si>
    <t>Frame 51</t>
  </si>
  <si>
    <t>Frame 52</t>
  </si>
  <si>
    <t>Frame 53</t>
  </si>
  <si>
    <t>Frame 54</t>
  </si>
  <si>
    <t>Frame 55</t>
  </si>
  <si>
    <t>Frame 56</t>
  </si>
  <si>
    <t>Frame 57</t>
  </si>
  <si>
    <t>Frame 58</t>
  </si>
  <si>
    <t>Frame 59</t>
  </si>
  <si>
    <t>Frame 60</t>
  </si>
  <si>
    <t>Frame 61</t>
  </si>
  <si>
    <t>Frame 62</t>
  </si>
  <si>
    <t>Frame 63</t>
  </si>
  <si>
    <t>Frame 64</t>
  </si>
  <si>
    <t>Frame 65</t>
  </si>
  <si>
    <t>Frame 66</t>
  </si>
  <si>
    <t>Frame 67</t>
  </si>
  <si>
    <t>Frame 68</t>
  </si>
  <si>
    <t>Frame 69</t>
  </si>
  <si>
    <t>Frame 70</t>
  </si>
  <si>
    <t>Frame 71</t>
  </si>
  <si>
    <t>Frame 72</t>
  </si>
  <si>
    <t>Frame 73</t>
  </si>
  <si>
    <t>Frame 74</t>
  </si>
  <si>
    <t>Frame 75</t>
  </si>
  <si>
    <t>m</t>
  </si>
  <si>
    <t>Moment LCG</t>
  </si>
  <si>
    <t>Moment VCG</t>
  </si>
  <si>
    <t>Wt. of the Stiffener used in Floor</t>
  </si>
  <si>
    <t>Area</t>
  </si>
  <si>
    <t>Wt.</t>
  </si>
  <si>
    <t>tonnes</t>
  </si>
  <si>
    <t>L- 90X60X8</t>
  </si>
  <si>
    <t>mm</t>
  </si>
  <si>
    <t>Web Frame (Main Deck)</t>
  </si>
  <si>
    <t>Web Frame (Poop Deck)</t>
  </si>
  <si>
    <t>Number</t>
  </si>
  <si>
    <r>
      <t>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</si>
  <si>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Thickness (m) or Total Length (m)</t>
  </si>
  <si>
    <r>
      <t>Volume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</si>
  <si>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Density (t/m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</si>
  <si>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LCG (m)</t>
  </si>
  <si>
    <t>Moment (t-m) (about aft)</t>
  </si>
  <si>
    <t>VCG (m)</t>
  </si>
  <si>
    <t>Moment (t-m) (about keel)</t>
  </si>
  <si>
    <t>Keel</t>
  </si>
  <si>
    <t xml:space="preserve">Bottom </t>
  </si>
  <si>
    <t xml:space="preserve">Inner Bottom </t>
  </si>
  <si>
    <t xml:space="preserve">Bilge </t>
  </si>
  <si>
    <t xml:space="preserve">Side Shell </t>
  </si>
  <si>
    <t>Deck Plate (Strength Deck)</t>
  </si>
  <si>
    <t>Side Longitudinal</t>
  </si>
  <si>
    <t>L-100X75X7</t>
  </si>
  <si>
    <t>L-150X75X10</t>
  </si>
  <si>
    <t xml:space="preserve">     </t>
  </si>
  <si>
    <t>Tank Longitudinal</t>
  </si>
  <si>
    <t>L-150X75X8</t>
  </si>
  <si>
    <t>Side Web Frame</t>
  </si>
  <si>
    <t>L-250X175X10</t>
  </si>
  <si>
    <t>Center Girder</t>
  </si>
  <si>
    <t>T-850×500×9</t>
  </si>
  <si>
    <t>Side Girder (A)</t>
  </si>
  <si>
    <t>T-850X450X7</t>
  </si>
  <si>
    <t>Side Girder (B)</t>
  </si>
  <si>
    <t>Bottom Longitudinals</t>
  </si>
  <si>
    <t>L-150X100X10</t>
  </si>
  <si>
    <t>Inner Bottom Longitudinals</t>
  </si>
  <si>
    <t>L-150X100X9</t>
  </si>
  <si>
    <t>Floors</t>
  </si>
  <si>
    <t>T-850×400×8</t>
  </si>
  <si>
    <t xml:space="preserve">              6000X1550X10mm</t>
  </si>
  <si>
    <t>Deck Beam</t>
  </si>
  <si>
    <t>Deck Longitudinals</t>
  </si>
  <si>
    <t>Face Plate</t>
  </si>
  <si>
    <t xml:space="preserve">              5763X1550X10mm</t>
  </si>
  <si>
    <t>Hatch Cover 1</t>
  </si>
  <si>
    <t>Hatch Cover 2</t>
  </si>
  <si>
    <t>Hatch Cover 3</t>
  </si>
  <si>
    <t>Plate</t>
  </si>
  <si>
    <t>Vertical Stiffener</t>
  </si>
  <si>
    <t>Transverse Stiffener</t>
  </si>
  <si>
    <r>
      <t>L-90</t>
    </r>
    <r>
      <rPr>
        <sz val="11"/>
        <color theme="1"/>
        <rFont val="Calibri"/>
        <family val="2"/>
      </rPr>
      <t>×60×8</t>
    </r>
  </si>
  <si>
    <t>Side Shell Plate</t>
  </si>
  <si>
    <t>Steel Weight</t>
  </si>
  <si>
    <t>Deck Plate</t>
  </si>
  <si>
    <t>l</t>
  </si>
  <si>
    <t>b</t>
  </si>
  <si>
    <t>a</t>
  </si>
  <si>
    <t>L</t>
  </si>
  <si>
    <t>B</t>
  </si>
  <si>
    <t>A2+A3</t>
  </si>
  <si>
    <t>A4</t>
  </si>
  <si>
    <t>A1</t>
  </si>
  <si>
    <t>m^2</t>
  </si>
  <si>
    <t>A2</t>
  </si>
  <si>
    <t>A3</t>
  </si>
  <si>
    <t>Wing tank</t>
  </si>
  <si>
    <t>Forecastle Deck Plate</t>
  </si>
  <si>
    <t>Main Deck to Poop Deck</t>
  </si>
  <si>
    <t>Bridge Deck to Roof</t>
  </si>
  <si>
    <t xml:space="preserve">Hopper Tank Plate </t>
  </si>
  <si>
    <t xml:space="preserve">Wing Tank Plate </t>
  </si>
  <si>
    <t>Poop Deck to Bridge Deck</t>
  </si>
  <si>
    <t>Side Girder for Engine Room</t>
  </si>
  <si>
    <t>Item</t>
  </si>
  <si>
    <t>No.</t>
  </si>
  <si>
    <t>Dimension (mm)</t>
  </si>
  <si>
    <t>Weight (tonnes)</t>
  </si>
  <si>
    <t>Total Weight (tonnes)</t>
  </si>
  <si>
    <t>Transom Stern Plate</t>
  </si>
  <si>
    <r>
      <t>L-100</t>
    </r>
    <r>
      <rPr>
        <sz val="11"/>
        <color theme="1"/>
        <rFont val="Calibri"/>
        <family val="2"/>
      </rPr>
      <t>×65×7</t>
    </r>
  </si>
  <si>
    <r>
      <t>T-365</t>
    </r>
    <r>
      <rPr>
        <sz val="11"/>
        <color theme="1"/>
        <rFont val="Calibri"/>
        <family val="2"/>
      </rPr>
      <t>×65×6.5</t>
    </r>
  </si>
  <si>
    <r>
      <t>T-395</t>
    </r>
    <r>
      <rPr>
        <sz val="11"/>
        <color theme="1"/>
        <rFont val="Calibri"/>
        <family val="2"/>
      </rPr>
      <t>×65×6.5</t>
    </r>
  </si>
  <si>
    <t>Bulkhead 2</t>
  </si>
  <si>
    <t>Bulkhead 1</t>
  </si>
  <si>
    <t>Bulkhead 3</t>
  </si>
  <si>
    <t>Bulkhead 4</t>
  </si>
  <si>
    <t>Collision Bulkhead</t>
  </si>
  <si>
    <t>(10% increase)</t>
  </si>
  <si>
    <r>
      <t>LCG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(from aft)</t>
    </r>
  </si>
  <si>
    <r>
      <t>VCG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(from keel)</t>
    </r>
  </si>
  <si>
    <r>
      <t xml:space="preserve">LCG </t>
    </r>
    <r>
      <rPr>
        <sz val="16"/>
        <color theme="1"/>
        <rFont val="Calibri"/>
        <family val="2"/>
        <scheme val="minor"/>
      </rPr>
      <t>(from aft)</t>
    </r>
  </si>
  <si>
    <r>
      <t xml:space="preserve">VCG </t>
    </r>
    <r>
      <rPr>
        <sz val="16"/>
        <color theme="1"/>
        <rFont val="Calibri"/>
        <family val="2"/>
        <scheme val="minor"/>
      </rPr>
      <t>(from keel)</t>
    </r>
  </si>
  <si>
    <t>Plating Weight:</t>
  </si>
  <si>
    <t xml:space="preserve">              6000X1000X12</t>
  </si>
  <si>
    <t xml:space="preserve">              6000X1000X12 </t>
  </si>
  <si>
    <t xml:space="preserve">              2631X1000X12 </t>
  </si>
  <si>
    <t>Moment (t-m) (from keel)</t>
  </si>
  <si>
    <t>Moment (t-m) (from aft)</t>
  </si>
  <si>
    <t>Keel Plate</t>
  </si>
  <si>
    <t>Bottom Plate</t>
  </si>
  <si>
    <t>Inner Bottom</t>
  </si>
  <si>
    <t>Bilge Plate</t>
  </si>
  <si>
    <t>(Opening)</t>
  </si>
  <si>
    <t>S.M</t>
  </si>
  <si>
    <t>Ord.</t>
  </si>
  <si>
    <t>Func.</t>
  </si>
  <si>
    <t>Area of Deck Plate</t>
  </si>
  <si>
    <t>Top</t>
  </si>
  <si>
    <t>Two Side</t>
  </si>
  <si>
    <t>Aft Side</t>
  </si>
  <si>
    <t>Fwd. Side</t>
  </si>
  <si>
    <t>Hopper Tank Plate</t>
  </si>
  <si>
    <t>Tank 1</t>
  </si>
  <si>
    <t>Tank 2</t>
  </si>
  <si>
    <t>Tank 3</t>
  </si>
  <si>
    <t>Weight (kg)</t>
  </si>
  <si>
    <t>Control Panel</t>
  </si>
  <si>
    <t>Wing Control Panel (Starboard)</t>
  </si>
  <si>
    <t>Cabinet</t>
  </si>
  <si>
    <t>Chart Table</t>
  </si>
  <si>
    <t>Map Table</t>
  </si>
  <si>
    <t>Radio Instrument Table</t>
  </si>
  <si>
    <t>Radio Operator's Chair</t>
  </si>
  <si>
    <t>Sofa</t>
  </si>
  <si>
    <t>Wash cabin item</t>
  </si>
  <si>
    <t>Bath House</t>
  </si>
  <si>
    <t>Shower</t>
  </si>
  <si>
    <t xml:space="preserve">2nd Class Driver </t>
  </si>
  <si>
    <t>Locker</t>
  </si>
  <si>
    <t xml:space="preserve">3rd Class Driver </t>
  </si>
  <si>
    <t>2nd Class Master</t>
  </si>
  <si>
    <t>Table</t>
  </si>
  <si>
    <t>Chair</t>
  </si>
  <si>
    <t>Wardrobe</t>
  </si>
  <si>
    <t>Inspector</t>
  </si>
  <si>
    <t>Owner</t>
  </si>
  <si>
    <t xml:space="preserve">Wash room items </t>
  </si>
  <si>
    <t>TV</t>
  </si>
  <si>
    <t>Refrigerator</t>
  </si>
  <si>
    <t>Sailor 1</t>
  </si>
  <si>
    <t>Sailor 2</t>
  </si>
  <si>
    <t>Sailor 3</t>
  </si>
  <si>
    <t>Sailor 4</t>
  </si>
  <si>
    <t>Sailor 5</t>
  </si>
  <si>
    <t xml:space="preserve">Cook </t>
  </si>
  <si>
    <t xml:space="preserve">Deck Store </t>
  </si>
  <si>
    <t xml:space="preserve">Engine Office </t>
  </si>
  <si>
    <t>Deck Workshop</t>
  </si>
  <si>
    <t>Radio Operator's Room</t>
  </si>
  <si>
    <t>Fan Room</t>
  </si>
  <si>
    <t>Fan Controller</t>
  </si>
  <si>
    <t>Deck Store 2</t>
  </si>
  <si>
    <t xml:space="preserve">Cabinet </t>
  </si>
  <si>
    <t xml:space="preserve">Store </t>
  </si>
  <si>
    <t xml:space="preserve">Electric Room </t>
  </si>
  <si>
    <t>Paint Store</t>
  </si>
  <si>
    <t>Total W&amp;O Weight</t>
  </si>
  <si>
    <t>Chart Table &amp; Chair</t>
  </si>
  <si>
    <t>Map Table &amp; Chair</t>
  </si>
  <si>
    <t>Control Panel Chair</t>
  </si>
  <si>
    <t>Wing Control Panel (Port Side)</t>
  </si>
  <si>
    <t>Moment (about keel)</t>
  </si>
  <si>
    <t>Moment (about amidship)</t>
  </si>
  <si>
    <t>Moment (t-m) (about amidship)</t>
  </si>
  <si>
    <t>Single Bed</t>
  </si>
  <si>
    <t>Control Room Electronics</t>
  </si>
  <si>
    <t>Engine Control Room</t>
  </si>
  <si>
    <t>Store-1</t>
  </si>
  <si>
    <t>Lush Storage</t>
  </si>
  <si>
    <t>Boatswain/Bosun Store</t>
  </si>
  <si>
    <t>Total</t>
  </si>
  <si>
    <t>Funnel</t>
  </si>
  <si>
    <t>Total weight (tonnes)</t>
  </si>
  <si>
    <t>Main Engine</t>
  </si>
  <si>
    <t>Gear Box</t>
  </si>
  <si>
    <t>Generator</t>
  </si>
  <si>
    <t>Pump</t>
  </si>
  <si>
    <t>Exhaust and Chimney</t>
  </si>
  <si>
    <t>Rudder</t>
  </si>
  <si>
    <t>Rudder &amp; Steering Arrangement</t>
  </si>
  <si>
    <t>Anchor &amp; Chain</t>
  </si>
  <si>
    <t>Propeller, Propeller Shaft</t>
  </si>
  <si>
    <t>Complete Electrical System</t>
  </si>
  <si>
    <t>Hatch Coaming Girder</t>
  </si>
  <si>
    <t>Complete Piping</t>
  </si>
  <si>
    <t>Windlass</t>
  </si>
  <si>
    <t>Mooring Rope</t>
  </si>
  <si>
    <t>Total Machinery Weight</t>
  </si>
  <si>
    <t>Equipment Number</t>
  </si>
  <si>
    <t xml:space="preserve">Displacement </t>
  </si>
  <si>
    <t>h(dk)</t>
  </si>
  <si>
    <t>A</t>
  </si>
  <si>
    <t>EN</t>
  </si>
  <si>
    <t>Unit weight (tonnes)</t>
  </si>
  <si>
    <t>Engine Control Room Equipment</t>
  </si>
  <si>
    <t xml:space="preserve"> Bollard, Capstan and other Fittings</t>
  </si>
  <si>
    <t>Stock</t>
  </si>
  <si>
    <t>Bearing House, Coupling Bolt, etc.</t>
  </si>
  <si>
    <t>Shaft</t>
  </si>
  <si>
    <t>Propeller</t>
  </si>
  <si>
    <t>Machinery Weight</t>
  </si>
  <si>
    <t>Total Lightship Weight</t>
  </si>
  <si>
    <t/>
  </si>
  <si>
    <t>Light Ship</t>
  </si>
  <si>
    <t>Lub Oil</t>
  </si>
  <si>
    <t xml:space="preserve"> Fresh Water</t>
  </si>
  <si>
    <t>Cargo Hold 1</t>
  </si>
  <si>
    <t>Cargo Hold 2</t>
  </si>
  <si>
    <t>Cargo Hold 3</t>
  </si>
  <si>
    <t>Total Weight</t>
  </si>
  <si>
    <t>Lub Oil (10%)</t>
  </si>
  <si>
    <t xml:space="preserve"> Fresh Water (10%)</t>
  </si>
  <si>
    <t>Draft</t>
  </si>
  <si>
    <t>Reserved Fuel Oil</t>
  </si>
  <si>
    <t>Service Fuel Oil (Engine)</t>
  </si>
  <si>
    <t>Service Fuel Oil (Generator)</t>
  </si>
  <si>
    <t>Reserved Fresh Water</t>
  </si>
  <si>
    <t>Service Fresh Water</t>
  </si>
  <si>
    <t>Ballast Water</t>
  </si>
  <si>
    <t>F.W.T</t>
  </si>
  <si>
    <t>A.P.T</t>
  </si>
  <si>
    <t>W.B.3</t>
  </si>
  <si>
    <t>W.B.2</t>
  </si>
  <si>
    <t>W.B.1</t>
  </si>
  <si>
    <t>Wood &amp; Outfit Weight</t>
  </si>
  <si>
    <t>(with 10% increase)</t>
  </si>
  <si>
    <t>Fully Loaded Departure Condition</t>
  </si>
  <si>
    <t>Geezer 1</t>
  </si>
  <si>
    <t>Geezer 2</t>
  </si>
  <si>
    <t>Geezer 3</t>
  </si>
  <si>
    <t>Crew (13)</t>
  </si>
  <si>
    <t>Fuel Oil</t>
  </si>
  <si>
    <t>Fully Loaded Arrival Condition</t>
  </si>
  <si>
    <t>Fuel Oil (10%)</t>
  </si>
  <si>
    <t>Ballast (Arrival Condition)</t>
  </si>
  <si>
    <t>LOA</t>
  </si>
  <si>
    <t>LCG amd.</t>
  </si>
  <si>
    <t>=</t>
  </si>
  <si>
    <t>m      =</t>
  </si>
  <si>
    <t>ton-m/cm</t>
  </si>
  <si>
    <t>Change of trim,</t>
  </si>
  <si>
    <t>Change in draught at aft perpendicular,</t>
  </si>
  <si>
    <t>Change in draught at fore perpendicular,</t>
  </si>
  <si>
    <t>Final Draft of Vessel</t>
  </si>
  <si>
    <t>Draft (aft)</t>
  </si>
  <si>
    <t>Draft (fore)</t>
  </si>
  <si>
    <t>Comment</t>
  </si>
  <si>
    <t>Mean Draft (m)</t>
  </si>
  <si>
    <t>Trim by Stern</t>
  </si>
  <si>
    <t>Change in Draft (m)</t>
  </si>
  <si>
    <t>Final Draft (m)</t>
  </si>
  <si>
    <t>Moment (about midship)</t>
  </si>
  <si>
    <t>LCG at Loaded Condition =</t>
  </si>
  <si>
    <t>m (fwd.)</t>
  </si>
  <si>
    <t>m (aft)</t>
  </si>
  <si>
    <t>Half Length =</t>
  </si>
  <si>
    <t>LCB =</t>
  </si>
  <si>
    <t>LCF =</t>
  </si>
  <si>
    <t>MCT 1 cm =</t>
  </si>
  <si>
    <t>WF =</t>
  </si>
  <si>
    <t>FL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</si>
</sst>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1"/>
      <name val="Adobe Garamond Pro Bold"/>
      <family val="1"/>
    </font>
    <font>
      <sz val="11"/>
      <color theme="1"/>
      <name val="Times New Roman"/>
      <family val="1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Fill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 textRotation="255"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ill="1" applyAlignment="1">
      <alignment horizontal="right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/>
    <xf numFmtId="164" fontId="12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Border="1"/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2" fillId="3" borderId="0" xfId="0" applyNumberFormat="1" applyFont="1" applyFill="1"/>
    <xf numFmtId="164" fontId="2" fillId="3" borderId="0" xfId="0" applyNumberFormat="1" applyFont="1" applyFill="1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 wrapText="1"/>
    </xf>
    <xf numFmtId="2" fontId="10" fillId="3" borderId="1" xfId="0" applyNumberFormat="1" applyFont="1" applyFill="1" applyBorder="1"/>
    <xf numFmtId="2" fontId="15" fillId="3" borderId="3" xfId="0" applyNumberFormat="1" applyFont="1" applyFill="1" applyBorder="1" applyAlignment="1">
      <alignment horizontal="center" vertical="center" wrapText="1"/>
    </xf>
    <xf numFmtId="2" fontId="15" fillId="3" borderId="4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0" fontId="0" fillId="3" borderId="0" xfId="0" applyNumberFormat="1" applyFill="1"/>
    <xf numFmtId="2" fontId="0" fillId="2" borderId="1" xfId="0" applyNumberForma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2" fontId="19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quotePrefix="1" applyNumberFormat="1" applyAlignment="1">
      <alignment vertical="center"/>
    </xf>
    <xf numFmtId="2" fontId="2" fillId="0" borderId="0" xfId="0" applyNumberFormat="1" applyFont="1" applyAlignment="1">
      <alignment horizontal="right" vertical="center"/>
    </xf>
    <xf numFmtId="2" fontId="20" fillId="0" borderId="0" xfId="0" applyNumberFormat="1" applyFont="1" applyAlignment="1">
      <alignment vertical="center"/>
    </xf>
    <xf numFmtId="2" fontId="0" fillId="0" borderId="6" xfId="0" applyNumberFormat="1" applyBorder="1" applyAlignment="1">
      <alignment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top"/>
    </xf>
    <xf numFmtId="0" fontId="1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2" fontId="21" fillId="0" borderId="9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1" xfId="0" applyNumberFormat="1" applyFont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2" fontId="21" fillId="0" borderId="7" xfId="0" applyNumberFormat="1" applyFont="1" applyBorder="1" applyAlignment="1">
      <alignment horizontal="center" vertical="center"/>
    </xf>
    <xf numFmtId="2" fontId="21" fillId="0" borderId="8" xfId="0" applyNumberFormat="1" applyFont="1" applyBorder="1" applyAlignment="1">
      <alignment horizontal="center" vertical="center"/>
    </xf>
    <xf numFmtId="2" fontId="11" fillId="3" borderId="3" xfId="0" applyNumberFormat="1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vertical="center"/>
    </xf>
    <xf numFmtId="2" fontId="2" fillId="3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emf"/><Relationship Id="rId4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e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emf"/><Relationship Id="rId4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</xdr:colOff>
      <xdr:row>17</xdr:row>
      <xdr:rowOff>165100</xdr:rowOff>
    </xdr:from>
    <xdr:to>
      <xdr:col>17</xdr:col>
      <xdr:colOff>601980</xdr:colOff>
      <xdr:row>19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783"/>
        <a:stretch/>
      </xdr:blipFill>
      <xdr:spPr bwMode="auto">
        <a:xfrm>
          <a:off x="14020800" y="4171950"/>
          <a:ext cx="181483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571500</xdr:colOff>
      <xdr:row>32</xdr:row>
      <xdr:rowOff>177800</xdr:rowOff>
    </xdr:from>
    <xdr:to>
      <xdr:col>19</xdr:col>
      <xdr:colOff>354330</xdr:colOff>
      <xdr:row>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28"/>
        <a:stretch/>
      </xdr:blipFill>
      <xdr:spPr bwMode="auto">
        <a:xfrm>
          <a:off x="12026900" y="6946900"/>
          <a:ext cx="478028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</xdr:colOff>
          <xdr:row>16</xdr:row>
          <xdr:rowOff>31750</xdr:rowOff>
        </xdr:from>
        <xdr:to>
          <xdr:col>4</xdr:col>
          <xdr:colOff>571500</xdr:colOff>
          <xdr:row>19</xdr:row>
          <xdr:rowOff>31750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901699</xdr:colOff>
          <xdr:row>25</xdr:row>
          <xdr:rowOff>146050</xdr:rowOff>
        </xdr:from>
        <xdr:to>
          <xdr:col>2</xdr:col>
          <xdr:colOff>546100</xdr:colOff>
          <xdr:row>27</xdr:row>
          <xdr:rowOff>82550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254000</xdr:colOff>
          <xdr:row>28</xdr:row>
          <xdr:rowOff>114300</xdr:rowOff>
        </xdr:from>
        <xdr:to>
          <xdr:col>7</xdr:col>
          <xdr:colOff>177800</xdr:colOff>
          <xdr:row>30</xdr:row>
          <xdr:rowOff>120650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342900</xdr:colOff>
          <xdr:row>32</xdr:row>
          <xdr:rowOff>107950</xdr:rowOff>
        </xdr:from>
        <xdr:to>
          <xdr:col>7</xdr:col>
          <xdr:colOff>222250</xdr:colOff>
          <xdr:row>34</xdr:row>
          <xdr:rowOff>107950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</xdr:colOff>
          <xdr:row>16</xdr:row>
          <xdr:rowOff>31750</xdr:rowOff>
        </xdr:from>
        <xdr:to>
          <xdr:col>4</xdr:col>
          <xdr:colOff>571500</xdr:colOff>
          <xdr:row>19</xdr:row>
          <xdr:rowOff>31750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25</xdr:row>
          <xdr:rowOff>158750</xdr:rowOff>
        </xdr:from>
        <xdr:to>
          <xdr:col>2</xdr:col>
          <xdr:colOff>590550</xdr:colOff>
          <xdr:row>27</xdr:row>
          <xdr:rowOff>82550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254000</xdr:colOff>
          <xdr:row>28</xdr:row>
          <xdr:rowOff>114300</xdr:rowOff>
        </xdr:from>
        <xdr:to>
          <xdr:col>7</xdr:col>
          <xdr:colOff>177800</xdr:colOff>
          <xdr:row>30</xdr:row>
          <xdr:rowOff>120650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342900</xdr:colOff>
          <xdr:row>32</xdr:row>
          <xdr:rowOff>107950</xdr:rowOff>
        </xdr:from>
        <xdr:to>
          <xdr:col>7</xdr:col>
          <xdr:colOff>222250</xdr:colOff>
          <xdr:row>34</xdr:row>
          <xdr:rowOff>107950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63500</xdr:colOff>
          <xdr:row>16</xdr:row>
          <xdr:rowOff>31750</xdr:rowOff>
        </xdr:from>
        <xdr:to>
          <xdr:col>4</xdr:col>
          <xdr:colOff>571500</xdr:colOff>
          <xdr:row>19</xdr:row>
          <xdr:rowOff>31750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25</xdr:row>
          <xdr:rowOff>158750</xdr:rowOff>
        </xdr:from>
        <xdr:to>
          <xdr:col>2</xdr:col>
          <xdr:colOff>543339</xdr:colOff>
          <xdr:row>27</xdr:row>
          <xdr:rowOff>69850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254000</xdr:colOff>
          <xdr:row>28</xdr:row>
          <xdr:rowOff>114300</xdr:rowOff>
        </xdr:from>
        <xdr:to>
          <xdr:col>7</xdr:col>
          <xdr:colOff>177800</xdr:colOff>
          <xdr:row>30</xdr:row>
          <xdr:rowOff>120650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342900</xdr:colOff>
          <xdr:row>32</xdr:row>
          <xdr:rowOff>107950</xdr:rowOff>
        </xdr:from>
        <xdr:to>
          <xdr:col>7</xdr:col>
          <xdr:colOff>222250</xdr:colOff>
          <xdr:row>34</xdr:row>
          <xdr:rowOff>107950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1/NAME-338/Rayhan%20Bhai's%20('17)%20Files/Group-L-Detailed%20Weight%20&amp;%20Trim%20Calculation%20-%20NAME%203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teel Weight"/>
      <sheetName val="W&amp;O Weight"/>
      <sheetName val="Machinery Weight"/>
      <sheetName val="Hull Weight"/>
      <sheetName val="Trim Calc."/>
      <sheetName val="Sheet3"/>
      <sheetName val="Sheet1"/>
    </sheetNames>
    <sheetDataSet>
      <sheetData sheetId="0">
        <row r="61">
          <cell r="E61">
            <v>42.579847999999991</v>
          </cell>
        </row>
        <row r="64">
          <cell r="E64">
            <v>25.802447878160578</v>
          </cell>
          <cell r="H64">
            <v>0.82453275173739404</v>
          </cell>
        </row>
        <row r="131">
          <cell r="E131">
            <v>15.617055999999998</v>
          </cell>
        </row>
        <row r="132">
          <cell r="F132">
            <v>30.335446738745127</v>
          </cell>
          <cell r="H132">
            <v>3.4701275700106344</v>
          </cell>
        </row>
        <row r="179">
          <cell r="E179">
            <v>7.2709992000000012</v>
          </cell>
          <cell r="G179">
            <v>193.05977633279997</v>
          </cell>
        </row>
        <row r="185">
          <cell r="N185">
            <v>5.9973120177036705</v>
          </cell>
        </row>
        <row r="205">
          <cell r="E205">
            <v>3.1707659999999995</v>
          </cell>
          <cell r="G205">
            <v>23.880209544</v>
          </cell>
        </row>
        <row r="289">
          <cell r="E289">
            <v>12.981383999999995</v>
          </cell>
        </row>
        <row r="291">
          <cell r="F291">
            <v>32.230480928689921</v>
          </cell>
          <cell r="J291">
            <v>3.467665518561041</v>
          </cell>
        </row>
        <row r="298">
          <cell r="G298">
            <v>87.775463519999988</v>
          </cell>
        </row>
      </sheetData>
      <sheetData sheetId="1">
        <row r="38">
          <cell r="K38">
            <v>10.441765200000001</v>
          </cell>
        </row>
        <row r="86">
          <cell r="J86">
            <v>29.8667336824263</v>
          </cell>
        </row>
        <row r="88">
          <cell r="J88">
            <v>2.3963415813194717</v>
          </cell>
        </row>
      </sheetData>
      <sheetData sheetId="2">
        <row r="132">
          <cell r="G132">
            <v>8.1866971958389883</v>
          </cell>
        </row>
        <row r="134">
          <cell r="G134">
            <v>7.0901854364540933</v>
          </cell>
        </row>
      </sheetData>
      <sheetData sheetId="3">
        <row r="21">
          <cell r="H21">
            <v>25.972531633082866</v>
          </cell>
        </row>
        <row r="23">
          <cell r="H23">
            <v>3.8556991496733222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4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6.w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4.w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6.w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image" Target="../media/image4.wmf"/><Relationship Id="rId5" Type="http://schemas.openxmlformats.org/officeDocument/2006/relationships/oleObject" Target="../embeddings/oleObject10.bin"/><Relationship Id="rId10" Type="http://schemas.openxmlformats.org/officeDocument/2006/relationships/image" Target="../media/image6.w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19"/>
  <sheetViews>
    <sheetView tabSelected="1" zoomScale="90" zoomScaleNormal="90" workbookViewId="0"/>
  </sheetViews>
  <sheetFormatPr defaultRowHeight="14.5"/>
  <cols>
    <col min="1" max="1" width="8.7265625" style="12"/>
    <col min="2" max="2" width="12.90625" style="12" customWidth="1"/>
    <col min="3" max="3" width="13.7265625" style="12" customWidth="1"/>
    <col min="4" max="4" width="10.7265625" style="14" customWidth="1"/>
    <col min="5" max="5" width="9.90625" style="12" customWidth="1"/>
    <col min="6" max="6" width="9.7265625" style="12" customWidth="1"/>
    <col min="7" max="7" width="10.36328125" style="12" customWidth="1"/>
    <col min="8" max="8" width="12.81640625" style="12" customWidth="1"/>
    <col min="9" max="9" width="12.36328125" style="12" customWidth="1"/>
    <col min="10" max="10" width="12.7265625" style="12" customWidth="1"/>
    <col min="11" max="14" width="8.7265625" style="12"/>
    <col min="15" max="15" width="10.7265625" style="12" customWidth="1"/>
    <col min="16" max="26" width="8.7265625" style="12"/>
  </cols>
  <sheetData>
    <row r="2" spans="1:26" s="1" customFormat="1">
      <c r="A2" s="10"/>
      <c r="B2" s="53"/>
      <c r="C2" s="54" t="s">
        <v>0</v>
      </c>
      <c r="D2" s="54" t="s">
        <v>1</v>
      </c>
      <c r="E2" s="54" t="s">
        <v>2</v>
      </c>
      <c r="F2" s="54" t="s">
        <v>3</v>
      </c>
      <c r="G2" s="54" t="s">
        <v>4</v>
      </c>
      <c r="H2" s="54" t="s">
        <v>179</v>
      </c>
      <c r="I2" s="54" t="s">
        <v>5</v>
      </c>
      <c r="J2" s="54" t="s">
        <v>180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5.5" customHeight="1">
      <c r="B3" s="13" t="s">
        <v>6</v>
      </c>
    </row>
    <row r="4" spans="1:26">
      <c r="B4" s="12" t="s">
        <v>7</v>
      </c>
      <c r="D4" s="15">
        <f>0.85*0.008+0.4*0.008</f>
        <v>0.01</v>
      </c>
      <c r="E4" s="12">
        <v>3.25</v>
      </c>
      <c r="F4" s="12">
        <f>D4*2*E4*7.87</f>
        <v>0.51155000000000006</v>
      </c>
      <c r="G4" s="12">
        <v>0.23499999999999999</v>
      </c>
      <c r="H4" s="12">
        <f>F4*G4</f>
        <v>0.12021425000000001</v>
      </c>
      <c r="I4" s="12">
        <f>0.85/2+3.17</f>
        <v>3.5949999999999998</v>
      </c>
      <c r="J4" s="12">
        <f>F4*I4</f>
        <v>1.8390222500000002</v>
      </c>
      <c r="K4" s="16"/>
    </row>
    <row r="5" spans="1:26">
      <c r="B5" s="12" t="s">
        <v>8</v>
      </c>
      <c r="D5" s="15">
        <f t="shared" ref="D5:D60" si="0">0.85*0.008+0.4*0.008</f>
        <v>0.01</v>
      </c>
      <c r="E5" s="12">
        <v>3.54</v>
      </c>
      <c r="F5" s="12">
        <f t="shared" ref="F5:F60" si="1">D5*2*E5*7.87</f>
        <v>0.55719600000000002</v>
      </c>
      <c r="G5" s="12">
        <f>G4+0.6</f>
        <v>0.83499999999999996</v>
      </c>
      <c r="H5" s="12">
        <f t="shared" ref="H5:H60" si="2">F5*G5</f>
        <v>0.46525865999999999</v>
      </c>
      <c r="I5" s="12">
        <f>0.85/2+3.15</f>
        <v>3.5749999999999997</v>
      </c>
      <c r="J5" s="12">
        <f t="shared" ref="J5:J60" si="3">F5*I5</f>
        <v>1.9919757</v>
      </c>
      <c r="K5" s="16"/>
    </row>
    <row r="6" spans="1:26">
      <c r="B6" s="12" t="s">
        <v>9</v>
      </c>
      <c r="D6" s="15">
        <f t="shared" si="0"/>
        <v>0.01</v>
      </c>
      <c r="E6" s="12">
        <v>3.81</v>
      </c>
      <c r="F6" s="12">
        <f t="shared" si="1"/>
        <v>0.59969400000000006</v>
      </c>
      <c r="G6" s="12">
        <f t="shared" ref="G6:G27" si="4">G5+0.6</f>
        <v>1.4350000000000001</v>
      </c>
      <c r="H6" s="12">
        <f t="shared" si="2"/>
        <v>0.86056089000000013</v>
      </c>
      <c r="I6" s="12">
        <f>0.85/2+3</f>
        <v>3.4249999999999998</v>
      </c>
      <c r="J6" s="12">
        <f t="shared" si="3"/>
        <v>2.0539519500000001</v>
      </c>
      <c r="K6" s="16"/>
      <c r="M6" s="12" t="s">
        <v>181</v>
      </c>
    </row>
    <row r="7" spans="1:26">
      <c r="B7" s="12" t="s">
        <v>10</v>
      </c>
      <c r="D7" s="15">
        <f t="shared" si="0"/>
        <v>0.01</v>
      </c>
      <c r="E7" s="12">
        <v>4.07</v>
      </c>
      <c r="F7" s="12">
        <f t="shared" si="1"/>
        <v>0.64061800000000013</v>
      </c>
      <c r="G7" s="12">
        <f t="shared" si="4"/>
        <v>2.0350000000000001</v>
      </c>
      <c r="H7" s="12">
        <f t="shared" si="2"/>
        <v>1.3036576300000005</v>
      </c>
      <c r="I7" s="12">
        <f>0.85/2+2.51</f>
        <v>2.9349999999999996</v>
      </c>
      <c r="J7" s="12">
        <f t="shared" si="3"/>
        <v>1.8802138300000002</v>
      </c>
      <c r="K7" s="16"/>
      <c r="O7" s="12" t="s">
        <v>185</v>
      </c>
      <c r="P7" s="12" t="s">
        <v>186</v>
      </c>
    </row>
    <row r="8" spans="1:26">
      <c r="B8" s="12" t="s">
        <v>11</v>
      </c>
      <c r="D8" s="15">
        <f t="shared" si="0"/>
        <v>0.01</v>
      </c>
      <c r="E8" s="12">
        <v>4.3</v>
      </c>
      <c r="F8" s="12">
        <f t="shared" si="1"/>
        <v>0.67681999999999998</v>
      </c>
      <c r="G8" s="12">
        <f t="shared" si="4"/>
        <v>2.6350000000000002</v>
      </c>
      <c r="H8" s="12">
        <f t="shared" si="2"/>
        <v>1.7834207000000002</v>
      </c>
      <c r="I8" s="12">
        <f>0.85/2+2.3</f>
        <v>2.7249999999999996</v>
      </c>
      <c r="J8" s="12">
        <f t="shared" si="3"/>
        <v>1.8443344999999998</v>
      </c>
      <c r="K8" s="16"/>
    </row>
    <row r="9" spans="1:26">
      <c r="B9" s="12" t="s">
        <v>12</v>
      </c>
      <c r="D9" s="15">
        <f t="shared" si="0"/>
        <v>0.01</v>
      </c>
      <c r="E9" s="12">
        <v>4.5</v>
      </c>
      <c r="F9" s="12">
        <f t="shared" si="1"/>
        <v>0.70829999999999993</v>
      </c>
      <c r="G9" s="12">
        <f t="shared" si="4"/>
        <v>3.2350000000000003</v>
      </c>
      <c r="H9" s="12">
        <f t="shared" si="2"/>
        <v>2.2913505000000001</v>
      </c>
      <c r="I9" s="12">
        <f>0.85/2+2.1</f>
        <v>2.5249999999999999</v>
      </c>
      <c r="J9" s="12">
        <f t="shared" si="3"/>
        <v>1.7884574999999998</v>
      </c>
      <c r="K9" s="16"/>
      <c r="N9" s="12" t="s">
        <v>182</v>
      </c>
      <c r="O9" s="12">
        <f>0.09*0.008+0.052*0.008</f>
        <v>1.1359999999999999E-3</v>
      </c>
    </row>
    <row r="10" spans="1:26">
      <c r="B10" s="12" t="s">
        <v>13</v>
      </c>
      <c r="D10" s="15">
        <f t="shared" si="0"/>
        <v>0.01</v>
      </c>
      <c r="E10" s="12">
        <v>4.67</v>
      </c>
      <c r="F10" s="12">
        <f t="shared" si="1"/>
        <v>0.73505799999999999</v>
      </c>
      <c r="G10" s="12">
        <f t="shared" si="4"/>
        <v>3.8350000000000004</v>
      </c>
      <c r="H10" s="12">
        <f t="shared" si="2"/>
        <v>2.8189474300000001</v>
      </c>
      <c r="I10" s="12">
        <f>0.85/2+1.81</f>
        <v>2.2349999999999999</v>
      </c>
      <c r="J10" s="12">
        <f t="shared" si="3"/>
        <v>1.64285463</v>
      </c>
      <c r="K10" s="16"/>
      <c r="N10" s="12" t="s">
        <v>183</v>
      </c>
      <c r="O10" s="12">
        <f>O9*0.85*7.87*18*45</f>
        <v>6.1554103199999997</v>
      </c>
      <c r="P10" s="12" t="s">
        <v>184</v>
      </c>
    </row>
    <row r="11" spans="1:26">
      <c r="B11" s="12" t="s">
        <v>14</v>
      </c>
      <c r="D11" s="15">
        <f t="shared" si="0"/>
        <v>0.01</v>
      </c>
      <c r="E11" s="12">
        <v>4.8</v>
      </c>
      <c r="F11" s="12">
        <f t="shared" si="1"/>
        <v>0.75552000000000008</v>
      </c>
      <c r="G11" s="12">
        <f t="shared" si="4"/>
        <v>4.4350000000000005</v>
      </c>
      <c r="H11" s="12">
        <f t="shared" si="2"/>
        <v>3.3507312000000007</v>
      </c>
      <c r="I11" s="12">
        <f>0.85/2+1.7</f>
        <v>2.125</v>
      </c>
      <c r="J11" s="12">
        <f t="shared" si="3"/>
        <v>1.6054800000000002</v>
      </c>
    </row>
    <row r="12" spans="1:26">
      <c r="B12" s="12" t="s">
        <v>15</v>
      </c>
      <c r="D12" s="15">
        <f t="shared" si="0"/>
        <v>0.01</v>
      </c>
      <c r="E12" s="12">
        <v>4.9000000000000004</v>
      </c>
      <c r="F12" s="12">
        <f t="shared" si="1"/>
        <v>0.77126000000000006</v>
      </c>
      <c r="G12" s="12">
        <f t="shared" si="4"/>
        <v>5.0350000000000001</v>
      </c>
      <c r="H12" s="12">
        <f t="shared" si="2"/>
        <v>3.8832941000000005</v>
      </c>
      <c r="I12" s="12">
        <f>0.85/2+1.6</f>
        <v>2.0249999999999999</v>
      </c>
      <c r="J12" s="12">
        <f t="shared" si="3"/>
        <v>1.5618015000000001</v>
      </c>
    </row>
    <row r="13" spans="1:26">
      <c r="B13" s="12" t="s">
        <v>16</v>
      </c>
      <c r="D13" s="15">
        <f t="shared" si="0"/>
        <v>0.01</v>
      </c>
      <c r="E13" s="12">
        <v>4.9800000000000004</v>
      </c>
      <c r="F13" s="12">
        <f t="shared" si="1"/>
        <v>0.7838520000000001</v>
      </c>
      <c r="G13" s="12">
        <f t="shared" si="4"/>
        <v>5.6349999999999998</v>
      </c>
      <c r="H13" s="12">
        <f t="shared" si="2"/>
        <v>4.4170060200000005</v>
      </c>
      <c r="I13" s="12">
        <f>0.85/2+1</f>
        <v>1.425</v>
      </c>
      <c r="J13" s="12">
        <f t="shared" si="3"/>
        <v>1.1169891000000003</v>
      </c>
    </row>
    <row r="14" spans="1:26">
      <c r="B14" s="12" t="s">
        <v>17</v>
      </c>
      <c r="D14" s="15">
        <f t="shared" si="0"/>
        <v>0.01</v>
      </c>
      <c r="E14" s="12">
        <v>5</v>
      </c>
      <c r="F14" s="12">
        <f t="shared" si="1"/>
        <v>0.78700000000000003</v>
      </c>
      <c r="G14" s="12">
        <f t="shared" si="4"/>
        <v>6.2349999999999994</v>
      </c>
      <c r="H14" s="12">
        <f t="shared" si="2"/>
        <v>4.9069449999999994</v>
      </c>
      <c r="I14" s="12">
        <f>0.85/2+0.8</f>
        <v>1.2250000000000001</v>
      </c>
      <c r="J14" s="12">
        <f t="shared" si="3"/>
        <v>0.96407500000000013</v>
      </c>
    </row>
    <row r="15" spans="1:26">
      <c r="B15" s="12" t="s">
        <v>18</v>
      </c>
      <c r="D15" s="15">
        <f t="shared" si="0"/>
        <v>0.01</v>
      </c>
      <c r="E15" s="12">
        <v>5.0999999999999996</v>
      </c>
      <c r="F15" s="12">
        <f t="shared" si="1"/>
        <v>0.80274000000000001</v>
      </c>
      <c r="G15" s="12">
        <f t="shared" si="4"/>
        <v>6.8349999999999991</v>
      </c>
      <c r="H15" s="12">
        <f t="shared" si="2"/>
        <v>5.4867278999999991</v>
      </c>
      <c r="I15" s="12">
        <f>0.85/2+0.677</f>
        <v>1.1020000000000001</v>
      </c>
      <c r="J15" s="12">
        <f t="shared" si="3"/>
        <v>0.88461948000000012</v>
      </c>
    </row>
    <row r="16" spans="1:26">
      <c r="B16" s="12" t="s">
        <v>19</v>
      </c>
      <c r="D16" s="15">
        <f t="shared" si="0"/>
        <v>0.01</v>
      </c>
      <c r="E16" s="12">
        <v>5.3</v>
      </c>
      <c r="F16" s="12">
        <f t="shared" si="1"/>
        <v>0.83421999999999996</v>
      </c>
      <c r="G16" s="12">
        <f t="shared" si="4"/>
        <v>7.4349999999999987</v>
      </c>
      <c r="H16" s="12">
        <f t="shared" si="2"/>
        <v>6.2024256999999983</v>
      </c>
      <c r="I16" s="12">
        <f>0.85/2+0.6</f>
        <v>1.0249999999999999</v>
      </c>
      <c r="J16" s="12">
        <f t="shared" si="3"/>
        <v>0.85507549999999988</v>
      </c>
    </row>
    <row r="17" spans="2:10">
      <c r="B17" s="12" t="s">
        <v>20</v>
      </c>
      <c r="D17" s="15">
        <f t="shared" si="0"/>
        <v>0.01</v>
      </c>
      <c r="E17" s="12">
        <v>5.5</v>
      </c>
      <c r="F17" s="12">
        <f t="shared" si="1"/>
        <v>0.86570000000000003</v>
      </c>
      <c r="G17" s="12">
        <f t="shared" si="4"/>
        <v>8.0349999999999984</v>
      </c>
      <c r="H17" s="12">
        <f t="shared" si="2"/>
        <v>6.9558994999999983</v>
      </c>
      <c r="I17" s="12">
        <f>0.85/2+0.5</f>
        <v>0.92500000000000004</v>
      </c>
      <c r="J17" s="12">
        <f t="shared" si="3"/>
        <v>0.80077250000000011</v>
      </c>
    </row>
    <row r="18" spans="2:10">
      <c r="B18" s="12" t="s">
        <v>21</v>
      </c>
      <c r="D18" s="15">
        <f t="shared" si="0"/>
        <v>0.01</v>
      </c>
      <c r="E18" s="12">
        <v>5.5</v>
      </c>
      <c r="F18" s="12">
        <f t="shared" si="1"/>
        <v>0.86570000000000003</v>
      </c>
      <c r="G18" s="12">
        <f t="shared" si="4"/>
        <v>8.634999999999998</v>
      </c>
      <c r="H18" s="12">
        <f t="shared" si="2"/>
        <v>7.4753194999999986</v>
      </c>
      <c r="I18" s="12">
        <f>0.85/2+0.314</f>
        <v>0.73899999999999999</v>
      </c>
      <c r="J18" s="12">
        <f t="shared" si="3"/>
        <v>0.63975230000000005</v>
      </c>
    </row>
    <row r="19" spans="2:10">
      <c r="B19" s="12" t="s">
        <v>22</v>
      </c>
      <c r="D19" s="15">
        <f t="shared" si="0"/>
        <v>0.01</v>
      </c>
      <c r="E19" s="12">
        <v>5.5</v>
      </c>
      <c r="F19" s="12">
        <f t="shared" si="1"/>
        <v>0.86570000000000003</v>
      </c>
      <c r="G19" s="12">
        <f t="shared" si="4"/>
        <v>9.2349999999999977</v>
      </c>
      <c r="H19" s="12">
        <f t="shared" si="2"/>
        <v>7.9947394999999979</v>
      </c>
      <c r="I19" s="12">
        <f>0.85/2+0.2</f>
        <v>0.625</v>
      </c>
      <c r="J19" s="12">
        <f t="shared" si="3"/>
        <v>0.5410625</v>
      </c>
    </row>
    <row r="20" spans="2:10">
      <c r="B20" s="12" t="s">
        <v>23</v>
      </c>
      <c r="D20" s="15">
        <f t="shared" si="0"/>
        <v>0.01</v>
      </c>
      <c r="E20" s="12">
        <v>5.5</v>
      </c>
      <c r="F20" s="12">
        <f t="shared" si="1"/>
        <v>0.86570000000000003</v>
      </c>
      <c r="G20" s="12">
        <f t="shared" si="4"/>
        <v>9.8349999999999973</v>
      </c>
      <c r="H20" s="12">
        <f t="shared" si="2"/>
        <v>8.5141594999999981</v>
      </c>
      <c r="I20" s="12">
        <f t="shared" ref="I20:I60" si="5">0.85/2</f>
        <v>0.42499999999999999</v>
      </c>
      <c r="J20" s="12">
        <f t="shared" si="3"/>
        <v>0.36792249999999999</v>
      </c>
    </row>
    <row r="21" spans="2:10">
      <c r="B21" s="12" t="s">
        <v>24</v>
      </c>
      <c r="D21" s="15">
        <f t="shared" si="0"/>
        <v>0.01</v>
      </c>
      <c r="E21" s="12">
        <v>5.5</v>
      </c>
      <c r="F21" s="12">
        <f t="shared" si="1"/>
        <v>0.86570000000000003</v>
      </c>
      <c r="G21" s="12">
        <f t="shared" si="4"/>
        <v>10.434999999999997</v>
      </c>
      <c r="H21" s="12">
        <f t="shared" si="2"/>
        <v>9.0335794999999983</v>
      </c>
      <c r="I21" s="12">
        <f t="shared" si="5"/>
        <v>0.42499999999999999</v>
      </c>
      <c r="J21" s="12">
        <f t="shared" si="3"/>
        <v>0.36792249999999999</v>
      </c>
    </row>
    <row r="22" spans="2:10">
      <c r="B22" s="12" t="s">
        <v>25</v>
      </c>
      <c r="D22" s="15">
        <f t="shared" si="0"/>
        <v>0.01</v>
      </c>
      <c r="E22" s="12">
        <v>5.5</v>
      </c>
      <c r="F22" s="12">
        <f t="shared" si="1"/>
        <v>0.86570000000000003</v>
      </c>
      <c r="G22" s="12">
        <f t="shared" si="4"/>
        <v>11.034999999999997</v>
      </c>
      <c r="H22" s="12">
        <f t="shared" si="2"/>
        <v>9.5529994999999968</v>
      </c>
      <c r="I22" s="12">
        <f t="shared" si="5"/>
        <v>0.42499999999999999</v>
      </c>
      <c r="J22" s="12">
        <f t="shared" si="3"/>
        <v>0.36792249999999999</v>
      </c>
    </row>
    <row r="23" spans="2:10">
      <c r="B23" s="12" t="s">
        <v>26</v>
      </c>
      <c r="D23" s="15">
        <f t="shared" si="0"/>
        <v>0.01</v>
      </c>
      <c r="E23" s="12">
        <v>5.5</v>
      </c>
      <c r="F23" s="12">
        <f t="shared" si="1"/>
        <v>0.86570000000000003</v>
      </c>
      <c r="G23" s="12">
        <f t="shared" si="4"/>
        <v>11.634999999999996</v>
      </c>
      <c r="H23" s="12">
        <f t="shared" si="2"/>
        <v>10.072419499999997</v>
      </c>
      <c r="I23" s="12">
        <f t="shared" si="5"/>
        <v>0.42499999999999999</v>
      </c>
      <c r="J23" s="12">
        <f t="shared" si="3"/>
        <v>0.36792249999999999</v>
      </c>
    </row>
    <row r="24" spans="2:10">
      <c r="B24" s="12" t="s">
        <v>27</v>
      </c>
      <c r="D24" s="15">
        <f t="shared" si="0"/>
        <v>0.01</v>
      </c>
      <c r="E24" s="12">
        <v>5.5</v>
      </c>
      <c r="F24" s="12">
        <f t="shared" si="1"/>
        <v>0.86570000000000003</v>
      </c>
      <c r="G24" s="12">
        <f t="shared" si="4"/>
        <v>12.234999999999996</v>
      </c>
      <c r="H24" s="12">
        <f t="shared" si="2"/>
        <v>10.591839499999997</v>
      </c>
      <c r="I24" s="12">
        <f t="shared" si="5"/>
        <v>0.42499999999999999</v>
      </c>
      <c r="J24" s="12">
        <f t="shared" si="3"/>
        <v>0.36792249999999999</v>
      </c>
    </row>
    <row r="25" spans="2:10">
      <c r="B25" s="12" t="s">
        <v>28</v>
      </c>
      <c r="D25" s="15">
        <f t="shared" si="0"/>
        <v>0.01</v>
      </c>
      <c r="E25" s="12">
        <v>5.5</v>
      </c>
      <c r="F25" s="12">
        <f t="shared" si="1"/>
        <v>0.86570000000000003</v>
      </c>
      <c r="G25" s="12">
        <f t="shared" si="4"/>
        <v>12.834999999999996</v>
      </c>
      <c r="H25" s="12">
        <f t="shared" si="2"/>
        <v>11.111259499999996</v>
      </c>
      <c r="I25" s="12">
        <f t="shared" si="5"/>
        <v>0.42499999999999999</v>
      </c>
      <c r="J25" s="12">
        <f t="shared" si="3"/>
        <v>0.36792249999999999</v>
      </c>
    </row>
    <row r="26" spans="2:10">
      <c r="B26" s="12" t="s">
        <v>29</v>
      </c>
      <c r="D26" s="15">
        <f t="shared" si="0"/>
        <v>0.01</v>
      </c>
      <c r="E26" s="12">
        <v>5.5</v>
      </c>
      <c r="F26" s="12">
        <f t="shared" si="1"/>
        <v>0.86570000000000003</v>
      </c>
      <c r="G26" s="12">
        <f t="shared" si="4"/>
        <v>13.434999999999995</v>
      </c>
      <c r="H26" s="12">
        <f t="shared" si="2"/>
        <v>11.630679499999996</v>
      </c>
      <c r="I26" s="12">
        <f t="shared" si="5"/>
        <v>0.42499999999999999</v>
      </c>
      <c r="J26" s="12">
        <f t="shared" si="3"/>
        <v>0.36792249999999999</v>
      </c>
    </row>
    <row r="27" spans="2:10">
      <c r="B27" s="12" t="s">
        <v>30</v>
      </c>
      <c r="D27" s="15">
        <f t="shared" si="0"/>
        <v>0.01</v>
      </c>
      <c r="E27" s="12">
        <v>5.5</v>
      </c>
      <c r="F27" s="12">
        <f t="shared" si="1"/>
        <v>0.86570000000000003</v>
      </c>
      <c r="G27" s="12">
        <f t="shared" si="4"/>
        <v>14.034999999999995</v>
      </c>
      <c r="H27" s="12">
        <f t="shared" si="2"/>
        <v>12.150099499999996</v>
      </c>
      <c r="I27" s="12">
        <f t="shared" si="5"/>
        <v>0.42499999999999999</v>
      </c>
      <c r="J27" s="12">
        <f t="shared" si="3"/>
        <v>0.36792249999999999</v>
      </c>
    </row>
    <row r="28" spans="2:10">
      <c r="B28" s="12" t="s">
        <v>31</v>
      </c>
      <c r="D28" s="15">
        <f t="shared" si="0"/>
        <v>0.01</v>
      </c>
      <c r="E28" s="12">
        <v>5.5</v>
      </c>
      <c r="F28" s="12">
        <f t="shared" si="1"/>
        <v>0.86570000000000003</v>
      </c>
      <c r="G28" s="12">
        <f>G27+1.8</f>
        <v>15.834999999999996</v>
      </c>
      <c r="H28" s="12">
        <f t="shared" si="2"/>
        <v>13.708359499999997</v>
      </c>
      <c r="I28" s="12">
        <f t="shared" si="5"/>
        <v>0.42499999999999999</v>
      </c>
      <c r="J28" s="12">
        <f t="shared" si="3"/>
        <v>0.36792249999999999</v>
      </c>
    </row>
    <row r="29" spans="2:10">
      <c r="B29" s="12" t="s">
        <v>32</v>
      </c>
      <c r="D29" s="15">
        <f t="shared" si="0"/>
        <v>0.01</v>
      </c>
      <c r="E29" s="12">
        <v>5.5</v>
      </c>
      <c r="F29" s="12">
        <f t="shared" si="1"/>
        <v>0.86570000000000003</v>
      </c>
      <c r="G29" s="12">
        <f t="shared" ref="G29:G53" si="6">G28+1.8</f>
        <v>17.634999999999994</v>
      </c>
      <c r="H29" s="12">
        <f t="shared" si="2"/>
        <v>15.266619499999996</v>
      </c>
      <c r="I29" s="12">
        <f t="shared" si="5"/>
        <v>0.42499999999999999</v>
      </c>
      <c r="J29" s="12">
        <f t="shared" si="3"/>
        <v>0.36792249999999999</v>
      </c>
    </row>
    <row r="30" spans="2:10">
      <c r="B30" s="12" t="s">
        <v>33</v>
      </c>
      <c r="D30" s="15">
        <f t="shared" si="0"/>
        <v>0.01</v>
      </c>
      <c r="E30" s="12">
        <v>5.5</v>
      </c>
      <c r="F30" s="12">
        <f t="shared" si="1"/>
        <v>0.86570000000000003</v>
      </c>
      <c r="G30" s="12">
        <f t="shared" si="6"/>
        <v>19.434999999999995</v>
      </c>
      <c r="H30" s="12">
        <f t="shared" si="2"/>
        <v>16.824879499999998</v>
      </c>
      <c r="I30" s="12">
        <f t="shared" si="5"/>
        <v>0.42499999999999999</v>
      </c>
      <c r="J30" s="12">
        <f t="shared" si="3"/>
        <v>0.36792249999999999</v>
      </c>
    </row>
    <row r="31" spans="2:10">
      <c r="B31" s="12" t="s">
        <v>34</v>
      </c>
      <c r="D31" s="15">
        <f t="shared" si="0"/>
        <v>0.01</v>
      </c>
      <c r="E31" s="12">
        <v>5.5</v>
      </c>
      <c r="F31" s="12">
        <f t="shared" si="1"/>
        <v>0.86570000000000003</v>
      </c>
      <c r="G31" s="12">
        <f t="shared" si="6"/>
        <v>21.234999999999996</v>
      </c>
      <c r="H31" s="12">
        <f t="shared" si="2"/>
        <v>18.383139499999999</v>
      </c>
      <c r="I31" s="12">
        <f t="shared" si="5"/>
        <v>0.42499999999999999</v>
      </c>
      <c r="J31" s="12">
        <f t="shared" si="3"/>
        <v>0.36792249999999999</v>
      </c>
    </row>
    <row r="32" spans="2:10">
      <c r="B32" s="12" t="s">
        <v>35</v>
      </c>
      <c r="D32" s="15">
        <f t="shared" si="0"/>
        <v>0.01</v>
      </c>
      <c r="E32" s="12">
        <v>5.5</v>
      </c>
      <c r="F32" s="12">
        <f t="shared" si="1"/>
        <v>0.86570000000000003</v>
      </c>
      <c r="G32" s="12">
        <f t="shared" si="6"/>
        <v>23.034999999999997</v>
      </c>
      <c r="H32" s="12">
        <f t="shared" si="2"/>
        <v>19.941399499999999</v>
      </c>
      <c r="I32" s="12">
        <f t="shared" si="5"/>
        <v>0.42499999999999999</v>
      </c>
      <c r="J32" s="12">
        <f t="shared" si="3"/>
        <v>0.36792249999999999</v>
      </c>
    </row>
    <row r="33" spans="2:10">
      <c r="B33" s="12" t="s">
        <v>36</v>
      </c>
      <c r="D33" s="15">
        <f t="shared" si="0"/>
        <v>0.01</v>
      </c>
      <c r="E33" s="12">
        <v>5.5</v>
      </c>
      <c r="F33" s="12">
        <f t="shared" si="1"/>
        <v>0.86570000000000003</v>
      </c>
      <c r="G33" s="12">
        <f t="shared" si="6"/>
        <v>24.834999999999997</v>
      </c>
      <c r="H33" s="12">
        <f t="shared" si="2"/>
        <v>21.4996595</v>
      </c>
      <c r="I33" s="12">
        <f t="shared" si="5"/>
        <v>0.42499999999999999</v>
      </c>
      <c r="J33" s="12">
        <f t="shared" si="3"/>
        <v>0.36792249999999999</v>
      </c>
    </row>
    <row r="34" spans="2:10">
      <c r="B34" s="12" t="s">
        <v>37</v>
      </c>
      <c r="D34" s="15">
        <f t="shared" si="0"/>
        <v>0.01</v>
      </c>
      <c r="E34" s="12">
        <v>5.5</v>
      </c>
      <c r="F34" s="12">
        <f t="shared" si="1"/>
        <v>0.86570000000000003</v>
      </c>
      <c r="G34" s="12">
        <f t="shared" si="6"/>
        <v>26.634999999999998</v>
      </c>
      <c r="H34" s="12">
        <f t="shared" si="2"/>
        <v>23.057919500000001</v>
      </c>
      <c r="I34" s="12">
        <f t="shared" si="5"/>
        <v>0.42499999999999999</v>
      </c>
      <c r="J34" s="12">
        <f t="shared" si="3"/>
        <v>0.36792249999999999</v>
      </c>
    </row>
    <row r="35" spans="2:10">
      <c r="B35" s="12" t="s">
        <v>38</v>
      </c>
      <c r="D35" s="15">
        <f t="shared" si="0"/>
        <v>0.01</v>
      </c>
      <c r="E35" s="12">
        <v>5.5</v>
      </c>
      <c r="F35" s="12">
        <f t="shared" si="1"/>
        <v>0.86570000000000003</v>
      </c>
      <c r="G35" s="12">
        <f t="shared" si="6"/>
        <v>28.434999999999999</v>
      </c>
      <c r="H35" s="12">
        <f t="shared" si="2"/>
        <v>24.616179500000001</v>
      </c>
      <c r="I35" s="12">
        <f t="shared" si="5"/>
        <v>0.42499999999999999</v>
      </c>
      <c r="J35" s="12">
        <f t="shared" si="3"/>
        <v>0.36792249999999999</v>
      </c>
    </row>
    <row r="36" spans="2:10">
      <c r="B36" s="12" t="s">
        <v>39</v>
      </c>
      <c r="D36" s="15">
        <f t="shared" si="0"/>
        <v>0.01</v>
      </c>
      <c r="E36" s="12">
        <v>5.5</v>
      </c>
      <c r="F36" s="12">
        <f t="shared" si="1"/>
        <v>0.86570000000000003</v>
      </c>
      <c r="G36" s="12">
        <f t="shared" si="6"/>
        <v>30.234999999999999</v>
      </c>
      <c r="H36" s="12">
        <f t="shared" si="2"/>
        <v>26.174439500000002</v>
      </c>
      <c r="I36" s="12">
        <f t="shared" si="5"/>
        <v>0.42499999999999999</v>
      </c>
      <c r="J36" s="12">
        <f t="shared" si="3"/>
        <v>0.36792249999999999</v>
      </c>
    </row>
    <row r="37" spans="2:10">
      <c r="B37" s="12" t="s">
        <v>40</v>
      </c>
      <c r="D37" s="15">
        <f t="shared" si="0"/>
        <v>0.01</v>
      </c>
      <c r="E37" s="12">
        <v>5.5</v>
      </c>
      <c r="F37" s="12">
        <f t="shared" si="1"/>
        <v>0.86570000000000003</v>
      </c>
      <c r="G37" s="12">
        <f t="shared" si="6"/>
        <v>32.034999999999997</v>
      </c>
      <c r="H37" s="12">
        <f t="shared" si="2"/>
        <v>27.732699499999999</v>
      </c>
      <c r="I37" s="12">
        <f t="shared" si="5"/>
        <v>0.42499999999999999</v>
      </c>
      <c r="J37" s="12">
        <f t="shared" si="3"/>
        <v>0.36792249999999999</v>
      </c>
    </row>
    <row r="38" spans="2:10">
      <c r="B38" s="12" t="s">
        <v>41</v>
      </c>
      <c r="D38" s="15">
        <f t="shared" si="0"/>
        <v>0.01</v>
      </c>
      <c r="E38" s="12">
        <v>5.5</v>
      </c>
      <c r="F38" s="12">
        <f t="shared" si="1"/>
        <v>0.86570000000000003</v>
      </c>
      <c r="G38" s="12">
        <f t="shared" si="6"/>
        <v>33.834999999999994</v>
      </c>
      <c r="H38" s="12">
        <f t="shared" si="2"/>
        <v>29.290959499999996</v>
      </c>
      <c r="I38" s="12">
        <f t="shared" si="5"/>
        <v>0.42499999999999999</v>
      </c>
      <c r="J38" s="12">
        <f t="shared" si="3"/>
        <v>0.36792249999999999</v>
      </c>
    </row>
    <row r="39" spans="2:10">
      <c r="B39" s="12" t="s">
        <v>42</v>
      </c>
      <c r="D39" s="15">
        <f t="shared" si="0"/>
        <v>0.01</v>
      </c>
      <c r="E39" s="12">
        <v>5.5</v>
      </c>
      <c r="F39" s="12">
        <f t="shared" si="1"/>
        <v>0.86570000000000003</v>
      </c>
      <c r="G39" s="12">
        <f t="shared" si="6"/>
        <v>35.634999999999991</v>
      </c>
      <c r="H39" s="12">
        <f t="shared" si="2"/>
        <v>30.849219499999993</v>
      </c>
      <c r="I39" s="12">
        <f t="shared" si="5"/>
        <v>0.42499999999999999</v>
      </c>
      <c r="J39" s="12">
        <f t="shared" si="3"/>
        <v>0.36792249999999999</v>
      </c>
    </row>
    <row r="40" spans="2:10">
      <c r="B40" s="12" t="s">
        <v>43</v>
      </c>
      <c r="D40" s="15">
        <f t="shared" si="0"/>
        <v>0.01</v>
      </c>
      <c r="E40" s="12">
        <v>5.5</v>
      </c>
      <c r="F40" s="12">
        <f t="shared" si="1"/>
        <v>0.86570000000000003</v>
      </c>
      <c r="G40" s="12">
        <f t="shared" si="6"/>
        <v>37.434999999999988</v>
      </c>
      <c r="H40" s="12">
        <f t="shared" si="2"/>
        <v>32.407479499999994</v>
      </c>
      <c r="I40" s="12">
        <f t="shared" si="5"/>
        <v>0.42499999999999999</v>
      </c>
      <c r="J40" s="12">
        <f t="shared" si="3"/>
        <v>0.36792249999999999</v>
      </c>
    </row>
    <row r="41" spans="2:10">
      <c r="B41" s="12" t="s">
        <v>44</v>
      </c>
      <c r="D41" s="15">
        <f t="shared" si="0"/>
        <v>0.01</v>
      </c>
      <c r="E41" s="12">
        <v>5.5</v>
      </c>
      <c r="F41" s="12">
        <f t="shared" si="1"/>
        <v>0.86570000000000003</v>
      </c>
      <c r="G41" s="12">
        <f t="shared" si="6"/>
        <v>39.234999999999985</v>
      </c>
      <c r="H41" s="12">
        <f t="shared" si="2"/>
        <v>33.965739499999991</v>
      </c>
      <c r="I41" s="12">
        <f t="shared" si="5"/>
        <v>0.42499999999999999</v>
      </c>
      <c r="J41" s="12">
        <f t="shared" si="3"/>
        <v>0.36792249999999999</v>
      </c>
    </row>
    <row r="42" spans="2:10">
      <c r="B42" s="12" t="s">
        <v>45</v>
      </c>
      <c r="D42" s="15">
        <f t="shared" si="0"/>
        <v>0.01</v>
      </c>
      <c r="E42" s="12">
        <v>5.5</v>
      </c>
      <c r="F42" s="12">
        <f t="shared" si="1"/>
        <v>0.86570000000000003</v>
      </c>
      <c r="G42" s="12">
        <f t="shared" si="6"/>
        <v>41.034999999999982</v>
      </c>
      <c r="H42" s="12">
        <f t="shared" si="2"/>
        <v>35.523999499999988</v>
      </c>
      <c r="I42" s="12">
        <f t="shared" si="5"/>
        <v>0.42499999999999999</v>
      </c>
      <c r="J42" s="12">
        <f t="shared" si="3"/>
        <v>0.36792249999999999</v>
      </c>
    </row>
    <row r="43" spans="2:10">
      <c r="B43" s="12" t="s">
        <v>46</v>
      </c>
      <c r="D43" s="15">
        <f t="shared" si="0"/>
        <v>0.01</v>
      </c>
      <c r="E43" s="12">
        <v>5.5</v>
      </c>
      <c r="F43" s="12">
        <f t="shared" si="1"/>
        <v>0.86570000000000003</v>
      </c>
      <c r="G43" s="12">
        <f t="shared" si="6"/>
        <v>42.83499999999998</v>
      </c>
      <c r="H43" s="12">
        <f t="shared" si="2"/>
        <v>37.082259499999985</v>
      </c>
      <c r="I43" s="12">
        <f t="shared" si="5"/>
        <v>0.42499999999999999</v>
      </c>
      <c r="J43" s="12">
        <f t="shared" si="3"/>
        <v>0.36792249999999999</v>
      </c>
    </row>
    <row r="44" spans="2:10">
      <c r="B44" s="12" t="s">
        <v>47</v>
      </c>
      <c r="D44" s="15">
        <f t="shared" si="0"/>
        <v>0.01</v>
      </c>
      <c r="E44" s="12">
        <v>5.5</v>
      </c>
      <c r="F44" s="12">
        <f t="shared" si="1"/>
        <v>0.86570000000000003</v>
      </c>
      <c r="G44" s="12">
        <f t="shared" si="6"/>
        <v>44.634999999999977</v>
      </c>
      <c r="H44" s="12">
        <f t="shared" si="2"/>
        <v>38.640519499999982</v>
      </c>
      <c r="I44" s="12">
        <f t="shared" si="5"/>
        <v>0.42499999999999999</v>
      </c>
      <c r="J44" s="12">
        <f t="shared" si="3"/>
        <v>0.36792249999999999</v>
      </c>
    </row>
    <row r="45" spans="2:10">
      <c r="B45" s="12" t="s">
        <v>48</v>
      </c>
      <c r="D45" s="15">
        <f t="shared" si="0"/>
        <v>0.01</v>
      </c>
      <c r="E45" s="12">
        <v>5.5</v>
      </c>
      <c r="F45" s="12">
        <f t="shared" si="1"/>
        <v>0.86570000000000003</v>
      </c>
      <c r="G45" s="12">
        <f t="shared" si="6"/>
        <v>46.434999999999974</v>
      </c>
      <c r="H45" s="12">
        <f t="shared" si="2"/>
        <v>40.198779499999979</v>
      </c>
      <c r="I45" s="12">
        <f t="shared" si="5"/>
        <v>0.42499999999999999</v>
      </c>
      <c r="J45" s="12">
        <f t="shared" si="3"/>
        <v>0.36792249999999999</v>
      </c>
    </row>
    <row r="46" spans="2:10">
      <c r="B46" s="12" t="s">
        <v>49</v>
      </c>
      <c r="D46" s="15">
        <f t="shared" si="0"/>
        <v>0.01</v>
      </c>
      <c r="E46" s="12">
        <v>5.5</v>
      </c>
      <c r="F46" s="12">
        <f t="shared" si="1"/>
        <v>0.86570000000000003</v>
      </c>
      <c r="G46" s="12">
        <f t="shared" si="6"/>
        <v>48.234999999999971</v>
      </c>
      <c r="H46" s="12">
        <f t="shared" si="2"/>
        <v>41.757039499999976</v>
      </c>
      <c r="I46" s="12">
        <f t="shared" si="5"/>
        <v>0.42499999999999999</v>
      </c>
      <c r="J46" s="12">
        <f t="shared" si="3"/>
        <v>0.36792249999999999</v>
      </c>
    </row>
    <row r="47" spans="2:10">
      <c r="B47" s="12" t="s">
        <v>50</v>
      </c>
      <c r="D47" s="15">
        <f t="shared" si="0"/>
        <v>0.01</v>
      </c>
      <c r="E47" s="12">
        <v>5.5</v>
      </c>
      <c r="F47" s="12">
        <f t="shared" si="1"/>
        <v>0.86570000000000003</v>
      </c>
      <c r="G47" s="12">
        <f t="shared" si="6"/>
        <v>50.034999999999968</v>
      </c>
      <c r="H47" s="12">
        <f t="shared" si="2"/>
        <v>43.315299499999973</v>
      </c>
      <c r="I47" s="12">
        <f t="shared" si="5"/>
        <v>0.42499999999999999</v>
      </c>
      <c r="J47" s="12">
        <f t="shared" si="3"/>
        <v>0.36792249999999999</v>
      </c>
    </row>
    <row r="48" spans="2:10">
      <c r="B48" s="12" t="s">
        <v>51</v>
      </c>
      <c r="D48" s="15">
        <f t="shared" si="0"/>
        <v>0.01</v>
      </c>
      <c r="E48" s="12">
        <v>5</v>
      </c>
      <c r="F48" s="12">
        <f t="shared" si="1"/>
        <v>0.78700000000000003</v>
      </c>
      <c r="G48" s="12">
        <f t="shared" si="6"/>
        <v>51.834999999999965</v>
      </c>
      <c r="H48" s="12">
        <f t="shared" si="2"/>
        <v>40.794144999999972</v>
      </c>
      <c r="I48" s="12">
        <f t="shared" si="5"/>
        <v>0.42499999999999999</v>
      </c>
      <c r="J48" s="12">
        <f t="shared" si="3"/>
        <v>0.33447500000000002</v>
      </c>
    </row>
    <row r="49" spans="2:10">
      <c r="B49" s="12" t="s">
        <v>52</v>
      </c>
      <c r="D49" s="15">
        <f t="shared" si="0"/>
        <v>0.01</v>
      </c>
      <c r="E49" s="12">
        <v>4.8</v>
      </c>
      <c r="F49" s="12">
        <f t="shared" si="1"/>
        <v>0.75552000000000008</v>
      </c>
      <c r="G49" s="12">
        <f t="shared" si="6"/>
        <v>53.634999999999962</v>
      </c>
      <c r="H49" s="12">
        <f t="shared" si="2"/>
        <v>40.522315199999973</v>
      </c>
      <c r="I49" s="12">
        <f t="shared" si="5"/>
        <v>0.42499999999999999</v>
      </c>
      <c r="J49" s="12">
        <f t="shared" si="3"/>
        <v>0.32109600000000005</v>
      </c>
    </row>
    <row r="50" spans="2:10">
      <c r="B50" s="12" t="s">
        <v>53</v>
      </c>
      <c r="D50" s="15">
        <f t="shared" si="0"/>
        <v>0.01</v>
      </c>
      <c r="E50" s="12">
        <v>4.5</v>
      </c>
      <c r="F50" s="12">
        <f t="shared" si="1"/>
        <v>0.70829999999999993</v>
      </c>
      <c r="G50" s="12">
        <f t="shared" si="6"/>
        <v>55.43499999999996</v>
      </c>
      <c r="H50" s="12">
        <f t="shared" si="2"/>
        <v>39.264610499999968</v>
      </c>
      <c r="I50" s="12">
        <f t="shared" si="5"/>
        <v>0.42499999999999999</v>
      </c>
      <c r="J50" s="12">
        <f t="shared" si="3"/>
        <v>0.30102749999999995</v>
      </c>
    </row>
    <row r="51" spans="2:10">
      <c r="B51" s="12" t="s">
        <v>54</v>
      </c>
      <c r="D51" s="15">
        <f t="shared" si="0"/>
        <v>0.01</v>
      </c>
      <c r="E51" s="12">
        <v>4.2</v>
      </c>
      <c r="F51" s="12">
        <f t="shared" si="1"/>
        <v>0.66108</v>
      </c>
      <c r="G51" s="12">
        <f t="shared" si="6"/>
        <v>57.234999999999957</v>
      </c>
      <c r="H51" s="12">
        <f t="shared" si="2"/>
        <v>37.836913799999969</v>
      </c>
      <c r="I51" s="12">
        <f t="shared" si="5"/>
        <v>0.42499999999999999</v>
      </c>
      <c r="J51" s="12">
        <f t="shared" si="3"/>
        <v>0.28095900000000001</v>
      </c>
    </row>
    <row r="52" spans="2:10">
      <c r="B52" s="12" t="s">
        <v>55</v>
      </c>
      <c r="D52" s="15">
        <f t="shared" si="0"/>
        <v>0.01</v>
      </c>
      <c r="E52" s="12">
        <v>4</v>
      </c>
      <c r="F52" s="12">
        <f t="shared" si="1"/>
        <v>0.62960000000000005</v>
      </c>
      <c r="G52" s="12">
        <f t="shared" si="6"/>
        <v>59.034999999999954</v>
      </c>
      <c r="H52" s="12">
        <f t="shared" si="2"/>
        <v>37.168435999999971</v>
      </c>
      <c r="I52" s="12">
        <f t="shared" si="5"/>
        <v>0.42499999999999999</v>
      </c>
      <c r="J52" s="12">
        <f t="shared" si="3"/>
        <v>0.26758000000000004</v>
      </c>
    </row>
    <row r="53" spans="2:10">
      <c r="B53" s="12" t="s">
        <v>56</v>
      </c>
      <c r="D53" s="15">
        <f t="shared" si="0"/>
        <v>0.01</v>
      </c>
      <c r="E53" s="12">
        <v>3.5</v>
      </c>
      <c r="F53" s="12">
        <f t="shared" si="1"/>
        <v>0.55090000000000006</v>
      </c>
      <c r="G53" s="12">
        <f t="shared" si="6"/>
        <v>60.834999999999951</v>
      </c>
      <c r="H53" s="12">
        <f t="shared" si="2"/>
        <v>33.514001499999978</v>
      </c>
      <c r="I53" s="12">
        <f t="shared" si="5"/>
        <v>0.42499999999999999</v>
      </c>
      <c r="J53" s="12">
        <f t="shared" si="3"/>
        <v>0.23413250000000002</v>
      </c>
    </row>
    <row r="54" spans="2:10">
      <c r="B54" s="12" t="s">
        <v>57</v>
      </c>
      <c r="D54" s="15">
        <f t="shared" si="0"/>
        <v>0.01</v>
      </c>
      <c r="E54" s="12">
        <v>3</v>
      </c>
      <c r="F54" s="12">
        <f t="shared" si="1"/>
        <v>0.47220000000000001</v>
      </c>
      <c r="G54" s="12">
        <f>G53+0.6</f>
        <v>61.434999999999953</v>
      </c>
      <c r="H54" s="12">
        <f t="shared" si="2"/>
        <v>29.009606999999978</v>
      </c>
      <c r="I54" s="12">
        <f t="shared" si="5"/>
        <v>0.42499999999999999</v>
      </c>
      <c r="J54" s="12">
        <f t="shared" si="3"/>
        <v>0.200685</v>
      </c>
    </row>
    <row r="55" spans="2:10">
      <c r="B55" s="12" t="s">
        <v>58</v>
      </c>
      <c r="D55" s="15">
        <f t="shared" si="0"/>
        <v>0.01</v>
      </c>
      <c r="E55" s="12">
        <v>2.9</v>
      </c>
      <c r="F55" s="12">
        <f t="shared" si="1"/>
        <v>0.45645999999999998</v>
      </c>
      <c r="G55" s="12">
        <f t="shared" ref="G55:G60" si="7">G54+0.6</f>
        <v>62.034999999999954</v>
      </c>
      <c r="H55" s="12">
        <f t="shared" si="2"/>
        <v>28.316496099999977</v>
      </c>
      <c r="I55" s="12">
        <f t="shared" si="5"/>
        <v>0.42499999999999999</v>
      </c>
      <c r="J55" s="12">
        <f t="shared" si="3"/>
        <v>0.19399549999999999</v>
      </c>
    </row>
    <row r="56" spans="2:10">
      <c r="B56" s="12" t="s">
        <v>59</v>
      </c>
      <c r="D56" s="15">
        <f t="shared" si="0"/>
        <v>0.01</v>
      </c>
      <c r="E56" s="12">
        <v>2.8</v>
      </c>
      <c r="F56" s="12">
        <f t="shared" si="1"/>
        <v>0.44071999999999995</v>
      </c>
      <c r="G56" s="12">
        <f t="shared" si="7"/>
        <v>62.634999999999955</v>
      </c>
      <c r="H56" s="12">
        <f t="shared" si="2"/>
        <v>27.604497199999976</v>
      </c>
      <c r="I56" s="12">
        <f t="shared" si="5"/>
        <v>0.42499999999999999</v>
      </c>
      <c r="J56" s="12">
        <f t="shared" si="3"/>
        <v>0.18730599999999997</v>
      </c>
    </row>
    <row r="57" spans="2:10">
      <c r="B57" s="12" t="s">
        <v>60</v>
      </c>
      <c r="D57" s="15">
        <f t="shared" si="0"/>
        <v>0.01</v>
      </c>
      <c r="E57" s="12">
        <v>2.6</v>
      </c>
      <c r="F57" s="12">
        <f t="shared" si="1"/>
        <v>0.40924000000000005</v>
      </c>
      <c r="G57" s="12">
        <f t="shared" si="7"/>
        <v>63.234999999999957</v>
      </c>
      <c r="H57" s="12">
        <f t="shared" si="2"/>
        <v>25.878291399999984</v>
      </c>
      <c r="I57" s="12">
        <f t="shared" si="5"/>
        <v>0.42499999999999999</v>
      </c>
      <c r="J57" s="12">
        <f t="shared" si="3"/>
        <v>0.17392700000000003</v>
      </c>
    </row>
    <row r="58" spans="2:10">
      <c r="B58" s="12" t="s">
        <v>61</v>
      </c>
      <c r="D58" s="15">
        <f t="shared" si="0"/>
        <v>0.01</v>
      </c>
      <c r="E58" s="12">
        <v>2</v>
      </c>
      <c r="F58" s="12">
        <f t="shared" si="1"/>
        <v>0.31480000000000002</v>
      </c>
      <c r="G58" s="12">
        <f t="shared" si="7"/>
        <v>63.834999999999958</v>
      </c>
      <c r="H58" s="12">
        <f t="shared" si="2"/>
        <v>20.095257999999987</v>
      </c>
      <c r="I58" s="12">
        <f t="shared" si="5"/>
        <v>0.42499999999999999</v>
      </c>
      <c r="J58" s="12">
        <f t="shared" si="3"/>
        <v>0.13379000000000002</v>
      </c>
    </row>
    <row r="59" spans="2:10">
      <c r="B59" s="12" t="s">
        <v>62</v>
      </c>
      <c r="D59" s="15">
        <f t="shared" si="0"/>
        <v>0.01</v>
      </c>
      <c r="E59" s="12">
        <v>1.5</v>
      </c>
      <c r="F59" s="12">
        <f t="shared" si="1"/>
        <v>0.2361</v>
      </c>
      <c r="G59" s="12">
        <f t="shared" si="7"/>
        <v>64.43499999999996</v>
      </c>
      <c r="H59" s="12">
        <f t="shared" si="2"/>
        <v>15.21310349999999</v>
      </c>
      <c r="I59" s="12">
        <f t="shared" si="5"/>
        <v>0.42499999999999999</v>
      </c>
      <c r="J59" s="12">
        <f t="shared" si="3"/>
        <v>0.1003425</v>
      </c>
    </row>
    <row r="60" spans="2:10">
      <c r="B60" s="12" t="s">
        <v>63</v>
      </c>
      <c r="D60" s="15">
        <f t="shared" si="0"/>
        <v>0.01</v>
      </c>
      <c r="E60" s="12">
        <v>1</v>
      </c>
      <c r="F60" s="12">
        <f t="shared" si="1"/>
        <v>0.15740000000000001</v>
      </c>
      <c r="G60" s="12">
        <f t="shared" si="7"/>
        <v>65.034999999999954</v>
      </c>
      <c r="H60" s="12">
        <f t="shared" si="2"/>
        <v>10.236508999999993</v>
      </c>
      <c r="I60" s="12">
        <f t="shared" si="5"/>
        <v>0.42499999999999999</v>
      </c>
      <c r="J60" s="12">
        <f t="shared" si="3"/>
        <v>6.689500000000001E-2</v>
      </c>
    </row>
    <row r="61" spans="2:10">
      <c r="D61" s="15"/>
    </row>
    <row r="62" spans="2:10">
      <c r="D62" s="15"/>
    </row>
    <row r="63" spans="2:10">
      <c r="D63" s="15"/>
      <c r="F63" s="10">
        <f>SUM(F4:F60)</f>
        <v>42.579847999999991</v>
      </c>
      <c r="H63" s="10">
        <f>SUM(H4:H60)</f>
        <v>1098.6643086799997</v>
      </c>
      <c r="J63" s="12">
        <f>SUM(J4:J60)</f>
        <v>35.108479239999966</v>
      </c>
    </row>
    <row r="64" spans="2:10">
      <c r="D64" s="15"/>
    </row>
    <row r="65" spans="4:10">
      <c r="D65" s="15"/>
      <c r="F65" s="17" t="s">
        <v>4</v>
      </c>
      <c r="G65" s="18">
        <f>H63/F63</f>
        <v>25.802447878160578</v>
      </c>
      <c r="I65" s="10">
        <f>J63/F63</f>
        <v>0.82453275173739404</v>
      </c>
      <c r="J65" s="10" t="s">
        <v>5</v>
      </c>
    </row>
    <row r="66" spans="4:10">
      <c r="D66" s="15"/>
    </row>
    <row r="67" spans="4:10">
      <c r="D67" s="15"/>
    </row>
    <row r="68" spans="4:10">
      <c r="D68" s="15"/>
    </row>
    <row r="69" spans="4:10">
      <c r="D69" s="15"/>
    </row>
    <row r="70" spans="4:10">
      <c r="D70" s="15"/>
    </row>
    <row r="71" spans="4:10">
      <c r="D71" s="15"/>
    </row>
    <row r="72" spans="4:10">
      <c r="D72" s="15"/>
    </row>
    <row r="73" spans="4:10">
      <c r="D73" s="15"/>
    </row>
    <row r="74" spans="4:10">
      <c r="D74" s="15"/>
    </row>
    <row r="75" spans="4:10">
      <c r="D75" s="15"/>
    </row>
    <row r="76" spans="4:10">
      <c r="D76" s="15"/>
    </row>
    <row r="77" spans="4:10">
      <c r="D77" s="15"/>
    </row>
    <row r="78" spans="4:10">
      <c r="D78" s="15"/>
    </row>
    <row r="79" spans="4:10">
      <c r="D79" s="15"/>
    </row>
    <row r="80" spans="4:10">
      <c r="D80" s="15"/>
    </row>
    <row r="81" spans="2:19">
      <c r="D81" s="15"/>
    </row>
    <row r="82" spans="2:19" ht="24.5" customHeight="1">
      <c r="B82" s="13" t="s">
        <v>64</v>
      </c>
      <c r="S82" s="12">
        <v>8</v>
      </c>
    </row>
    <row r="83" spans="2:19">
      <c r="S83" s="12">
        <v>25</v>
      </c>
    </row>
    <row r="84" spans="2:19">
      <c r="B84" s="12" t="s">
        <v>65</v>
      </c>
      <c r="D84" s="19">
        <v>34.6</v>
      </c>
      <c r="E84" s="12">
        <v>4.1100000000000003</v>
      </c>
      <c r="F84" s="12">
        <f>(D84*E84*2)/1000</f>
        <v>0.28441200000000005</v>
      </c>
      <c r="G84" s="12">
        <v>0.23400000000000001</v>
      </c>
      <c r="H84" s="12">
        <f>F84*G84</f>
        <v>6.6552408000000021E-2</v>
      </c>
      <c r="I84" s="12">
        <f>(E84/2)+3.17</f>
        <v>5.2249999999999996</v>
      </c>
      <c r="J84" s="12">
        <f>I84*F84</f>
        <v>1.4860527000000001</v>
      </c>
      <c r="S84" s="12">
        <v>3</v>
      </c>
    </row>
    <row r="85" spans="2:19">
      <c r="B85" s="12" t="s">
        <v>66</v>
      </c>
      <c r="D85" s="19">
        <v>34.6</v>
      </c>
      <c r="E85" s="12">
        <v>4.82</v>
      </c>
      <c r="F85" s="12">
        <f t="shared" ref="F85:F119" si="8">(D85*E85*2)/1000</f>
        <v>0.33354400000000006</v>
      </c>
      <c r="G85" s="12">
        <f>G84+1.65</f>
        <v>1.8839999999999999</v>
      </c>
      <c r="H85" s="12">
        <f t="shared" ref="H85:H119" si="9">F85*G85</f>
        <v>0.62839689600000004</v>
      </c>
      <c r="I85" s="12">
        <f>(E85/2)+2.51</f>
        <v>4.92</v>
      </c>
      <c r="J85" s="12">
        <f t="shared" ref="J85:J119" si="10">I85*F85</f>
        <v>1.6410364800000004</v>
      </c>
    </row>
    <row r="86" spans="2:19">
      <c r="B86" s="12" t="s">
        <v>67</v>
      </c>
      <c r="D86" s="19">
        <v>34.6</v>
      </c>
      <c r="E86" s="12">
        <v>5.5</v>
      </c>
      <c r="F86" s="12">
        <f t="shared" si="8"/>
        <v>0.38060000000000005</v>
      </c>
      <c r="G86" s="12">
        <f t="shared" ref="G86:G91" si="11">G85+1.65</f>
        <v>3.5339999999999998</v>
      </c>
      <c r="H86" s="12">
        <f t="shared" si="9"/>
        <v>1.3450404</v>
      </c>
      <c r="I86" s="12">
        <f>(E86/2)+1.81</f>
        <v>4.5600000000000005</v>
      </c>
      <c r="J86" s="12">
        <f t="shared" si="10"/>
        <v>1.7355360000000004</v>
      </c>
    </row>
    <row r="87" spans="2:19">
      <c r="B87" s="12" t="s">
        <v>68</v>
      </c>
      <c r="D87" s="19">
        <v>34.6</v>
      </c>
      <c r="E87" s="12">
        <v>6.12</v>
      </c>
      <c r="F87" s="12">
        <f t="shared" si="8"/>
        <v>0.42350399999999999</v>
      </c>
      <c r="G87" s="12">
        <f t="shared" si="11"/>
        <v>5.1839999999999993</v>
      </c>
      <c r="H87" s="12">
        <f t="shared" si="9"/>
        <v>2.1954447359999998</v>
      </c>
      <c r="I87" s="12">
        <f>(E87/2)+1.19</f>
        <v>4.25</v>
      </c>
      <c r="J87" s="12">
        <f t="shared" si="10"/>
        <v>1.799892</v>
      </c>
    </row>
    <row r="88" spans="2:19">
      <c r="B88" s="12" t="s">
        <v>69</v>
      </c>
      <c r="D88" s="19">
        <v>34.6</v>
      </c>
      <c r="E88" s="12">
        <v>7.87</v>
      </c>
      <c r="F88" s="12">
        <f t="shared" si="8"/>
        <v>0.54460400000000009</v>
      </c>
      <c r="G88" s="12">
        <f t="shared" si="11"/>
        <v>6.8339999999999996</v>
      </c>
      <c r="H88" s="12">
        <f t="shared" si="9"/>
        <v>3.7218237360000006</v>
      </c>
      <c r="I88" s="12">
        <f>(E88/2)+0.677</f>
        <v>4.6120000000000001</v>
      </c>
      <c r="J88" s="12">
        <f t="shared" si="10"/>
        <v>2.5117136480000006</v>
      </c>
    </row>
    <row r="89" spans="2:19">
      <c r="B89" s="12" t="s">
        <v>70</v>
      </c>
      <c r="D89" s="19">
        <v>34.6</v>
      </c>
      <c r="E89" s="12">
        <v>9.2100000000000009</v>
      </c>
      <c r="F89" s="12">
        <f t="shared" si="8"/>
        <v>0.63733200000000012</v>
      </c>
      <c r="G89" s="12">
        <f t="shared" si="11"/>
        <v>8.484</v>
      </c>
      <c r="H89" s="12">
        <f t="shared" si="9"/>
        <v>5.4071246880000015</v>
      </c>
      <c r="I89" s="12">
        <f>(E89/2)</f>
        <v>4.6050000000000004</v>
      </c>
      <c r="J89" s="12">
        <f t="shared" si="10"/>
        <v>2.9349138600000009</v>
      </c>
    </row>
    <row r="90" spans="2:19">
      <c r="B90" s="12" t="s">
        <v>71</v>
      </c>
      <c r="D90" s="19">
        <v>34.6</v>
      </c>
      <c r="E90" s="12">
        <v>11.42</v>
      </c>
      <c r="F90" s="12">
        <f t="shared" si="8"/>
        <v>0.79026399999999997</v>
      </c>
      <c r="G90" s="12">
        <f t="shared" si="11"/>
        <v>10.134</v>
      </c>
      <c r="H90" s="12">
        <f t="shared" si="9"/>
        <v>8.0085353759999993</v>
      </c>
      <c r="I90" s="12">
        <f t="shared" ref="I90:I119" si="12">(E90/2)</f>
        <v>5.71</v>
      </c>
      <c r="J90" s="12">
        <f t="shared" si="10"/>
        <v>4.5124074399999996</v>
      </c>
    </row>
    <row r="91" spans="2:19">
      <c r="B91" s="12" t="s">
        <v>72</v>
      </c>
      <c r="D91" s="19">
        <v>34.6</v>
      </c>
      <c r="E91" s="12">
        <v>8.5</v>
      </c>
      <c r="F91" s="12">
        <f t="shared" si="8"/>
        <v>0.58820000000000006</v>
      </c>
      <c r="G91" s="12">
        <f t="shared" si="11"/>
        <v>11.784000000000001</v>
      </c>
      <c r="H91" s="12">
        <f t="shared" si="9"/>
        <v>6.9313488000000012</v>
      </c>
      <c r="I91" s="12">
        <f t="shared" si="12"/>
        <v>4.25</v>
      </c>
      <c r="J91" s="12">
        <f t="shared" si="10"/>
        <v>2.4998500000000003</v>
      </c>
    </row>
    <row r="92" spans="2:19">
      <c r="B92" s="12" t="s">
        <v>73</v>
      </c>
      <c r="D92" s="19">
        <v>34.6</v>
      </c>
      <c r="E92" s="12">
        <v>6.23</v>
      </c>
      <c r="F92" s="12">
        <f t="shared" si="8"/>
        <v>0.43111600000000005</v>
      </c>
      <c r="G92" s="12">
        <f>G91+1.8</f>
        <v>13.584000000000001</v>
      </c>
      <c r="H92" s="12">
        <f t="shared" si="9"/>
        <v>5.856279744000001</v>
      </c>
      <c r="I92" s="12">
        <f t="shared" si="12"/>
        <v>3.1150000000000002</v>
      </c>
      <c r="J92" s="12">
        <f t="shared" si="10"/>
        <v>1.3429263400000002</v>
      </c>
    </row>
    <row r="93" spans="2:19">
      <c r="B93" s="12" t="s">
        <v>74</v>
      </c>
      <c r="D93" s="19">
        <v>34.6</v>
      </c>
      <c r="E93" s="12">
        <v>5.86</v>
      </c>
      <c r="F93" s="12">
        <f t="shared" si="8"/>
        <v>0.40551200000000004</v>
      </c>
      <c r="G93" s="12">
        <f t="shared" ref="G93:G116" si="13">G92+1.8</f>
        <v>15.384000000000002</v>
      </c>
      <c r="H93" s="12">
        <f t="shared" si="9"/>
        <v>6.2383966080000013</v>
      </c>
      <c r="I93" s="12">
        <f t="shared" si="12"/>
        <v>2.93</v>
      </c>
      <c r="J93" s="12">
        <f t="shared" si="10"/>
        <v>1.1881501600000002</v>
      </c>
    </row>
    <row r="94" spans="2:19">
      <c r="B94" s="12" t="s">
        <v>75</v>
      </c>
      <c r="D94" s="19">
        <v>34.6</v>
      </c>
      <c r="E94" s="12">
        <v>5.86</v>
      </c>
      <c r="F94" s="12">
        <f t="shared" si="8"/>
        <v>0.40551200000000004</v>
      </c>
      <c r="G94" s="12">
        <f t="shared" si="13"/>
        <v>17.184000000000001</v>
      </c>
      <c r="H94" s="12">
        <f t="shared" si="9"/>
        <v>6.9683182080000012</v>
      </c>
      <c r="I94" s="12">
        <f t="shared" si="12"/>
        <v>2.93</v>
      </c>
      <c r="J94" s="12">
        <f t="shared" si="10"/>
        <v>1.1881501600000002</v>
      </c>
    </row>
    <row r="95" spans="2:19">
      <c r="B95" s="12" t="s">
        <v>76</v>
      </c>
      <c r="D95" s="19">
        <v>34.6</v>
      </c>
      <c r="E95" s="12">
        <v>5.86</v>
      </c>
      <c r="F95" s="12">
        <f t="shared" si="8"/>
        <v>0.40551200000000004</v>
      </c>
      <c r="G95" s="12">
        <f t="shared" si="13"/>
        <v>18.984000000000002</v>
      </c>
      <c r="H95" s="12">
        <f t="shared" si="9"/>
        <v>7.6982398080000012</v>
      </c>
      <c r="I95" s="12">
        <f t="shared" si="12"/>
        <v>2.93</v>
      </c>
      <c r="J95" s="12">
        <f t="shared" si="10"/>
        <v>1.1881501600000002</v>
      </c>
    </row>
    <row r="96" spans="2:19">
      <c r="B96" s="12" t="s">
        <v>77</v>
      </c>
      <c r="D96" s="19">
        <v>34.6</v>
      </c>
      <c r="E96" s="12">
        <v>5.86</v>
      </c>
      <c r="F96" s="12">
        <f t="shared" si="8"/>
        <v>0.40551200000000004</v>
      </c>
      <c r="G96" s="12">
        <f t="shared" si="13"/>
        <v>20.784000000000002</v>
      </c>
      <c r="H96" s="12">
        <f t="shared" si="9"/>
        <v>8.4281614080000011</v>
      </c>
      <c r="I96" s="12">
        <f t="shared" si="12"/>
        <v>2.93</v>
      </c>
      <c r="J96" s="12">
        <f t="shared" si="10"/>
        <v>1.1881501600000002</v>
      </c>
    </row>
    <row r="97" spans="2:10">
      <c r="B97" s="12" t="s">
        <v>78</v>
      </c>
      <c r="D97" s="19">
        <v>34.6</v>
      </c>
      <c r="E97" s="12">
        <v>5.86</v>
      </c>
      <c r="F97" s="12">
        <f t="shared" si="8"/>
        <v>0.40551200000000004</v>
      </c>
      <c r="G97" s="12">
        <f t="shared" si="13"/>
        <v>22.584000000000003</v>
      </c>
      <c r="H97" s="12">
        <f t="shared" si="9"/>
        <v>9.158083008000002</v>
      </c>
      <c r="I97" s="12">
        <f t="shared" si="12"/>
        <v>2.93</v>
      </c>
      <c r="J97" s="12">
        <f t="shared" si="10"/>
        <v>1.1881501600000002</v>
      </c>
    </row>
    <row r="98" spans="2:10">
      <c r="B98" s="12" t="s">
        <v>79</v>
      </c>
      <c r="D98" s="19">
        <v>34.6</v>
      </c>
      <c r="E98" s="12">
        <v>5.86</v>
      </c>
      <c r="F98" s="12">
        <f t="shared" si="8"/>
        <v>0.40551200000000004</v>
      </c>
      <c r="G98" s="12">
        <f t="shared" si="13"/>
        <v>24.384000000000004</v>
      </c>
      <c r="H98" s="12">
        <f t="shared" si="9"/>
        <v>9.8880046080000028</v>
      </c>
      <c r="I98" s="12">
        <f t="shared" si="12"/>
        <v>2.93</v>
      </c>
      <c r="J98" s="12">
        <f t="shared" si="10"/>
        <v>1.1881501600000002</v>
      </c>
    </row>
    <row r="99" spans="2:10">
      <c r="B99" s="12" t="s">
        <v>80</v>
      </c>
      <c r="D99" s="19">
        <v>34.6</v>
      </c>
      <c r="E99" s="12">
        <v>5.86</v>
      </c>
      <c r="F99" s="12">
        <f t="shared" si="8"/>
        <v>0.40551200000000004</v>
      </c>
      <c r="G99" s="12">
        <f t="shared" si="13"/>
        <v>26.184000000000005</v>
      </c>
      <c r="H99" s="12">
        <f t="shared" si="9"/>
        <v>10.617926208000004</v>
      </c>
      <c r="I99" s="12">
        <f t="shared" si="12"/>
        <v>2.93</v>
      </c>
      <c r="J99" s="12">
        <f t="shared" si="10"/>
        <v>1.1881501600000002</v>
      </c>
    </row>
    <row r="100" spans="2:10">
      <c r="B100" s="12" t="s">
        <v>81</v>
      </c>
      <c r="D100" s="19">
        <v>34.6</v>
      </c>
      <c r="E100" s="12">
        <v>5.86</v>
      </c>
      <c r="F100" s="12">
        <f t="shared" si="8"/>
        <v>0.40551200000000004</v>
      </c>
      <c r="G100" s="12">
        <f t="shared" si="13"/>
        <v>27.984000000000005</v>
      </c>
      <c r="H100" s="12">
        <f t="shared" si="9"/>
        <v>11.347847808000003</v>
      </c>
      <c r="I100" s="12">
        <f t="shared" si="12"/>
        <v>2.93</v>
      </c>
      <c r="J100" s="12">
        <f t="shared" si="10"/>
        <v>1.1881501600000002</v>
      </c>
    </row>
    <row r="101" spans="2:10">
      <c r="B101" s="12" t="s">
        <v>82</v>
      </c>
      <c r="D101" s="19">
        <v>34.6</v>
      </c>
      <c r="E101" s="12">
        <v>5.86</v>
      </c>
      <c r="F101" s="12">
        <f t="shared" si="8"/>
        <v>0.40551200000000004</v>
      </c>
      <c r="G101" s="12">
        <f t="shared" si="13"/>
        <v>29.784000000000006</v>
      </c>
      <c r="H101" s="12">
        <f t="shared" si="9"/>
        <v>12.077769408000004</v>
      </c>
      <c r="I101" s="12">
        <f t="shared" si="12"/>
        <v>2.93</v>
      </c>
      <c r="J101" s="12">
        <f t="shared" si="10"/>
        <v>1.1881501600000002</v>
      </c>
    </row>
    <row r="102" spans="2:10">
      <c r="B102" s="12" t="s">
        <v>83</v>
      </c>
      <c r="D102" s="19">
        <v>34.6</v>
      </c>
      <c r="E102" s="12">
        <v>5.86</v>
      </c>
      <c r="F102" s="12">
        <f t="shared" si="8"/>
        <v>0.40551200000000004</v>
      </c>
      <c r="G102" s="12">
        <f t="shared" si="13"/>
        <v>31.584000000000007</v>
      </c>
      <c r="H102" s="12">
        <f t="shared" si="9"/>
        <v>12.807691008000004</v>
      </c>
      <c r="I102" s="12">
        <f t="shared" si="12"/>
        <v>2.93</v>
      </c>
      <c r="J102" s="12">
        <f t="shared" si="10"/>
        <v>1.1881501600000002</v>
      </c>
    </row>
    <row r="103" spans="2:10">
      <c r="B103" s="12" t="s">
        <v>84</v>
      </c>
      <c r="D103" s="19">
        <v>34.6</v>
      </c>
      <c r="E103" s="12">
        <v>5.86</v>
      </c>
      <c r="F103" s="12">
        <f t="shared" si="8"/>
        <v>0.40551200000000004</v>
      </c>
      <c r="G103" s="12">
        <f t="shared" si="13"/>
        <v>33.384000000000007</v>
      </c>
      <c r="H103" s="12">
        <f t="shared" si="9"/>
        <v>13.537612608000005</v>
      </c>
      <c r="I103" s="12">
        <f t="shared" si="12"/>
        <v>2.93</v>
      </c>
      <c r="J103" s="12">
        <f t="shared" si="10"/>
        <v>1.1881501600000002</v>
      </c>
    </row>
    <row r="104" spans="2:10">
      <c r="B104" s="12" t="s">
        <v>85</v>
      </c>
      <c r="D104" s="19">
        <v>34.6</v>
      </c>
      <c r="E104" s="12">
        <v>5.86</v>
      </c>
      <c r="F104" s="12">
        <f t="shared" si="8"/>
        <v>0.40551200000000004</v>
      </c>
      <c r="G104" s="12">
        <f t="shared" si="13"/>
        <v>35.184000000000005</v>
      </c>
      <c r="H104" s="12">
        <f t="shared" si="9"/>
        <v>14.267534208000002</v>
      </c>
      <c r="I104" s="12">
        <f t="shared" si="12"/>
        <v>2.93</v>
      </c>
      <c r="J104" s="12">
        <f t="shared" si="10"/>
        <v>1.1881501600000002</v>
      </c>
    </row>
    <row r="105" spans="2:10">
      <c r="B105" s="12" t="s">
        <v>86</v>
      </c>
      <c r="D105" s="19">
        <v>34.6</v>
      </c>
      <c r="E105" s="12">
        <v>5.86</v>
      </c>
      <c r="F105" s="12">
        <f t="shared" si="8"/>
        <v>0.40551200000000004</v>
      </c>
      <c r="G105" s="12">
        <f t="shared" si="13"/>
        <v>36.984000000000002</v>
      </c>
      <c r="H105" s="12">
        <f t="shared" si="9"/>
        <v>14.997455808000002</v>
      </c>
      <c r="I105" s="12">
        <f t="shared" si="12"/>
        <v>2.93</v>
      </c>
      <c r="J105" s="12">
        <f t="shared" si="10"/>
        <v>1.1881501600000002</v>
      </c>
    </row>
    <row r="106" spans="2:10">
      <c r="B106" s="12" t="s">
        <v>87</v>
      </c>
      <c r="D106" s="19">
        <v>34.6</v>
      </c>
      <c r="E106" s="12">
        <v>5.86</v>
      </c>
      <c r="F106" s="12">
        <f t="shared" si="8"/>
        <v>0.40551200000000004</v>
      </c>
      <c r="G106" s="12">
        <f t="shared" si="13"/>
        <v>38.783999999999999</v>
      </c>
      <c r="H106" s="12">
        <f t="shared" si="9"/>
        <v>15.727377408000001</v>
      </c>
      <c r="I106" s="12">
        <f t="shared" si="12"/>
        <v>2.93</v>
      </c>
      <c r="J106" s="12">
        <f t="shared" si="10"/>
        <v>1.1881501600000002</v>
      </c>
    </row>
    <row r="107" spans="2:10">
      <c r="B107" s="12" t="s">
        <v>88</v>
      </c>
      <c r="D107" s="19">
        <v>34.6</v>
      </c>
      <c r="E107" s="12">
        <v>5.86</v>
      </c>
      <c r="F107" s="12">
        <f t="shared" si="8"/>
        <v>0.40551200000000004</v>
      </c>
      <c r="G107" s="12">
        <f t="shared" si="13"/>
        <v>40.583999999999996</v>
      </c>
      <c r="H107" s="12">
        <f t="shared" si="9"/>
        <v>16.457299008</v>
      </c>
      <c r="I107" s="12">
        <f t="shared" si="12"/>
        <v>2.93</v>
      </c>
      <c r="J107" s="12">
        <f t="shared" si="10"/>
        <v>1.1881501600000002</v>
      </c>
    </row>
    <row r="108" spans="2:10">
      <c r="B108" s="12" t="s">
        <v>89</v>
      </c>
      <c r="D108" s="19">
        <v>34.6</v>
      </c>
      <c r="E108" s="12">
        <v>5.86</v>
      </c>
      <c r="F108" s="12">
        <f t="shared" si="8"/>
        <v>0.40551200000000004</v>
      </c>
      <c r="G108" s="12">
        <f t="shared" si="13"/>
        <v>42.383999999999993</v>
      </c>
      <c r="H108" s="12">
        <f t="shared" si="9"/>
        <v>17.187220608000001</v>
      </c>
      <c r="I108" s="12">
        <f t="shared" si="12"/>
        <v>2.93</v>
      </c>
      <c r="J108" s="12">
        <f t="shared" si="10"/>
        <v>1.1881501600000002</v>
      </c>
    </row>
    <row r="109" spans="2:10">
      <c r="B109" s="12" t="s">
        <v>90</v>
      </c>
      <c r="D109" s="19">
        <v>34.6</v>
      </c>
      <c r="E109" s="12">
        <v>5.86</v>
      </c>
      <c r="F109" s="12">
        <f t="shared" si="8"/>
        <v>0.40551200000000004</v>
      </c>
      <c r="G109" s="12">
        <f t="shared" si="13"/>
        <v>44.18399999999999</v>
      </c>
      <c r="H109" s="12">
        <f t="shared" si="9"/>
        <v>17.917142207999998</v>
      </c>
      <c r="I109" s="12">
        <f t="shared" si="12"/>
        <v>2.93</v>
      </c>
      <c r="J109" s="12">
        <f t="shared" si="10"/>
        <v>1.1881501600000002</v>
      </c>
    </row>
    <row r="110" spans="2:10">
      <c r="B110" s="12" t="s">
        <v>91</v>
      </c>
      <c r="D110" s="19">
        <v>34.6</v>
      </c>
      <c r="E110" s="12">
        <v>5.86</v>
      </c>
      <c r="F110" s="12">
        <f t="shared" si="8"/>
        <v>0.40551200000000004</v>
      </c>
      <c r="G110" s="12">
        <f t="shared" si="13"/>
        <v>45.983999999999988</v>
      </c>
      <c r="H110" s="12">
        <f t="shared" si="9"/>
        <v>18.647063807999995</v>
      </c>
      <c r="I110" s="12">
        <f t="shared" si="12"/>
        <v>2.93</v>
      </c>
      <c r="J110" s="12">
        <f t="shared" si="10"/>
        <v>1.1881501600000002</v>
      </c>
    </row>
    <row r="111" spans="2:10">
      <c r="B111" s="12" t="s">
        <v>92</v>
      </c>
      <c r="D111" s="19">
        <v>34.6</v>
      </c>
      <c r="E111" s="12">
        <v>5.86</v>
      </c>
      <c r="F111" s="12">
        <f t="shared" si="8"/>
        <v>0.40551200000000004</v>
      </c>
      <c r="G111" s="12">
        <f t="shared" si="13"/>
        <v>47.783999999999985</v>
      </c>
      <c r="H111" s="12">
        <f t="shared" si="9"/>
        <v>19.376985407999996</v>
      </c>
      <c r="I111" s="12">
        <f t="shared" si="12"/>
        <v>2.93</v>
      </c>
      <c r="J111" s="12">
        <f t="shared" si="10"/>
        <v>1.1881501600000002</v>
      </c>
    </row>
    <row r="112" spans="2:10">
      <c r="B112" s="12" t="s">
        <v>93</v>
      </c>
      <c r="D112" s="19">
        <v>34.6</v>
      </c>
      <c r="E112" s="12">
        <v>5.86</v>
      </c>
      <c r="F112" s="12">
        <f t="shared" si="8"/>
        <v>0.40551200000000004</v>
      </c>
      <c r="G112" s="12">
        <f t="shared" si="13"/>
        <v>49.583999999999982</v>
      </c>
      <c r="H112" s="12">
        <f t="shared" si="9"/>
        <v>20.106907007999993</v>
      </c>
      <c r="I112" s="12">
        <f t="shared" si="12"/>
        <v>2.93</v>
      </c>
      <c r="J112" s="12">
        <f t="shared" si="10"/>
        <v>1.1881501600000002</v>
      </c>
    </row>
    <row r="113" spans="2:10">
      <c r="B113" s="12" t="s">
        <v>94</v>
      </c>
      <c r="D113" s="19">
        <v>34.6</v>
      </c>
      <c r="E113" s="12">
        <v>5.86</v>
      </c>
      <c r="F113" s="12">
        <f t="shared" si="8"/>
        <v>0.40551200000000004</v>
      </c>
      <c r="G113" s="12">
        <f t="shared" si="13"/>
        <v>51.383999999999979</v>
      </c>
      <c r="H113" s="12">
        <f t="shared" si="9"/>
        <v>20.836828607999994</v>
      </c>
      <c r="I113" s="12">
        <f t="shared" si="12"/>
        <v>2.93</v>
      </c>
      <c r="J113" s="12">
        <f t="shared" si="10"/>
        <v>1.1881501600000002</v>
      </c>
    </row>
    <row r="114" spans="2:10">
      <c r="B114" s="12" t="s">
        <v>95</v>
      </c>
      <c r="D114" s="19">
        <v>34.6</v>
      </c>
      <c r="E114" s="12">
        <v>5.86</v>
      </c>
      <c r="F114" s="12">
        <f t="shared" si="8"/>
        <v>0.40551200000000004</v>
      </c>
      <c r="G114" s="12">
        <f t="shared" si="13"/>
        <v>53.183999999999976</v>
      </c>
      <c r="H114" s="12">
        <f t="shared" si="9"/>
        <v>21.566750207999991</v>
      </c>
      <c r="I114" s="12">
        <f t="shared" si="12"/>
        <v>2.93</v>
      </c>
      <c r="J114" s="12">
        <f t="shared" si="10"/>
        <v>1.1881501600000002</v>
      </c>
    </row>
    <row r="115" spans="2:10">
      <c r="B115" s="12" t="s">
        <v>96</v>
      </c>
      <c r="D115" s="19">
        <v>34.6</v>
      </c>
      <c r="E115" s="12">
        <v>5.86</v>
      </c>
      <c r="F115" s="12">
        <f t="shared" si="8"/>
        <v>0.40551200000000004</v>
      </c>
      <c r="G115" s="12">
        <f t="shared" si="13"/>
        <v>54.983999999999973</v>
      </c>
      <c r="H115" s="12">
        <f t="shared" si="9"/>
        <v>22.296671807999992</v>
      </c>
      <c r="I115" s="12">
        <f t="shared" si="12"/>
        <v>2.93</v>
      </c>
      <c r="J115" s="12">
        <f t="shared" si="10"/>
        <v>1.1881501600000002</v>
      </c>
    </row>
    <row r="116" spans="2:10">
      <c r="B116" s="12" t="s">
        <v>97</v>
      </c>
      <c r="D116" s="19">
        <v>34.6</v>
      </c>
      <c r="E116" s="12">
        <v>5.86</v>
      </c>
      <c r="F116" s="12">
        <f t="shared" si="8"/>
        <v>0.40551200000000004</v>
      </c>
      <c r="G116" s="12">
        <f t="shared" si="13"/>
        <v>56.78399999999997</v>
      </c>
      <c r="H116" s="12">
        <f t="shared" si="9"/>
        <v>23.026593407999989</v>
      </c>
      <c r="I116" s="12">
        <f t="shared" si="12"/>
        <v>2.93</v>
      </c>
      <c r="J116" s="12">
        <f t="shared" si="10"/>
        <v>1.1881501600000002</v>
      </c>
    </row>
    <row r="117" spans="2:10">
      <c r="B117" s="12" t="s">
        <v>98</v>
      </c>
      <c r="D117" s="19">
        <v>34.6</v>
      </c>
      <c r="E117" s="12">
        <v>7.01</v>
      </c>
      <c r="F117" s="12">
        <f t="shared" si="8"/>
        <v>0.48509199999999997</v>
      </c>
      <c r="G117" s="12">
        <f>G116+1.65</f>
        <v>58.433999999999969</v>
      </c>
      <c r="H117" s="12">
        <f t="shared" si="9"/>
        <v>28.345865927999984</v>
      </c>
      <c r="I117" s="12">
        <f t="shared" si="12"/>
        <v>3.5049999999999999</v>
      </c>
      <c r="J117" s="12">
        <f t="shared" si="10"/>
        <v>1.7002474599999999</v>
      </c>
    </row>
    <row r="118" spans="2:10">
      <c r="B118" s="12" t="s">
        <v>99</v>
      </c>
      <c r="D118" s="19">
        <v>34.6</v>
      </c>
      <c r="E118" s="12">
        <v>7.11</v>
      </c>
      <c r="F118" s="12">
        <f t="shared" si="8"/>
        <v>0.49201200000000006</v>
      </c>
      <c r="G118" s="12">
        <f t="shared" ref="G118:G119" si="14">G117+1.65</f>
        <v>60.083999999999968</v>
      </c>
      <c r="H118" s="12">
        <f t="shared" si="9"/>
        <v>29.562049007999988</v>
      </c>
      <c r="I118" s="12">
        <f t="shared" si="12"/>
        <v>3.5550000000000002</v>
      </c>
      <c r="J118" s="12">
        <f t="shared" si="10"/>
        <v>1.7491026600000004</v>
      </c>
    </row>
    <row r="119" spans="2:10">
      <c r="B119" s="12" t="s">
        <v>100</v>
      </c>
      <c r="D119" s="19">
        <v>34.6</v>
      </c>
      <c r="E119" s="12">
        <v>7.14</v>
      </c>
      <c r="F119" s="12">
        <f t="shared" si="8"/>
        <v>0.49408800000000003</v>
      </c>
      <c r="G119" s="12">
        <f t="shared" si="14"/>
        <v>61.733999999999966</v>
      </c>
      <c r="H119" s="12">
        <f t="shared" si="9"/>
        <v>30.502028591999984</v>
      </c>
      <c r="I119" s="12">
        <f t="shared" si="12"/>
        <v>3.57</v>
      </c>
      <c r="J119" s="12">
        <f t="shared" si="10"/>
        <v>1.76389416</v>
      </c>
    </row>
    <row r="122" spans="2:10">
      <c r="F122" s="10">
        <f>SUM(F84:F119)</f>
        <v>15.617055999999998</v>
      </c>
      <c r="H122" s="10">
        <f>SUM(H84:H119)</f>
        <v>473.75037050399993</v>
      </c>
      <c r="J122" s="10">
        <f>SUM(J84:J119)</f>
        <v>54.193176587999993</v>
      </c>
    </row>
    <row r="123" spans="2:10">
      <c r="F123" s="10"/>
      <c r="H123" s="10"/>
      <c r="J123" s="10"/>
    </row>
    <row r="124" spans="2:10">
      <c r="F124" s="17" t="s">
        <v>4</v>
      </c>
      <c r="G124" s="18">
        <f>H122/F122</f>
        <v>30.335446738745127</v>
      </c>
      <c r="I124" s="17">
        <f>J122/F122</f>
        <v>3.4701275700106344</v>
      </c>
      <c r="J124" s="18" t="s">
        <v>5</v>
      </c>
    </row>
    <row r="140" spans="2:18" ht="25" customHeight="1">
      <c r="B140" s="24" t="s">
        <v>187</v>
      </c>
      <c r="C140" s="24"/>
    </row>
    <row r="142" spans="2:18">
      <c r="B142" s="12" t="s">
        <v>65</v>
      </c>
      <c r="D142" s="15">
        <v>24.9</v>
      </c>
      <c r="E142" s="12">
        <v>4.09</v>
      </c>
      <c r="F142" s="12">
        <f>(D142*E142*2)/1000</f>
        <v>0.20368199999999997</v>
      </c>
      <c r="G142" s="12">
        <v>0.23400000000000001</v>
      </c>
      <c r="H142" s="12">
        <f>F142*G142</f>
        <v>4.7661587999999998E-2</v>
      </c>
      <c r="I142" s="12">
        <v>5</v>
      </c>
      <c r="J142" s="12">
        <f>F142*I142</f>
        <v>1.0184099999999998</v>
      </c>
    </row>
    <row r="143" spans="2:18">
      <c r="B143" s="12" t="s">
        <v>66</v>
      </c>
      <c r="D143" s="15">
        <v>24.9</v>
      </c>
      <c r="E143" s="12">
        <v>4.57</v>
      </c>
      <c r="F143" s="12">
        <f t="shared" ref="F143:F174" si="15">(D143*E143*2)/1000</f>
        <v>0.22758600000000001</v>
      </c>
      <c r="G143" s="12">
        <f>G142+1.65</f>
        <v>1.8839999999999999</v>
      </c>
      <c r="H143" s="12">
        <f t="shared" ref="H143:H174" si="16">F143*G143</f>
        <v>0.42877202399999997</v>
      </c>
      <c r="I143" s="12">
        <v>5</v>
      </c>
      <c r="J143" s="12">
        <f t="shared" ref="J143:J174" si="17">F143*I143</f>
        <v>1.1379300000000001</v>
      </c>
    </row>
    <row r="144" spans="2:18">
      <c r="B144" s="12" t="s">
        <v>67</v>
      </c>
      <c r="D144" s="15">
        <v>24.9</v>
      </c>
      <c r="E144" s="12">
        <v>5.19</v>
      </c>
      <c r="F144" s="12">
        <f t="shared" si="15"/>
        <v>0.25846199999999997</v>
      </c>
      <c r="G144" s="12">
        <f t="shared" ref="G144:G149" si="18">G143+1.65</f>
        <v>3.5339999999999998</v>
      </c>
      <c r="H144" s="12">
        <f t="shared" si="16"/>
        <v>0.91340470799999984</v>
      </c>
      <c r="I144" s="12">
        <v>5</v>
      </c>
      <c r="J144" s="12">
        <f t="shared" si="17"/>
        <v>1.2923099999999998</v>
      </c>
      <c r="R144" s="12">
        <v>6</v>
      </c>
    </row>
    <row r="145" spans="2:10">
      <c r="B145" s="12" t="s">
        <v>68</v>
      </c>
      <c r="D145" s="15">
        <v>24.9</v>
      </c>
      <c r="E145" s="12">
        <v>5.34</v>
      </c>
      <c r="F145" s="12">
        <f t="shared" si="15"/>
        <v>0.26593199999999995</v>
      </c>
      <c r="G145" s="12">
        <f t="shared" si="18"/>
        <v>5.1839999999999993</v>
      </c>
      <c r="H145" s="12">
        <f t="shared" si="16"/>
        <v>1.3785914879999994</v>
      </c>
      <c r="I145" s="12">
        <v>5</v>
      </c>
      <c r="J145" s="12">
        <f t="shared" si="17"/>
        <v>1.3296599999999996</v>
      </c>
    </row>
    <row r="146" spans="2:10">
      <c r="B146" s="12" t="s">
        <v>69</v>
      </c>
      <c r="D146" s="15">
        <v>24.9</v>
      </c>
      <c r="E146" s="12">
        <v>5.43</v>
      </c>
      <c r="F146" s="12">
        <f t="shared" si="15"/>
        <v>0.27041399999999999</v>
      </c>
      <c r="G146" s="12">
        <f t="shared" si="18"/>
        <v>6.8339999999999996</v>
      </c>
      <c r="H146" s="12">
        <f t="shared" si="16"/>
        <v>1.8480092759999998</v>
      </c>
      <c r="I146" s="12">
        <v>5</v>
      </c>
      <c r="J146" s="12">
        <f t="shared" si="17"/>
        <v>1.3520699999999999</v>
      </c>
    </row>
    <row r="147" spans="2:10">
      <c r="B147" s="12" t="s">
        <v>70</v>
      </c>
      <c r="D147" s="15">
        <v>24.9</v>
      </c>
      <c r="E147" s="12">
        <v>5.47</v>
      </c>
      <c r="F147" s="12">
        <f t="shared" si="15"/>
        <v>0.27240599999999993</v>
      </c>
      <c r="G147" s="12">
        <f t="shared" si="18"/>
        <v>8.484</v>
      </c>
      <c r="H147" s="12">
        <f t="shared" si="16"/>
        <v>2.3110925039999994</v>
      </c>
      <c r="I147" s="12">
        <v>5</v>
      </c>
      <c r="J147" s="12">
        <f t="shared" si="17"/>
        <v>1.3620299999999996</v>
      </c>
    </row>
    <row r="148" spans="2:10">
      <c r="B148" s="12" t="s">
        <v>71</v>
      </c>
      <c r="D148" s="15">
        <v>24.9</v>
      </c>
      <c r="E148" s="12">
        <v>5.5</v>
      </c>
      <c r="F148" s="12">
        <f t="shared" si="15"/>
        <v>0.27389999999999998</v>
      </c>
      <c r="G148" s="12">
        <f t="shared" si="18"/>
        <v>10.134</v>
      </c>
      <c r="H148" s="12">
        <f t="shared" si="16"/>
        <v>2.7757025999999998</v>
      </c>
      <c r="I148" s="12">
        <v>5</v>
      </c>
      <c r="J148" s="12">
        <f t="shared" si="17"/>
        <v>1.3694999999999999</v>
      </c>
    </row>
    <row r="149" spans="2:10">
      <c r="B149" s="12" t="s">
        <v>72</v>
      </c>
      <c r="D149" s="15">
        <v>24.9</v>
      </c>
      <c r="E149" s="12">
        <v>5.5</v>
      </c>
      <c r="F149" s="12">
        <f t="shared" si="15"/>
        <v>0.27389999999999998</v>
      </c>
      <c r="G149" s="12">
        <f t="shared" si="18"/>
        <v>11.784000000000001</v>
      </c>
      <c r="H149" s="12">
        <f t="shared" si="16"/>
        <v>3.2276376</v>
      </c>
      <c r="I149" s="12">
        <v>5</v>
      </c>
      <c r="J149" s="12">
        <f t="shared" si="17"/>
        <v>1.3694999999999999</v>
      </c>
    </row>
    <row r="150" spans="2:10">
      <c r="B150" s="12" t="s">
        <v>73</v>
      </c>
      <c r="D150" s="15">
        <v>24.9</v>
      </c>
      <c r="E150" s="12">
        <v>5.5</v>
      </c>
      <c r="F150" s="12">
        <f t="shared" si="15"/>
        <v>0.27389999999999998</v>
      </c>
      <c r="G150" s="12">
        <f>G149+1.8</f>
        <v>13.584000000000001</v>
      </c>
      <c r="H150" s="12">
        <f t="shared" si="16"/>
        <v>3.7206576</v>
      </c>
      <c r="I150" s="12">
        <v>5</v>
      </c>
      <c r="J150" s="12">
        <f t="shared" si="17"/>
        <v>1.3694999999999999</v>
      </c>
    </row>
    <row r="151" spans="2:10">
      <c r="B151" s="12" t="s">
        <v>74</v>
      </c>
      <c r="D151" s="15">
        <v>24.9</v>
      </c>
      <c r="E151" s="12">
        <v>5.5</v>
      </c>
      <c r="F151" s="12">
        <f t="shared" si="15"/>
        <v>0.27389999999999998</v>
      </c>
      <c r="G151" s="12">
        <f t="shared" ref="G151:G171" si="19">G150+1.8</f>
        <v>15.384000000000002</v>
      </c>
      <c r="H151" s="12">
        <f t="shared" si="16"/>
        <v>4.2136776000000005</v>
      </c>
      <c r="I151" s="12">
        <v>5</v>
      </c>
      <c r="J151" s="12">
        <f t="shared" si="17"/>
        <v>1.3694999999999999</v>
      </c>
    </row>
    <row r="152" spans="2:10">
      <c r="B152" s="12" t="s">
        <v>75</v>
      </c>
      <c r="D152" s="15">
        <v>24.9</v>
      </c>
      <c r="E152" s="12">
        <v>5.5</v>
      </c>
      <c r="F152" s="12">
        <f t="shared" si="15"/>
        <v>0.27389999999999998</v>
      </c>
      <c r="G152" s="12">
        <f t="shared" si="19"/>
        <v>17.184000000000001</v>
      </c>
      <c r="H152" s="12">
        <f t="shared" si="16"/>
        <v>4.7066976</v>
      </c>
      <c r="I152" s="12">
        <v>5</v>
      </c>
      <c r="J152" s="12">
        <f t="shared" si="17"/>
        <v>1.3694999999999999</v>
      </c>
    </row>
    <row r="153" spans="2:10">
      <c r="B153" s="12" t="s">
        <v>76</v>
      </c>
      <c r="D153" s="15">
        <v>24.9</v>
      </c>
      <c r="E153" s="12">
        <v>1.86</v>
      </c>
      <c r="F153" s="12">
        <f t="shared" si="15"/>
        <v>9.2628000000000002E-2</v>
      </c>
      <c r="G153" s="12">
        <f t="shared" si="19"/>
        <v>18.984000000000002</v>
      </c>
      <c r="H153" s="12">
        <f t="shared" si="16"/>
        <v>1.7584499520000001</v>
      </c>
      <c r="I153" s="12">
        <v>5</v>
      </c>
      <c r="J153" s="12">
        <f t="shared" si="17"/>
        <v>0.46314</v>
      </c>
    </row>
    <row r="154" spans="2:10">
      <c r="B154" s="12" t="s">
        <v>77</v>
      </c>
      <c r="D154" s="15">
        <v>24.9</v>
      </c>
      <c r="E154" s="12">
        <v>1.86</v>
      </c>
      <c r="F154" s="12">
        <f t="shared" si="15"/>
        <v>9.2628000000000002E-2</v>
      </c>
      <c r="G154" s="12">
        <f t="shared" si="19"/>
        <v>20.784000000000002</v>
      </c>
      <c r="H154" s="12">
        <f t="shared" si="16"/>
        <v>1.9251803520000004</v>
      </c>
      <c r="I154" s="12">
        <v>5</v>
      </c>
      <c r="J154" s="12">
        <f t="shared" si="17"/>
        <v>0.46314</v>
      </c>
    </row>
    <row r="155" spans="2:10">
      <c r="B155" s="12" t="s">
        <v>78</v>
      </c>
      <c r="D155" s="15">
        <v>24.9</v>
      </c>
      <c r="E155" s="12">
        <v>1.86</v>
      </c>
      <c r="F155" s="12">
        <f t="shared" si="15"/>
        <v>9.2628000000000002E-2</v>
      </c>
      <c r="G155" s="12">
        <f t="shared" si="19"/>
        <v>22.584000000000003</v>
      </c>
      <c r="H155" s="12">
        <f t="shared" si="16"/>
        <v>2.0919107520000004</v>
      </c>
      <c r="I155" s="12">
        <v>5</v>
      </c>
      <c r="J155" s="12">
        <f t="shared" si="17"/>
        <v>0.46314</v>
      </c>
    </row>
    <row r="156" spans="2:10">
      <c r="B156" s="12" t="s">
        <v>79</v>
      </c>
      <c r="D156" s="15">
        <v>24.9</v>
      </c>
      <c r="E156" s="12">
        <v>5.5</v>
      </c>
      <c r="F156" s="12">
        <f t="shared" si="15"/>
        <v>0.27389999999999998</v>
      </c>
      <c r="G156" s="12">
        <f t="shared" si="19"/>
        <v>24.384000000000004</v>
      </c>
      <c r="H156" s="12">
        <f t="shared" si="16"/>
        <v>6.6787776000000001</v>
      </c>
      <c r="I156" s="12">
        <v>5</v>
      </c>
      <c r="J156" s="12">
        <f t="shared" si="17"/>
        <v>1.3694999999999999</v>
      </c>
    </row>
    <row r="157" spans="2:10">
      <c r="B157" s="12" t="s">
        <v>80</v>
      </c>
      <c r="D157" s="15">
        <v>24.9</v>
      </c>
      <c r="E157" s="12">
        <v>5.5</v>
      </c>
      <c r="F157" s="12">
        <f t="shared" si="15"/>
        <v>0.27389999999999998</v>
      </c>
      <c r="G157" s="12">
        <f t="shared" si="19"/>
        <v>26.184000000000005</v>
      </c>
      <c r="H157" s="12">
        <f t="shared" si="16"/>
        <v>7.1717976000000005</v>
      </c>
      <c r="I157" s="12">
        <v>5</v>
      </c>
      <c r="J157" s="12">
        <f t="shared" si="17"/>
        <v>1.3694999999999999</v>
      </c>
    </row>
    <row r="158" spans="2:10">
      <c r="B158" s="12" t="s">
        <v>81</v>
      </c>
      <c r="D158" s="15">
        <v>24.9</v>
      </c>
      <c r="E158" s="12">
        <v>5.5</v>
      </c>
      <c r="F158" s="12">
        <f t="shared" si="15"/>
        <v>0.27389999999999998</v>
      </c>
      <c r="G158" s="12">
        <f t="shared" si="19"/>
        <v>27.984000000000005</v>
      </c>
      <c r="H158" s="12">
        <f t="shared" si="16"/>
        <v>7.664817600000001</v>
      </c>
      <c r="I158" s="12">
        <v>5</v>
      </c>
      <c r="J158" s="12">
        <f t="shared" si="17"/>
        <v>1.3694999999999999</v>
      </c>
    </row>
    <row r="159" spans="2:10">
      <c r="B159" s="12" t="s">
        <v>82</v>
      </c>
      <c r="D159" s="15">
        <v>24.9</v>
      </c>
      <c r="E159" s="12">
        <v>5.5</v>
      </c>
      <c r="F159" s="12">
        <f t="shared" si="15"/>
        <v>0.27389999999999998</v>
      </c>
      <c r="G159" s="12">
        <f t="shared" si="19"/>
        <v>29.784000000000006</v>
      </c>
      <c r="H159" s="12">
        <f t="shared" si="16"/>
        <v>8.1578376000000006</v>
      </c>
      <c r="I159" s="12">
        <v>5</v>
      </c>
      <c r="J159" s="12">
        <f t="shared" si="17"/>
        <v>1.3694999999999999</v>
      </c>
    </row>
    <row r="160" spans="2:10">
      <c r="B160" s="12" t="s">
        <v>83</v>
      </c>
      <c r="D160" s="15">
        <v>24.9</v>
      </c>
      <c r="E160" s="12">
        <v>5.5</v>
      </c>
      <c r="F160" s="12">
        <f t="shared" si="15"/>
        <v>0.27389999999999998</v>
      </c>
      <c r="G160" s="12">
        <f t="shared" si="19"/>
        <v>31.584000000000007</v>
      </c>
      <c r="H160" s="12">
        <f t="shared" si="16"/>
        <v>8.6508576000000019</v>
      </c>
      <c r="I160" s="12">
        <v>5</v>
      </c>
      <c r="J160" s="12">
        <f t="shared" si="17"/>
        <v>1.3694999999999999</v>
      </c>
    </row>
    <row r="161" spans="2:10">
      <c r="B161" s="12" t="s">
        <v>84</v>
      </c>
      <c r="D161" s="15">
        <v>24.9</v>
      </c>
      <c r="E161" s="12">
        <v>5.5</v>
      </c>
      <c r="F161" s="12">
        <f t="shared" si="15"/>
        <v>0.27389999999999998</v>
      </c>
      <c r="G161" s="12">
        <f t="shared" si="19"/>
        <v>33.384000000000007</v>
      </c>
      <c r="H161" s="12">
        <f t="shared" si="16"/>
        <v>9.1438776000000015</v>
      </c>
      <c r="I161" s="12">
        <v>5</v>
      </c>
      <c r="J161" s="12">
        <f t="shared" si="17"/>
        <v>1.3694999999999999</v>
      </c>
    </row>
    <row r="162" spans="2:10">
      <c r="B162" s="12" t="s">
        <v>85</v>
      </c>
      <c r="D162" s="15">
        <v>24.9</v>
      </c>
      <c r="E162" s="12">
        <v>1.86</v>
      </c>
      <c r="F162" s="12">
        <f t="shared" si="15"/>
        <v>9.2628000000000002E-2</v>
      </c>
      <c r="G162" s="12">
        <f t="shared" si="19"/>
        <v>35.184000000000005</v>
      </c>
      <c r="H162" s="12">
        <f t="shared" si="16"/>
        <v>3.2590235520000004</v>
      </c>
      <c r="I162" s="12">
        <v>5</v>
      </c>
      <c r="J162" s="12">
        <f t="shared" si="17"/>
        <v>0.46314</v>
      </c>
    </row>
    <row r="163" spans="2:10">
      <c r="B163" s="12" t="s">
        <v>86</v>
      </c>
      <c r="D163" s="15">
        <v>24.9</v>
      </c>
      <c r="E163" s="12">
        <v>1.86</v>
      </c>
      <c r="F163" s="12">
        <f t="shared" si="15"/>
        <v>9.2628000000000002E-2</v>
      </c>
      <c r="G163" s="12">
        <f t="shared" si="19"/>
        <v>36.984000000000002</v>
      </c>
      <c r="H163" s="12">
        <f t="shared" si="16"/>
        <v>3.4257539520000004</v>
      </c>
      <c r="I163" s="12">
        <v>5</v>
      </c>
      <c r="J163" s="12">
        <f t="shared" si="17"/>
        <v>0.46314</v>
      </c>
    </row>
    <row r="164" spans="2:10">
      <c r="B164" s="12" t="s">
        <v>87</v>
      </c>
      <c r="D164" s="15">
        <v>24.9</v>
      </c>
      <c r="E164" s="12">
        <v>1.86</v>
      </c>
      <c r="F164" s="12">
        <f t="shared" si="15"/>
        <v>9.2628000000000002E-2</v>
      </c>
      <c r="G164" s="12">
        <f t="shared" si="19"/>
        <v>38.783999999999999</v>
      </c>
      <c r="H164" s="12">
        <f t="shared" si="16"/>
        <v>3.592484352</v>
      </c>
      <c r="I164" s="12">
        <v>5</v>
      </c>
      <c r="J164" s="12">
        <f t="shared" si="17"/>
        <v>0.46314</v>
      </c>
    </row>
    <row r="165" spans="2:10">
      <c r="B165" s="12" t="s">
        <v>88</v>
      </c>
      <c r="D165" s="15">
        <v>24.9</v>
      </c>
      <c r="E165" s="12">
        <v>5.5</v>
      </c>
      <c r="F165" s="12">
        <f t="shared" si="15"/>
        <v>0.27389999999999998</v>
      </c>
      <c r="G165" s="12">
        <f t="shared" si="19"/>
        <v>40.583999999999996</v>
      </c>
      <c r="H165" s="12">
        <f t="shared" si="16"/>
        <v>11.115957599999998</v>
      </c>
      <c r="I165" s="12">
        <v>5</v>
      </c>
      <c r="J165" s="12">
        <f t="shared" si="17"/>
        <v>1.3694999999999999</v>
      </c>
    </row>
    <row r="166" spans="2:10">
      <c r="B166" s="12" t="s">
        <v>89</v>
      </c>
      <c r="D166" s="15">
        <v>24.9</v>
      </c>
      <c r="E166" s="12">
        <v>5.5</v>
      </c>
      <c r="F166" s="12">
        <f t="shared" si="15"/>
        <v>0.27389999999999998</v>
      </c>
      <c r="G166" s="12">
        <f t="shared" si="19"/>
        <v>42.383999999999993</v>
      </c>
      <c r="H166" s="12">
        <f t="shared" si="16"/>
        <v>11.608977599999998</v>
      </c>
      <c r="I166" s="12">
        <v>5</v>
      </c>
      <c r="J166" s="12">
        <f t="shared" si="17"/>
        <v>1.3694999999999999</v>
      </c>
    </row>
    <row r="167" spans="2:10">
      <c r="B167" s="12" t="s">
        <v>90</v>
      </c>
      <c r="D167" s="15">
        <v>24.9</v>
      </c>
      <c r="E167" s="12">
        <v>5.5</v>
      </c>
      <c r="F167" s="12">
        <f t="shared" si="15"/>
        <v>0.27389999999999998</v>
      </c>
      <c r="G167" s="12">
        <f t="shared" si="19"/>
        <v>44.18399999999999</v>
      </c>
      <c r="H167" s="12">
        <f t="shared" si="16"/>
        <v>12.101997599999997</v>
      </c>
      <c r="I167" s="12">
        <v>5</v>
      </c>
      <c r="J167" s="12">
        <f t="shared" si="17"/>
        <v>1.3694999999999999</v>
      </c>
    </row>
    <row r="168" spans="2:10">
      <c r="B168" s="12" t="s">
        <v>91</v>
      </c>
      <c r="D168" s="15">
        <v>24.9</v>
      </c>
      <c r="E168" s="12">
        <v>5.5</v>
      </c>
      <c r="F168" s="12">
        <f t="shared" si="15"/>
        <v>0.27389999999999998</v>
      </c>
      <c r="G168" s="12">
        <f t="shared" si="19"/>
        <v>45.983999999999988</v>
      </c>
      <c r="H168" s="12">
        <f t="shared" si="16"/>
        <v>12.595017599999995</v>
      </c>
      <c r="I168" s="12">
        <v>5</v>
      </c>
      <c r="J168" s="12">
        <f t="shared" si="17"/>
        <v>1.3694999999999999</v>
      </c>
    </row>
    <row r="169" spans="2:10">
      <c r="B169" s="12" t="s">
        <v>92</v>
      </c>
      <c r="D169" s="15">
        <v>24.9</v>
      </c>
      <c r="E169" s="12">
        <v>5.5</v>
      </c>
      <c r="F169" s="12">
        <f t="shared" si="15"/>
        <v>0.27389999999999998</v>
      </c>
      <c r="G169" s="12">
        <f t="shared" si="19"/>
        <v>47.783999999999985</v>
      </c>
      <c r="H169" s="12">
        <f t="shared" si="16"/>
        <v>13.088037599999994</v>
      </c>
      <c r="I169" s="12">
        <v>5</v>
      </c>
      <c r="J169" s="12">
        <f t="shared" si="17"/>
        <v>1.3694999999999999</v>
      </c>
    </row>
    <row r="170" spans="2:10">
      <c r="B170" s="12" t="s">
        <v>93</v>
      </c>
      <c r="D170" s="15">
        <v>24.9</v>
      </c>
      <c r="E170" s="12">
        <v>4.7699999999999996</v>
      </c>
      <c r="F170" s="12">
        <f t="shared" si="15"/>
        <v>0.23754599999999995</v>
      </c>
      <c r="G170" s="12">
        <f t="shared" si="19"/>
        <v>49.583999999999982</v>
      </c>
      <c r="H170" s="12">
        <f t="shared" si="16"/>
        <v>11.778480863999993</v>
      </c>
      <c r="I170" s="12">
        <v>5</v>
      </c>
      <c r="J170" s="12">
        <f t="shared" si="17"/>
        <v>1.1877299999999997</v>
      </c>
    </row>
    <row r="171" spans="2:10">
      <c r="B171" s="12" t="s">
        <v>94</v>
      </c>
      <c r="D171" s="15">
        <v>24.9</v>
      </c>
      <c r="E171" s="12">
        <v>4.45</v>
      </c>
      <c r="F171" s="12">
        <f t="shared" si="15"/>
        <v>0.22160999999999997</v>
      </c>
      <c r="G171" s="12">
        <f t="shared" si="19"/>
        <v>51.383999999999979</v>
      </c>
      <c r="H171" s="12">
        <f t="shared" si="16"/>
        <v>11.387208239999994</v>
      </c>
      <c r="I171" s="12">
        <v>5</v>
      </c>
      <c r="J171" s="12">
        <f t="shared" si="17"/>
        <v>1.10805</v>
      </c>
    </row>
    <row r="172" spans="2:10">
      <c r="B172" s="12" t="s">
        <v>95</v>
      </c>
      <c r="D172" s="15">
        <v>24.9</v>
      </c>
      <c r="E172" s="12">
        <v>3.96</v>
      </c>
      <c r="F172" s="12">
        <f t="shared" si="15"/>
        <v>0.19720799999999999</v>
      </c>
      <c r="G172" s="12">
        <f>G171+1.65</f>
        <v>53.033999999999978</v>
      </c>
      <c r="H172" s="12">
        <f t="shared" si="16"/>
        <v>10.458729071999995</v>
      </c>
      <c r="I172" s="12">
        <v>5</v>
      </c>
      <c r="J172" s="12">
        <f t="shared" si="17"/>
        <v>0.98604000000000003</v>
      </c>
    </row>
    <row r="173" spans="2:10">
      <c r="B173" s="12" t="s">
        <v>96</v>
      </c>
      <c r="D173" s="15">
        <v>24.9</v>
      </c>
      <c r="E173" s="12">
        <v>2.36</v>
      </c>
      <c r="F173" s="12">
        <f t="shared" si="15"/>
        <v>0.11752799999999999</v>
      </c>
      <c r="G173" s="12">
        <f t="shared" ref="G173:G174" si="20">G172+1.65</f>
        <v>54.683999999999976</v>
      </c>
      <c r="H173" s="12">
        <f t="shared" si="16"/>
        <v>6.4269011519999966</v>
      </c>
      <c r="I173" s="12">
        <v>5</v>
      </c>
      <c r="J173" s="12">
        <f t="shared" si="17"/>
        <v>0.58763999999999994</v>
      </c>
    </row>
    <row r="174" spans="2:10">
      <c r="B174" s="12" t="s">
        <v>97</v>
      </c>
      <c r="D174" s="15">
        <v>24.9</v>
      </c>
      <c r="E174" s="12">
        <v>1.214</v>
      </c>
      <c r="F174" s="12">
        <f t="shared" si="15"/>
        <v>6.0457199999999996E-2</v>
      </c>
      <c r="G174" s="12">
        <f t="shared" si="20"/>
        <v>56.333999999999975</v>
      </c>
      <c r="H174" s="12">
        <f t="shared" si="16"/>
        <v>3.4057959047999984</v>
      </c>
      <c r="I174" s="12">
        <v>5</v>
      </c>
      <c r="J174" s="12">
        <f t="shared" si="17"/>
        <v>0.302286</v>
      </c>
    </row>
    <row r="175" spans="2:10">
      <c r="D175" s="15"/>
    </row>
    <row r="176" spans="2:10">
      <c r="D176" s="15"/>
    </row>
    <row r="177" spans="3:15">
      <c r="F177" s="10">
        <f>SUM(F142:F174)</f>
        <v>7.2709992000000012</v>
      </c>
      <c r="H177" s="10">
        <f>SUM(H142:H174)</f>
        <v>193.05977633279997</v>
      </c>
      <c r="I177" s="10"/>
      <c r="J177" s="10">
        <f>SUM(J142:J174)</f>
        <v>36.354995999999986</v>
      </c>
    </row>
    <row r="179" spans="3:15">
      <c r="F179" s="17" t="s">
        <v>4</v>
      </c>
      <c r="G179" s="18">
        <f>H177/F177</f>
        <v>26.552028273197987</v>
      </c>
      <c r="I179" s="10">
        <f>J177/F177</f>
        <v>4.9999999999999973</v>
      </c>
      <c r="J179" s="10" t="s">
        <v>5</v>
      </c>
    </row>
    <row r="180" spans="3:15">
      <c r="F180" s="17"/>
      <c r="G180" s="18"/>
      <c r="I180" s="10"/>
      <c r="J180" s="10"/>
    </row>
    <row r="181" spans="3:15">
      <c r="F181" s="17"/>
      <c r="G181" s="18"/>
      <c r="I181" s="10"/>
      <c r="J181" s="10"/>
    </row>
    <row r="182" spans="3:15">
      <c r="F182" s="17"/>
      <c r="G182" s="18"/>
      <c r="I182" s="10"/>
      <c r="J182" s="10"/>
    </row>
    <row r="183" spans="3:15">
      <c r="F183" s="17"/>
      <c r="G183" s="18"/>
      <c r="I183" s="10"/>
      <c r="J183" s="10"/>
    </row>
    <row r="184" spans="3:15">
      <c r="F184" s="17"/>
      <c r="G184" s="18"/>
      <c r="I184" s="10"/>
      <c r="J184" s="10"/>
    </row>
    <row r="185" spans="3:15">
      <c r="F185" s="17"/>
      <c r="G185" s="18"/>
      <c r="I185" s="10"/>
      <c r="J185" s="10"/>
    </row>
    <row r="186" spans="3:15">
      <c r="F186" s="17"/>
      <c r="G186" s="18"/>
      <c r="I186" s="10"/>
      <c r="J186" s="10"/>
    </row>
    <row r="187" spans="3:15">
      <c r="F187" s="17"/>
      <c r="G187" s="18"/>
      <c r="I187" s="10"/>
      <c r="J187" s="10"/>
    </row>
    <row r="188" spans="3:15">
      <c r="F188" s="17"/>
      <c r="G188" s="18"/>
      <c r="I188" s="10"/>
      <c r="J188" s="10"/>
    </row>
    <row r="189" spans="3:15">
      <c r="F189" s="17"/>
      <c r="G189" s="18"/>
      <c r="I189" s="10"/>
      <c r="J189" s="10"/>
    </row>
    <row r="190" spans="3:15">
      <c r="O190" s="12">
        <f>(F177+F214)</f>
        <v>10.441765200000001</v>
      </c>
    </row>
    <row r="191" spans="3:15">
      <c r="O191" s="12">
        <f>(H177+H214)/O190</f>
        <v>20.776179287846844</v>
      </c>
    </row>
    <row r="192" spans="3:15">
      <c r="C192" s="21"/>
      <c r="D192" s="17"/>
    </row>
    <row r="193" spans="2:15">
      <c r="C193" s="21"/>
      <c r="D193" s="17"/>
      <c r="O193" s="12">
        <f>(J177+J214)/O190</f>
        <v>5.9973120177036705</v>
      </c>
    </row>
    <row r="194" spans="2:15">
      <c r="C194" s="21"/>
      <c r="D194" s="17"/>
    </row>
    <row r="195" spans="2:15" ht="28.5" customHeight="1">
      <c r="B195" s="24" t="s">
        <v>188</v>
      </c>
      <c r="C195" s="24"/>
      <c r="D195" s="21"/>
    </row>
    <row r="196" spans="2:15">
      <c r="C196" s="21"/>
      <c r="D196" s="17"/>
    </row>
    <row r="197" spans="2:15">
      <c r="B197" s="12" t="s">
        <v>65</v>
      </c>
      <c r="C197" s="21"/>
      <c r="D197" s="22">
        <v>24.9</v>
      </c>
      <c r="E197" s="12">
        <v>4.09</v>
      </c>
      <c r="F197" s="12">
        <f>E197*D197*2/1000</f>
        <v>0.20368199999999997</v>
      </c>
      <c r="G197" s="12">
        <v>0.23400000000000001</v>
      </c>
      <c r="H197" s="12">
        <f>G197*F197</f>
        <v>4.7661587999999998E-2</v>
      </c>
      <c r="I197" s="12">
        <v>7.32</v>
      </c>
      <c r="J197" s="12">
        <f>I197*F197</f>
        <v>1.4909522399999999</v>
      </c>
    </row>
    <row r="198" spans="2:15">
      <c r="B198" s="12" t="s">
        <v>66</v>
      </c>
      <c r="C198" s="21"/>
      <c r="D198" s="22">
        <v>24.9</v>
      </c>
      <c r="E198" s="12">
        <v>4.57</v>
      </c>
      <c r="F198" s="12">
        <f t="shared" ref="F198:F212" si="21">E198*D198*2/1000</f>
        <v>0.22758600000000001</v>
      </c>
      <c r="G198" s="12">
        <f>G197+1.65</f>
        <v>1.8839999999999999</v>
      </c>
      <c r="H198" s="12">
        <f t="shared" ref="H198:H212" si="22">G198*F198</f>
        <v>0.42877202399999997</v>
      </c>
      <c r="I198" s="12">
        <v>7.32</v>
      </c>
      <c r="J198" s="12">
        <f t="shared" ref="J198:J212" si="23">I198*F198</f>
        <v>1.6659295200000002</v>
      </c>
    </row>
    <row r="199" spans="2:15">
      <c r="B199" s="12" t="s">
        <v>67</v>
      </c>
      <c r="C199" s="21"/>
      <c r="D199" s="22">
        <v>24.9</v>
      </c>
      <c r="E199" s="12">
        <v>5.19</v>
      </c>
      <c r="F199" s="12">
        <f t="shared" si="21"/>
        <v>0.25846199999999997</v>
      </c>
      <c r="G199" s="12">
        <f t="shared" ref="G199:G204" si="24">G198+1.65</f>
        <v>3.5339999999999998</v>
      </c>
      <c r="H199" s="12">
        <f t="shared" si="22"/>
        <v>0.91340470799999984</v>
      </c>
      <c r="I199" s="12">
        <v>7.32</v>
      </c>
      <c r="J199" s="12">
        <f t="shared" si="23"/>
        <v>1.8919418399999999</v>
      </c>
    </row>
    <row r="200" spans="2:15">
      <c r="B200" s="12" t="s">
        <v>68</v>
      </c>
      <c r="C200" s="21"/>
      <c r="D200" s="22">
        <v>24.9</v>
      </c>
      <c r="E200" s="12">
        <v>5.34</v>
      </c>
      <c r="F200" s="12">
        <f t="shared" si="21"/>
        <v>0.26593199999999995</v>
      </c>
      <c r="G200" s="12">
        <f t="shared" si="24"/>
        <v>5.1839999999999993</v>
      </c>
      <c r="H200" s="12">
        <f t="shared" si="22"/>
        <v>1.3785914879999994</v>
      </c>
      <c r="I200" s="12">
        <v>7.32</v>
      </c>
      <c r="J200" s="12">
        <f t="shared" si="23"/>
        <v>1.9466222399999997</v>
      </c>
    </row>
    <row r="201" spans="2:15">
      <c r="B201" s="12" t="s">
        <v>69</v>
      </c>
      <c r="C201" s="21"/>
      <c r="D201" s="22">
        <v>24.9</v>
      </c>
      <c r="E201" s="12">
        <v>5.43</v>
      </c>
      <c r="F201" s="12">
        <f t="shared" si="21"/>
        <v>0.27041399999999999</v>
      </c>
      <c r="G201" s="12">
        <f t="shared" si="24"/>
        <v>6.8339999999999996</v>
      </c>
      <c r="H201" s="12">
        <f t="shared" si="22"/>
        <v>1.8480092759999998</v>
      </c>
      <c r="I201" s="12">
        <v>7.32</v>
      </c>
      <c r="J201" s="12">
        <f t="shared" si="23"/>
        <v>1.97943048</v>
      </c>
    </row>
    <row r="202" spans="2:15">
      <c r="B202" s="12" t="s">
        <v>70</v>
      </c>
      <c r="C202" s="21"/>
      <c r="D202" s="22">
        <v>24.9</v>
      </c>
      <c r="E202" s="12">
        <v>5.47</v>
      </c>
      <c r="F202" s="12">
        <f t="shared" si="21"/>
        <v>0.27240599999999993</v>
      </c>
      <c r="G202" s="12">
        <f t="shared" si="24"/>
        <v>8.484</v>
      </c>
      <c r="H202" s="12">
        <f t="shared" si="22"/>
        <v>2.3110925039999994</v>
      </c>
      <c r="I202" s="12">
        <v>7.32</v>
      </c>
      <c r="J202" s="12">
        <f t="shared" si="23"/>
        <v>1.9940119199999995</v>
      </c>
    </row>
    <row r="203" spans="2:15">
      <c r="B203" s="12" t="s">
        <v>71</v>
      </c>
      <c r="C203" s="21"/>
      <c r="D203" s="22">
        <v>24.9</v>
      </c>
      <c r="E203" s="12">
        <v>5.5</v>
      </c>
      <c r="F203" s="12">
        <f t="shared" si="21"/>
        <v>0.27389999999999998</v>
      </c>
      <c r="G203" s="12">
        <f t="shared" si="24"/>
        <v>10.134</v>
      </c>
      <c r="H203" s="12">
        <f t="shared" si="22"/>
        <v>2.7757025999999998</v>
      </c>
      <c r="I203" s="12">
        <v>7.32</v>
      </c>
      <c r="J203" s="12">
        <f t="shared" si="23"/>
        <v>2.0049479999999997</v>
      </c>
    </row>
    <row r="204" spans="2:15">
      <c r="B204" s="12" t="s">
        <v>72</v>
      </c>
      <c r="C204" s="21"/>
      <c r="D204" s="22">
        <v>24.9</v>
      </c>
      <c r="E204" s="12">
        <v>5.5</v>
      </c>
      <c r="F204" s="12">
        <f t="shared" si="21"/>
        <v>0.27389999999999998</v>
      </c>
      <c r="G204" s="12">
        <f t="shared" si="24"/>
        <v>11.784000000000001</v>
      </c>
      <c r="H204" s="12">
        <f t="shared" si="22"/>
        <v>3.2276376</v>
      </c>
      <c r="I204" s="12">
        <v>7.32</v>
      </c>
      <c r="J204" s="12">
        <f t="shared" si="23"/>
        <v>2.0049479999999997</v>
      </c>
    </row>
    <row r="205" spans="2:15">
      <c r="C205" s="21"/>
      <c r="D205" s="17"/>
    </row>
    <row r="206" spans="2:15">
      <c r="B206" s="12" t="s">
        <v>101</v>
      </c>
      <c r="C206" s="21"/>
      <c r="D206" s="22">
        <v>24.9</v>
      </c>
      <c r="E206" s="12">
        <v>4.18</v>
      </c>
      <c r="F206" s="12">
        <f t="shared" si="21"/>
        <v>0.20816399999999999</v>
      </c>
      <c r="G206" s="12">
        <v>6.8339999999999996</v>
      </c>
      <c r="H206" s="12">
        <f t="shared" si="22"/>
        <v>1.4225927759999999</v>
      </c>
      <c r="I206" s="12">
        <v>9.52</v>
      </c>
      <c r="J206" s="12">
        <f t="shared" si="23"/>
        <v>1.9817212799999997</v>
      </c>
    </row>
    <row r="207" spans="2:15">
      <c r="C207" s="21"/>
      <c r="D207" s="22">
        <v>24.9</v>
      </c>
      <c r="E207" s="12">
        <v>4.18</v>
      </c>
      <c r="F207" s="12">
        <f t="shared" si="21"/>
        <v>0.20816399999999999</v>
      </c>
      <c r="G207" s="12">
        <v>8.484</v>
      </c>
      <c r="H207" s="12">
        <f t="shared" si="22"/>
        <v>1.766063376</v>
      </c>
      <c r="I207" s="12">
        <v>9.52</v>
      </c>
      <c r="J207" s="12">
        <f t="shared" si="23"/>
        <v>1.9817212799999997</v>
      </c>
    </row>
    <row r="208" spans="2:15">
      <c r="C208" s="21"/>
      <c r="D208" s="22">
        <v>24.9</v>
      </c>
      <c r="E208" s="12">
        <v>4.18</v>
      </c>
      <c r="F208" s="12">
        <f t="shared" si="21"/>
        <v>0.20816399999999999</v>
      </c>
      <c r="G208" s="12">
        <v>10.134</v>
      </c>
      <c r="H208" s="12">
        <f t="shared" si="22"/>
        <v>2.1095339759999998</v>
      </c>
      <c r="I208" s="12">
        <v>9.52</v>
      </c>
      <c r="J208" s="12">
        <f t="shared" si="23"/>
        <v>1.9817212799999997</v>
      </c>
    </row>
    <row r="209" spans="3:10">
      <c r="C209" s="21"/>
      <c r="D209" s="22">
        <v>24.9</v>
      </c>
      <c r="E209" s="12">
        <v>4.18</v>
      </c>
      <c r="F209" s="12">
        <f t="shared" si="21"/>
        <v>0.20816399999999999</v>
      </c>
      <c r="G209" s="12">
        <v>11.784000000000001</v>
      </c>
      <c r="H209" s="12">
        <f t="shared" si="22"/>
        <v>2.4530045760000001</v>
      </c>
      <c r="I209" s="12">
        <v>9.52</v>
      </c>
      <c r="J209" s="12">
        <f t="shared" si="23"/>
        <v>1.9817212799999997</v>
      </c>
    </row>
    <row r="210" spans="3:10">
      <c r="C210" s="21"/>
      <c r="D210" s="17"/>
    </row>
    <row r="211" spans="3:10">
      <c r="C211" s="21"/>
      <c r="D211" s="22">
        <v>24.9</v>
      </c>
      <c r="E211" s="12">
        <v>2.93</v>
      </c>
      <c r="F211" s="12">
        <f t="shared" si="21"/>
        <v>0.14591399999999999</v>
      </c>
      <c r="G211" s="12">
        <v>10.134</v>
      </c>
      <c r="H211" s="12">
        <f t="shared" si="22"/>
        <v>1.478692476</v>
      </c>
      <c r="I211" s="12">
        <v>11.52</v>
      </c>
      <c r="J211" s="12">
        <f t="shared" si="23"/>
        <v>1.6809292799999997</v>
      </c>
    </row>
    <row r="212" spans="3:10">
      <c r="C212" s="21"/>
      <c r="D212" s="22">
        <v>24.9</v>
      </c>
      <c r="E212" s="12">
        <v>2.93</v>
      </c>
      <c r="F212" s="12">
        <f t="shared" si="21"/>
        <v>0.14591399999999999</v>
      </c>
      <c r="G212" s="12">
        <v>11.784000000000001</v>
      </c>
      <c r="H212" s="12">
        <f t="shared" si="22"/>
        <v>1.7194505760000001</v>
      </c>
      <c r="I212" s="12">
        <v>11.52</v>
      </c>
      <c r="J212" s="12">
        <f t="shared" si="23"/>
        <v>1.6809292799999997</v>
      </c>
    </row>
    <row r="213" spans="3:10">
      <c r="C213" s="21"/>
      <c r="D213" s="17"/>
    </row>
    <row r="214" spans="3:10">
      <c r="C214" s="21"/>
      <c r="D214" s="17"/>
      <c r="F214" s="10">
        <f>SUM(F197:F212)</f>
        <v>3.1707659999999995</v>
      </c>
      <c r="H214" s="10">
        <f>SUM(H197:H212)</f>
        <v>23.880209544</v>
      </c>
      <c r="J214" s="10">
        <f>SUM(J197:J212)</f>
        <v>26.267527919999996</v>
      </c>
    </row>
    <row r="215" spans="3:10">
      <c r="C215" s="21"/>
      <c r="D215" s="17"/>
    </row>
    <row r="216" spans="3:10">
      <c r="C216" s="21"/>
      <c r="D216" s="17"/>
      <c r="F216" s="17" t="s">
        <v>4</v>
      </c>
      <c r="G216" s="18">
        <f>H214/F214</f>
        <v>7.5313692476833687</v>
      </c>
      <c r="I216" s="10">
        <f>J214/F214</f>
        <v>8.2842845924297155</v>
      </c>
      <c r="J216" s="10" t="s">
        <v>5</v>
      </c>
    </row>
    <row r="217" spans="3:10">
      <c r="C217" s="21"/>
      <c r="D217" s="17"/>
      <c r="F217" s="17"/>
      <c r="G217" s="18"/>
      <c r="I217" s="10"/>
      <c r="J217" s="10"/>
    </row>
    <row r="218" spans="3:10">
      <c r="C218" s="21"/>
      <c r="D218" s="17"/>
      <c r="F218" s="17"/>
      <c r="G218" s="18"/>
      <c r="I218" s="10"/>
      <c r="J218" s="10"/>
    </row>
    <row r="219" spans="3:10">
      <c r="C219" s="21"/>
      <c r="D219" s="17"/>
      <c r="F219" s="17"/>
      <c r="G219" s="18"/>
      <c r="I219" s="10"/>
      <c r="J219" s="10"/>
    </row>
    <row r="220" spans="3:10">
      <c r="C220" s="21"/>
      <c r="D220" s="17"/>
      <c r="F220" s="17"/>
      <c r="G220" s="18"/>
      <c r="I220" s="10"/>
      <c r="J220" s="10"/>
    </row>
    <row r="221" spans="3:10">
      <c r="C221" s="21"/>
      <c r="D221" s="17"/>
      <c r="F221" s="17"/>
      <c r="G221" s="18"/>
      <c r="I221" s="10"/>
      <c r="J221" s="10"/>
    </row>
    <row r="222" spans="3:10">
      <c r="C222" s="21"/>
      <c r="D222" s="17"/>
      <c r="F222" s="17"/>
      <c r="G222" s="18"/>
      <c r="I222" s="10"/>
      <c r="J222" s="10"/>
    </row>
    <row r="223" spans="3:10">
      <c r="C223" s="21"/>
      <c r="D223" s="17"/>
      <c r="F223" s="17"/>
      <c r="G223" s="18"/>
      <c r="I223" s="10"/>
      <c r="J223" s="10"/>
    </row>
    <row r="224" spans="3:10">
      <c r="C224" s="21"/>
      <c r="D224" s="17"/>
      <c r="F224" s="17"/>
      <c r="G224" s="18"/>
      <c r="I224" s="10"/>
      <c r="J224" s="10"/>
    </row>
    <row r="225" spans="2:10">
      <c r="C225" s="21"/>
      <c r="D225" s="17"/>
      <c r="F225" s="17"/>
      <c r="G225" s="18"/>
      <c r="I225" s="10"/>
      <c r="J225" s="10"/>
    </row>
    <row r="226" spans="2:10">
      <c r="C226" s="21"/>
      <c r="D226" s="17"/>
    </row>
    <row r="227" spans="2:10">
      <c r="C227" s="21"/>
      <c r="D227" s="17"/>
    </row>
    <row r="228" spans="2:10">
      <c r="C228" s="21"/>
      <c r="D228" s="17"/>
    </row>
    <row r="229" spans="2:10">
      <c r="C229" s="21"/>
      <c r="D229" s="17"/>
    </row>
    <row r="230" spans="2:10">
      <c r="C230" s="21"/>
      <c r="D230" s="17"/>
    </row>
    <row r="231" spans="2:10">
      <c r="C231" s="21"/>
      <c r="D231" s="17"/>
    </row>
    <row r="232" spans="2:10" ht="24.5" customHeight="1">
      <c r="B232" s="24" t="s">
        <v>102</v>
      </c>
      <c r="C232" s="24"/>
    </row>
    <row r="233" spans="2:10">
      <c r="B233" s="21"/>
      <c r="C233" s="21"/>
    </row>
    <row r="234" spans="2:10">
      <c r="B234" s="12" t="s">
        <v>103</v>
      </c>
      <c r="D234" s="14">
        <f>13.8</f>
        <v>13.8</v>
      </c>
      <c r="E234" s="12">
        <v>4.3499999999999996</v>
      </c>
      <c r="F234" s="12">
        <f>D234*E234*2/1000</f>
        <v>0.12006</v>
      </c>
      <c r="G234" s="12">
        <v>0.78500000000000003</v>
      </c>
      <c r="H234" s="12">
        <f>F234*G234</f>
        <v>9.42471E-2</v>
      </c>
      <c r="I234" s="12">
        <f>E234/2+3.15</f>
        <v>5.3249999999999993</v>
      </c>
      <c r="J234" s="12">
        <f>I234*F234</f>
        <v>0.63931949999999993</v>
      </c>
    </row>
    <row r="235" spans="2:10">
      <c r="B235" s="12" t="s">
        <v>104</v>
      </c>
      <c r="D235" s="14">
        <f t="shared" ref="D235:D298" si="25">13.8</f>
        <v>13.8</v>
      </c>
      <c r="E235" s="12">
        <v>4.58</v>
      </c>
      <c r="F235" s="12">
        <f t="shared" ref="F235:F298" si="26">D235*E235*2/1000</f>
        <v>0.12640800000000002</v>
      </c>
      <c r="G235" s="12">
        <f>G234+0.55</f>
        <v>1.335</v>
      </c>
      <c r="H235" s="12">
        <f t="shared" ref="H235:H298" si="27">F235*G235</f>
        <v>0.16875468000000002</v>
      </c>
      <c r="I235" s="12">
        <f>E235/2+3.1</f>
        <v>5.3900000000000006</v>
      </c>
      <c r="J235" s="12">
        <f t="shared" ref="J235:J298" si="28">I235*F235</f>
        <v>0.68133912000000019</v>
      </c>
    </row>
    <row r="236" spans="2:10">
      <c r="B236" s="12" t="s">
        <v>105</v>
      </c>
      <c r="D236" s="14">
        <f t="shared" si="25"/>
        <v>13.8</v>
      </c>
      <c r="E236" s="12">
        <v>5.05</v>
      </c>
      <c r="F236" s="12">
        <f t="shared" si="26"/>
        <v>0.13938</v>
      </c>
      <c r="G236" s="12">
        <f>G235+1.1</f>
        <v>2.4350000000000001</v>
      </c>
      <c r="H236" s="12">
        <f t="shared" si="27"/>
        <v>0.33939030000000003</v>
      </c>
      <c r="I236" s="12">
        <f>E236/2+2.3</f>
        <v>4.8249999999999993</v>
      </c>
      <c r="J236" s="12">
        <f t="shared" si="28"/>
        <v>0.67250849999999995</v>
      </c>
    </row>
    <row r="237" spans="2:10">
      <c r="B237" s="12" t="s">
        <v>106</v>
      </c>
      <c r="D237" s="14">
        <f t="shared" si="25"/>
        <v>13.8</v>
      </c>
      <c r="E237" s="12">
        <v>5.28</v>
      </c>
      <c r="F237" s="12">
        <f t="shared" si="26"/>
        <v>0.145728</v>
      </c>
      <c r="G237" s="12">
        <f>G236+0.55</f>
        <v>2.9850000000000003</v>
      </c>
      <c r="H237" s="12">
        <f t="shared" si="27"/>
        <v>0.43499808000000001</v>
      </c>
      <c r="I237" s="12">
        <f>E237/2+2</f>
        <v>4.6400000000000006</v>
      </c>
      <c r="J237" s="12">
        <f t="shared" si="28"/>
        <v>0.6761779200000001</v>
      </c>
    </row>
    <row r="238" spans="2:10">
      <c r="B238" s="12" t="s">
        <v>107</v>
      </c>
      <c r="D238" s="14">
        <f t="shared" si="25"/>
        <v>13.8</v>
      </c>
      <c r="E238" s="12">
        <v>5.72</v>
      </c>
      <c r="F238" s="12">
        <f t="shared" si="26"/>
        <v>0.15787200000000001</v>
      </c>
      <c r="G238" s="12">
        <f t="shared" ref="G238:G248" si="29">G237+1.1</f>
        <v>4.0850000000000009</v>
      </c>
      <c r="H238" s="12">
        <f t="shared" si="27"/>
        <v>0.64490712000000017</v>
      </c>
      <c r="I238" s="12">
        <f>E238/2+1.5</f>
        <v>4.3599999999999994</v>
      </c>
      <c r="J238" s="12">
        <f t="shared" si="28"/>
        <v>0.68832191999999992</v>
      </c>
    </row>
    <row r="239" spans="2:10">
      <c r="B239" s="12" t="s">
        <v>108</v>
      </c>
      <c r="D239" s="14">
        <f t="shared" si="25"/>
        <v>13.8</v>
      </c>
      <c r="E239" s="12">
        <v>5.92</v>
      </c>
      <c r="F239" s="12">
        <f t="shared" si="26"/>
        <v>0.16339200000000001</v>
      </c>
      <c r="G239" s="12">
        <f>G238+0.55</f>
        <v>4.6350000000000007</v>
      </c>
      <c r="H239" s="12">
        <f t="shared" si="27"/>
        <v>0.7573219200000002</v>
      </c>
      <c r="I239" s="12">
        <f>E239/2+1.3</f>
        <v>4.26</v>
      </c>
      <c r="J239" s="12">
        <f t="shared" si="28"/>
        <v>0.69604991999999999</v>
      </c>
    </row>
    <row r="240" spans="2:10">
      <c r="B240" s="12" t="s">
        <v>109</v>
      </c>
      <c r="D240" s="14">
        <f t="shared" si="25"/>
        <v>13.8</v>
      </c>
      <c r="E240" s="12">
        <v>6.55</v>
      </c>
      <c r="F240" s="12">
        <f t="shared" si="26"/>
        <v>0.18078</v>
      </c>
      <c r="G240" s="12">
        <f t="shared" si="29"/>
        <v>5.7350000000000012</v>
      </c>
      <c r="H240" s="12">
        <f t="shared" si="27"/>
        <v>1.0367733000000001</v>
      </c>
      <c r="I240" s="12">
        <f>E240/2+1</f>
        <v>4.2750000000000004</v>
      </c>
      <c r="J240" s="12">
        <f t="shared" si="28"/>
        <v>0.77283450000000009</v>
      </c>
    </row>
    <row r="241" spans="2:10">
      <c r="B241" s="12" t="s">
        <v>110</v>
      </c>
      <c r="D241" s="14">
        <f t="shared" si="25"/>
        <v>13.8</v>
      </c>
      <c r="E241" s="12">
        <v>7.48</v>
      </c>
      <c r="F241" s="12">
        <f t="shared" si="26"/>
        <v>0.20644800000000005</v>
      </c>
      <c r="G241" s="12">
        <f>G240+0.55</f>
        <v>6.285000000000001</v>
      </c>
      <c r="H241" s="12">
        <f t="shared" si="27"/>
        <v>1.2975256800000006</v>
      </c>
      <c r="I241" s="12">
        <f>E241/2+0.8</f>
        <v>4.54</v>
      </c>
      <c r="J241" s="12">
        <f t="shared" si="28"/>
        <v>0.9372739200000002</v>
      </c>
    </row>
    <row r="242" spans="2:10">
      <c r="B242" s="12" t="s">
        <v>111</v>
      </c>
      <c r="D242" s="14">
        <f t="shared" si="25"/>
        <v>13.8</v>
      </c>
      <c r="E242" s="12">
        <v>8.98</v>
      </c>
      <c r="F242" s="12">
        <f t="shared" si="26"/>
        <v>0.24784800000000001</v>
      </c>
      <c r="G242" s="12">
        <f t="shared" si="29"/>
        <v>7.3850000000000016</v>
      </c>
      <c r="H242" s="12">
        <f t="shared" si="27"/>
        <v>1.8303574800000004</v>
      </c>
      <c r="I242" s="12">
        <f>E242/2+0.5</f>
        <v>4.99</v>
      </c>
      <c r="J242" s="12">
        <f t="shared" si="28"/>
        <v>1.2367615200000002</v>
      </c>
    </row>
    <row r="243" spans="2:10">
      <c r="B243" s="12" t="s">
        <v>112</v>
      </c>
      <c r="D243" s="14">
        <f t="shared" si="25"/>
        <v>13.8</v>
      </c>
      <c r="E243" s="12">
        <v>8.1</v>
      </c>
      <c r="F243" s="12">
        <f t="shared" si="26"/>
        <v>0.22356000000000001</v>
      </c>
      <c r="G243" s="12">
        <f>G242+0.55</f>
        <v>7.9350000000000014</v>
      </c>
      <c r="H243" s="12">
        <f t="shared" si="27"/>
        <v>1.7739486000000004</v>
      </c>
      <c r="I243" s="12">
        <f>E243/2+0.3</f>
        <v>4.3499999999999996</v>
      </c>
      <c r="J243" s="12">
        <f t="shared" si="28"/>
        <v>0.97248599999999996</v>
      </c>
    </row>
    <row r="244" spans="2:10">
      <c r="B244" s="12" t="s">
        <v>113</v>
      </c>
      <c r="D244" s="14">
        <f t="shared" si="25"/>
        <v>13.8</v>
      </c>
      <c r="E244" s="12">
        <v>9.2899999999999991</v>
      </c>
      <c r="F244" s="12">
        <f t="shared" si="26"/>
        <v>0.25640400000000002</v>
      </c>
      <c r="G244" s="12">
        <f t="shared" si="29"/>
        <v>9.0350000000000019</v>
      </c>
      <c r="H244" s="12">
        <f t="shared" si="27"/>
        <v>2.3166101400000008</v>
      </c>
      <c r="I244" s="12">
        <f>E244/2+0.25</f>
        <v>4.8949999999999996</v>
      </c>
      <c r="J244" s="12">
        <f t="shared" si="28"/>
        <v>1.2550975799999999</v>
      </c>
    </row>
    <row r="245" spans="2:10">
      <c r="B245" s="12" t="s">
        <v>114</v>
      </c>
      <c r="D245" s="14">
        <f t="shared" si="25"/>
        <v>13.8</v>
      </c>
      <c r="E245" s="12">
        <v>8.36</v>
      </c>
      <c r="F245" s="12">
        <f t="shared" si="26"/>
        <v>0.230736</v>
      </c>
      <c r="G245" s="12">
        <f>G244+0.55</f>
        <v>9.5850000000000026</v>
      </c>
      <c r="H245" s="12">
        <f t="shared" si="27"/>
        <v>2.2116045600000005</v>
      </c>
      <c r="I245" s="12">
        <f t="shared" ref="I245:I307" si="30">E245/2</f>
        <v>4.18</v>
      </c>
      <c r="J245" s="12">
        <f t="shared" si="28"/>
        <v>0.96447647999999997</v>
      </c>
    </row>
    <row r="246" spans="2:10">
      <c r="B246" s="12" t="s">
        <v>115</v>
      </c>
      <c r="D246" s="14">
        <f t="shared" si="25"/>
        <v>13.8</v>
      </c>
      <c r="E246" s="12">
        <v>10.6</v>
      </c>
      <c r="F246" s="12">
        <f t="shared" si="26"/>
        <v>0.29255999999999999</v>
      </c>
      <c r="G246" s="12">
        <f t="shared" si="29"/>
        <v>10.685000000000002</v>
      </c>
      <c r="H246" s="12">
        <f t="shared" si="27"/>
        <v>3.1260036000000007</v>
      </c>
      <c r="I246" s="12">
        <f t="shared" si="30"/>
        <v>5.3</v>
      </c>
      <c r="J246" s="12">
        <f t="shared" si="28"/>
        <v>1.5505679999999999</v>
      </c>
    </row>
    <row r="247" spans="2:10">
      <c r="B247" s="12" t="s">
        <v>116</v>
      </c>
      <c r="D247" s="14">
        <f t="shared" si="25"/>
        <v>13.8</v>
      </c>
      <c r="E247" s="12">
        <v>9.6</v>
      </c>
      <c r="F247" s="12">
        <f t="shared" si="26"/>
        <v>0.26495999999999997</v>
      </c>
      <c r="G247" s="12">
        <f>G246+0.55</f>
        <v>11.235000000000003</v>
      </c>
      <c r="H247" s="12">
        <f t="shared" si="27"/>
        <v>2.9768256000000006</v>
      </c>
      <c r="I247" s="12">
        <f t="shared" si="30"/>
        <v>4.8</v>
      </c>
      <c r="J247" s="12">
        <f t="shared" si="28"/>
        <v>1.2718079999999998</v>
      </c>
    </row>
    <row r="248" spans="2:10">
      <c r="B248" s="12" t="s">
        <v>117</v>
      </c>
      <c r="D248" s="14">
        <f t="shared" si="25"/>
        <v>13.8</v>
      </c>
      <c r="E248" s="12">
        <v>10.66</v>
      </c>
      <c r="F248" s="12">
        <f t="shared" si="26"/>
        <v>0.29421600000000003</v>
      </c>
      <c r="G248" s="12">
        <f t="shared" si="29"/>
        <v>12.335000000000003</v>
      </c>
      <c r="H248" s="12">
        <f t="shared" si="27"/>
        <v>3.6291543600000011</v>
      </c>
      <c r="I248" s="12">
        <f t="shared" si="30"/>
        <v>5.33</v>
      </c>
      <c r="J248" s="12">
        <f t="shared" si="28"/>
        <v>1.5681712800000003</v>
      </c>
    </row>
    <row r="249" spans="2:10">
      <c r="B249" s="12" t="s">
        <v>118</v>
      </c>
      <c r="D249" s="14">
        <f t="shared" si="25"/>
        <v>13.8</v>
      </c>
      <c r="E249" s="12">
        <v>5.92</v>
      </c>
      <c r="F249" s="12">
        <f t="shared" si="26"/>
        <v>0.16339200000000001</v>
      </c>
      <c r="G249" s="12">
        <f>G248+0.6</f>
        <v>12.935000000000002</v>
      </c>
      <c r="H249" s="12">
        <f t="shared" si="27"/>
        <v>2.1134755200000006</v>
      </c>
      <c r="I249" s="12">
        <f t="shared" si="30"/>
        <v>2.96</v>
      </c>
      <c r="J249" s="12">
        <f t="shared" si="28"/>
        <v>0.48364032000000001</v>
      </c>
    </row>
    <row r="250" spans="2:10">
      <c r="B250" s="12" t="s">
        <v>119</v>
      </c>
      <c r="D250" s="14">
        <f t="shared" si="25"/>
        <v>13.8</v>
      </c>
      <c r="E250" s="12">
        <v>5.92</v>
      </c>
      <c r="F250" s="12">
        <f t="shared" si="26"/>
        <v>0.16339200000000001</v>
      </c>
      <c r="G250" s="12">
        <f>G249+1.2</f>
        <v>14.135000000000002</v>
      </c>
      <c r="H250" s="12">
        <f t="shared" si="27"/>
        <v>2.3095459200000006</v>
      </c>
      <c r="I250" s="12">
        <f t="shared" si="30"/>
        <v>2.96</v>
      </c>
      <c r="J250" s="12">
        <f t="shared" si="28"/>
        <v>0.48364032000000001</v>
      </c>
    </row>
    <row r="251" spans="2:10">
      <c r="B251" s="12" t="s">
        <v>120</v>
      </c>
      <c r="D251" s="14">
        <f t="shared" si="25"/>
        <v>13.8</v>
      </c>
      <c r="E251" s="12">
        <v>5.92</v>
      </c>
      <c r="F251" s="12">
        <f t="shared" si="26"/>
        <v>0.16339200000000001</v>
      </c>
      <c r="G251" s="12">
        <f t="shared" ref="G251:G303" si="31">G250+0.6</f>
        <v>14.735000000000001</v>
      </c>
      <c r="H251" s="12">
        <f t="shared" si="27"/>
        <v>2.4075811200000001</v>
      </c>
      <c r="I251" s="12">
        <f t="shared" si="30"/>
        <v>2.96</v>
      </c>
      <c r="J251" s="12">
        <f t="shared" si="28"/>
        <v>0.48364032000000001</v>
      </c>
    </row>
    <row r="252" spans="2:10">
      <c r="B252" s="12" t="s">
        <v>121</v>
      </c>
      <c r="D252" s="14">
        <f t="shared" si="25"/>
        <v>13.8</v>
      </c>
      <c r="E252" s="12">
        <v>5.92</v>
      </c>
      <c r="F252" s="12">
        <f t="shared" si="26"/>
        <v>0.16339200000000001</v>
      </c>
      <c r="G252" s="12">
        <f>G251+1.2</f>
        <v>15.935</v>
      </c>
      <c r="H252" s="12">
        <f t="shared" si="27"/>
        <v>2.6036515200000001</v>
      </c>
      <c r="I252" s="12">
        <f t="shared" si="30"/>
        <v>2.96</v>
      </c>
      <c r="J252" s="12">
        <f t="shared" si="28"/>
        <v>0.48364032000000001</v>
      </c>
    </row>
    <row r="253" spans="2:10">
      <c r="B253" s="12" t="s">
        <v>122</v>
      </c>
      <c r="D253" s="14">
        <f t="shared" si="25"/>
        <v>13.8</v>
      </c>
      <c r="E253" s="12">
        <v>5.92</v>
      </c>
      <c r="F253" s="12">
        <f t="shared" si="26"/>
        <v>0.16339200000000001</v>
      </c>
      <c r="G253" s="12">
        <f>G252+0.6</f>
        <v>16.535</v>
      </c>
      <c r="H253" s="12">
        <f t="shared" si="27"/>
        <v>2.7016867200000001</v>
      </c>
      <c r="I253" s="12">
        <f t="shared" si="30"/>
        <v>2.96</v>
      </c>
      <c r="J253" s="12">
        <f t="shared" si="28"/>
        <v>0.48364032000000001</v>
      </c>
    </row>
    <row r="254" spans="2:10">
      <c r="B254" s="12" t="s">
        <v>123</v>
      </c>
      <c r="D254" s="14">
        <f t="shared" si="25"/>
        <v>13.8</v>
      </c>
      <c r="E254" s="12">
        <v>5.92</v>
      </c>
      <c r="F254" s="12">
        <f t="shared" si="26"/>
        <v>0.16339200000000001</v>
      </c>
      <c r="G254" s="12">
        <f>G253+1.2</f>
        <v>17.734999999999999</v>
      </c>
      <c r="H254" s="12">
        <f t="shared" si="27"/>
        <v>2.8977571200000001</v>
      </c>
      <c r="I254" s="12">
        <f t="shared" si="30"/>
        <v>2.96</v>
      </c>
      <c r="J254" s="12">
        <f t="shared" si="28"/>
        <v>0.48364032000000001</v>
      </c>
    </row>
    <row r="255" spans="2:10">
      <c r="B255" s="12" t="s">
        <v>124</v>
      </c>
      <c r="D255" s="14">
        <f t="shared" si="25"/>
        <v>13.8</v>
      </c>
      <c r="E255" s="12">
        <v>5.92</v>
      </c>
      <c r="F255" s="12">
        <f t="shared" si="26"/>
        <v>0.16339200000000001</v>
      </c>
      <c r="G255" s="12">
        <f>G254+0.6</f>
        <v>18.335000000000001</v>
      </c>
      <c r="H255" s="12">
        <f t="shared" si="27"/>
        <v>2.9957923200000005</v>
      </c>
      <c r="I255" s="12">
        <f t="shared" si="30"/>
        <v>2.96</v>
      </c>
      <c r="J255" s="12">
        <f t="shared" si="28"/>
        <v>0.48364032000000001</v>
      </c>
    </row>
    <row r="256" spans="2:10">
      <c r="B256" s="12" t="s">
        <v>125</v>
      </c>
      <c r="D256" s="14">
        <f t="shared" si="25"/>
        <v>13.8</v>
      </c>
      <c r="E256" s="12">
        <v>5.92</v>
      </c>
      <c r="F256" s="12">
        <f t="shared" si="26"/>
        <v>0.16339200000000001</v>
      </c>
      <c r="G256" s="12">
        <f>G255+1.2</f>
        <v>19.535</v>
      </c>
      <c r="H256" s="12">
        <f t="shared" si="27"/>
        <v>3.19186272</v>
      </c>
      <c r="I256" s="12">
        <f t="shared" si="30"/>
        <v>2.96</v>
      </c>
      <c r="J256" s="12">
        <f t="shared" si="28"/>
        <v>0.48364032000000001</v>
      </c>
    </row>
    <row r="257" spans="2:10">
      <c r="B257" s="12" t="s">
        <v>126</v>
      </c>
      <c r="D257" s="14">
        <f t="shared" si="25"/>
        <v>13.8</v>
      </c>
      <c r="E257" s="12">
        <v>5.92</v>
      </c>
      <c r="F257" s="12">
        <f t="shared" si="26"/>
        <v>0.16339200000000001</v>
      </c>
      <c r="G257" s="12">
        <f t="shared" si="31"/>
        <v>20.135000000000002</v>
      </c>
      <c r="H257" s="12">
        <f t="shared" si="27"/>
        <v>3.2898979200000005</v>
      </c>
      <c r="I257" s="12">
        <f t="shared" si="30"/>
        <v>2.96</v>
      </c>
      <c r="J257" s="12">
        <f t="shared" si="28"/>
        <v>0.48364032000000001</v>
      </c>
    </row>
    <row r="258" spans="2:10">
      <c r="B258" s="12" t="s">
        <v>127</v>
      </c>
      <c r="D258" s="14">
        <f t="shared" si="25"/>
        <v>13.8</v>
      </c>
      <c r="E258" s="12">
        <v>5.92</v>
      </c>
      <c r="F258" s="12">
        <f t="shared" si="26"/>
        <v>0.16339200000000001</v>
      </c>
      <c r="G258" s="12">
        <f>G257+1.2</f>
        <v>21.335000000000001</v>
      </c>
      <c r="H258" s="12">
        <f t="shared" si="27"/>
        <v>3.4859683200000005</v>
      </c>
      <c r="I258" s="12">
        <f t="shared" si="30"/>
        <v>2.96</v>
      </c>
      <c r="J258" s="12">
        <f t="shared" si="28"/>
        <v>0.48364032000000001</v>
      </c>
    </row>
    <row r="259" spans="2:10">
      <c r="B259" s="12" t="s">
        <v>128</v>
      </c>
      <c r="D259" s="14">
        <f t="shared" si="25"/>
        <v>13.8</v>
      </c>
      <c r="E259" s="12">
        <v>5.92</v>
      </c>
      <c r="F259" s="12">
        <f t="shared" si="26"/>
        <v>0.16339200000000001</v>
      </c>
      <c r="G259" s="12">
        <f t="shared" si="31"/>
        <v>21.935000000000002</v>
      </c>
      <c r="H259" s="12">
        <f t="shared" si="27"/>
        <v>3.5840035200000004</v>
      </c>
      <c r="I259" s="12">
        <f t="shared" si="30"/>
        <v>2.96</v>
      </c>
      <c r="J259" s="12">
        <f t="shared" si="28"/>
        <v>0.48364032000000001</v>
      </c>
    </row>
    <row r="260" spans="2:10">
      <c r="B260" s="12" t="s">
        <v>129</v>
      </c>
      <c r="D260" s="14">
        <f t="shared" si="25"/>
        <v>13.8</v>
      </c>
      <c r="E260" s="12">
        <v>5.92</v>
      </c>
      <c r="F260" s="12">
        <f t="shared" si="26"/>
        <v>0.16339200000000001</v>
      </c>
      <c r="G260" s="12">
        <f>G259+1.2</f>
        <v>23.135000000000002</v>
      </c>
      <c r="H260" s="12">
        <f t="shared" si="27"/>
        <v>3.7800739200000004</v>
      </c>
      <c r="I260" s="12">
        <f t="shared" si="30"/>
        <v>2.96</v>
      </c>
      <c r="J260" s="12">
        <f t="shared" si="28"/>
        <v>0.48364032000000001</v>
      </c>
    </row>
    <row r="261" spans="2:10">
      <c r="B261" s="12" t="s">
        <v>130</v>
      </c>
      <c r="D261" s="14">
        <f t="shared" si="25"/>
        <v>13.8</v>
      </c>
      <c r="E261" s="12">
        <v>5.92</v>
      </c>
      <c r="F261" s="12">
        <f t="shared" si="26"/>
        <v>0.16339200000000001</v>
      </c>
      <c r="G261" s="12">
        <f>G260+0.6</f>
        <v>23.735000000000003</v>
      </c>
      <c r="H261" s="12">
        <f t="shared" si="27"/>
        <v>3.8781091200000009</v>
      </c>
      <c r="I261" s="12">
        <f t="shared" si="30"/>
        <v>2.96</v>
      </c>
      <c r="J261" s="12">
        <f t="shared" si="28"/>
        <v>0.48364032000000001</v>
      </c>
    </row>
    <row r="262" spans="2:10">
      <c r="B262" s="12" t="s">
        <v>131</v>
      </c>
      <c r="D262" s="14">
        <f t="shared" si="25"/>
        <v>13.8</v>
      </c>
      <c r="E262" s="12">
        <v>5.92</v>
      </c>
      <c r="F262" s="12">
        <f t="shared" si="26"/>
        <v>0.16339200000000001</v>
      </c>
      <c r="G262" s="12">
        <f>G261+1.2</f>
        <v>24.935000000000002</v>
      </c>
      <c r="H262" s="12">
        <f t="shared" si="27"/>
        <v>4.0741795200000004</v>
      </c>
      <c r="I262" s="12">
        <f t="shared" si="30"/>
        <v>2.96</v>
      </c>
      <c r="J262" s="12">
        <f t="shared" si="28"/>
        <v>0.48364032000000001</v>
      </c>
    </row>
    <row r="263" spans="2:10">
      <c r="B263" s="12" t="s">
        <v>132</v>
      </c>
      <c r="D263" s="14">
        <f t="shared" si="25"/>
        <v>13.8</v>
      </c>
      <c r="E263" s="12">
        <v>5.92</v>
      </c>
      <c r="F263" s="12">
        <f t="shared" si="26"/>
        <v>0.16339200000000001</v>
      </c>
      <c r="G263" s="12">
        <f t="shared" si="31"/>
        <v>25.535000000000004</v>
      </c>
      <c r="H263" s="12">
        <f t="shared" si="27"/>
        <v>4.1722147200000013</v>
      </c>
      <c r="I263" s="12">
        <f t="shared" si="30"/>
        <v>2.96</v>
      </c>
      <c r="J263" s="12">
        <f t="shared" si="28"/>
        <v>0.48364032000000001</v>
      </c>
    </row>
    <row r="264" spans="2:10">
      <c r="B264" s="12" t="s">
        <v>133</v>
      </c>
      <c r="D264" s="14">
        <f t="shared" si="25"/>
        <v>13.8</v>
      </c>
      <c r="E264" s="12">
        <v>5.92</v>
      </c>
      <c r="F264" s="12">
        <f t="shared" si="26"/>
        <v>0.16339200000000001</v>
      </c>
      <c r="G264" s="12">
        <f>G263+1.2</f>
        <v>26.735000000000003</v>
      </c>
      <c r="H264" s="12">
        <f t="shared" si="27"/>
        <v>4.3682851200000004</v>
      </c>
      <c r="I264" s="12">
        <f t="shared" si="30"/>
        <v>2.96</v>
      </c>
      <c r="J264" s="12">
        <f t="shared" si="28"/>
        <v>0.48364032000000001</v>
      </c>
    </row>
    <row r="265" spans="2:10">
      <c r="B265" s="12" t="s">
        <v>134</v>
      </c>
      <c r="D265" s="14">
        <f t="shared" si="25"/>
        <v>13.8</v>
      </c>
      <c r="E265" s="12">
        <v>5.92</v>
      </c>
      <c r="F265" s="12">
        <f t="shared" si="26"/>
        <v>0.16339200000000001</v>
      </c>
      <c r="G265" s="12">
        <f t="shared" si="31"/>
        <v>27.335000000000004</v>
      </c>
      <c r="H265" s="12">
        <f t="shared" si="27"/>
        <v>4.4663203200000012</v>
      </c>
      <c r="I265" s="12">
        <f t="shared" si="30"/>
        <v>2.96</v>
      </c>
      <c r="J265" s="12">
        <f t="shared" si="28"/>
        <v>0.48364032000000001</v>
      </c>
    </row>
    <row r="266" spans="2:10">
      <c r="B266" s="12" t="s">
        <v>135</v>
      </c>
      <c r="D266" s="14">
        <f t="shared" si="25"/>
        <v>13.8</v>
      </c>
      <c r="E266" s="12">
        <v>5.92</v>
      </c>
      <c r="F266" s="12">
        <f t="shared" si="26"/>
        <v>0.16339200000000001</v>
      </c>
      <c r="G266" s="12">
        <f>G265+1.2</f>
        <v>28.535000000000004</v>
      </c>
      <c r="H266" s="12">
        <f t="shared" si="27"/>
        <v>4.6623907200000012</v>
      </c>
      <c r="I266" s="12">
        <f t="shared" si="30"/>
        <v>2.96</v>
      </c>
      <c r="J266" s="12">
        <f t="shared" si="28"/>
        <v>0.48364032000000001</v>
      </c>
    </row>
    <row r="267" spans="2:10">
      <c r="B267" s="12" t="s">
        <v>136</v>
      </c>
      <c r="D267" s="14">
        <f t="shared" si="25"/>
        <v>13.8</v>
      </c>
      <c r="E267" s="12">
        <v>5.92</v>
      </c>
      <c r="F267" s="12">
        <f t="shared" si="26"/>
        <v>0.16339200000000001</v>
      </c>
      <c r="G267" s="12">
        <f t="shared" si="31"/>
        <v>29.135000000000005</v>
      </c>
      <c r="H267" s="12">
        <f t="shared" si="27"/>
        <v>4.7604259200000012</v>
      </c>
      <c r="I267" s="12">
        <f t="shared" si="30"/>
        <v>2.96</v>
      </c>
      <c r="J267" s="12">
        <f t="shared" si="28"/>
        <v>0.48364032000000001</v>
      </c>
    </row>
    <row r="268" spans="2:10">
      <c r="B268" s="12" t="s">
        <v>137</v>
      </c>
      <c r="D268" s="14">
        <f t="shared" si="25"/>
        <v>13.8</v>
      </c>
      <c r="E268" s="12">
        <v>5.92</v>
      </c>
      <c r="F268" s="12">
        <f t="shared" si="26"/>
        <v>0.16339200000000001</v>
      </c>
      <c r="G268" s="12">
        <f>G267+1.2</f>
        <v>30.335000000000004</v>
      </c>
      <c r="H268" s="12">
        <f t="shared" si="27"/>
        <v>4.9564963200000012</v>
      </c>
      <c r="I268" s="12">
        <f t="shared" si="30"/>
        <v>2.96</v>
      </c>
      <c r="J268" s="12">
        <f t="shared" si="28"/>
        <v>0.48364032000000001</v>
      </c>
    </row>
    <row r="269" spans="2:10">
      <c r="B269" s="12" t="s">
        <v>138</v>
      </c>
      <c r="D269" s="14">
        <f t="shared" si="25"/>
        <v>13.8</v>
      </c>
      <c r="E269" s="12">
        <v>5.92</v>
      </c>
      <c r="F269" s="12">
        <f t="shared" si="26"/>
        <v>0.16339200000000001</v>
      </c>
      <c r="G269" s="12">
        <f t="shared" si="31"/>
        <v>30.935000000000006</v>
      </c>
      <c r="H269" s="12">
        <f t="shared" si="27"/>
        <v>5.0545315200000012</v>
      </c>
      <c r="I269" s="12">
        <f t="shared" si="30"/>
        <v>2.96</v>
      </c>
      <c r="J269" s="12">
        <f t="shared" si="28"/>
        <v>0.48364032000000001</v>
      </c>
    </row>
    <row r="270" spans="2:10">
      <c r="B270" s="12" t="s">
        <v>139</v>
      </c>
      <c r="D270" s="14">
        <f t="shared" si="25"/>
        <v>13.8</v>
      </c>
      <c r="E270" s="12">
        <v>5.92</v>
      </c>
      <c r="F270" s="12">
        <f t="shared" si="26"/>
        <v>0.16339200000000001</v>
      </c>
      <c r="G270" s="12">
        <f>G269+1.2</f>
        <v>32.135000000000005</v>
      </c>
      <c r="H270" s="12">
        <f t="shared" si="27"/>
        <v>5.2506019200000011</v>
      </c>
      <c r="I270" s="12">
        <f t="shared" si="30"/>
        <v>2.96</v>
      </c>
      <c r="J270" s="12">
        <f t="shared" si="28"/>
        <v>0.48364032000000001</v>
      </c>
    </row>
    <row r="271" spans="2:10">
      <c r="B271" s="12" t="s">
        <v>140</v>
      </c>
      <c r="D271" s="14">
        <f t="shared" si="25"/>
        <v>13.8</v>
      </c>
      <c r="E271" s="12">
        <v>5.92</v>
      </c>
      <c r="F271" s="12">
        <f t="shared" si="26"/>
        <v>0.16339200000000001</v>
      </c>
      <c r="G271" s="12">
        <f t="shared" si="31"/>
        <v>32.735000000000007</v>
      </c>
      <c r="H271" s="12">
        <f t="shared" si="27"/>
        <v>5.3486371200000011</v>
      </c>
      <c r="I271" s="12">
        <f t="shared" si="30"/>
        <v>2.96</v>
      </c>
      <c r="J271" s="12">
        <f t="shared" si="28"/>
        <v>0.48364032000000001</v>
      </c>
    </row>
    <row r="272" spans="2:10">
      <c r="B272" s="12" t="s">
        <v>141</v>
      </c>
      <c r="D272" s="14">
        <f t="shared" si="25"/>
        <v>13.8</v>
      </c>
      <c r="E272" s="12">
        <v>5.92</v>
      </c>
      <c r="F272" s="12">
        <f t="shared" si="26"/>
        <v>0.16339200000000001</v>
      </c>
      <c r="G272" s="12">
        <f>G271+1.2</f>
        <v>33.935000000000009</v>
      </c>
      <c r="H272" s="12">
        <f t="shared" si="27"/>
        <v>5.544707520000002</v>
      </c>
      <c r="I272" s="12">
        <f t="shared" si="30"/>
        <v>2.96</v>
      </c>
      <c r="J272" s="12">
        <f t="shared" si="28"/>
        <v>0.48364032000000001</v>
      </c>
    </row>
    <row r="273" spans="2:10">
      <c r="B273" s="12" t="s">
        <v>142</v>
      </c>
      <c r="D273" s="14">
        <f t="shared" si="25"/>
        <v>13.8</v>
      </c>
      <c r="E273" s="12">
        <v>5.92</v>
      </c>
      <c r="F273" s="12">
        <f t="shared" si="26"/>
        <v>0.16339200000000001</v>
      </c>
      <c r="G273" s="12">
        <f t="shared" si="31"/>
        <v>34.535000000000011</v>
      </c>
      <c r="H273" s="12">
        <f t="shared" si="27"/>
        <v>5.642742720000002</v>
      </c>
      <c r="I273" s="12">
        <f t="shared" si="30"/>
        <v>2.96</v>
      </c>
      <c r="J273" s="12">
        <f t="shared" si="28"/>
        <v>0.48364032000000001</v>
      </c>
    </row>
    <row r="274" spans="2:10">
      <c r="B274" s="12" t="s">
        <v>143</v>
      </c>
      <c r="D274" s="14">
        <f t="shared" si="25"/>
        <v>13.8</v>
      </c>
      <c r="E274" s="12">
        <v>5.92</v>
      </c>
      <c r="F274" s="12">
        <f t="shared" si="26"/>
        <v>0.16339200000000001</v>
      </c>
      <c r="G274" s="12">
        <f>G273+1.2</f>
        <v>35.735000000000014</v>
      </c>
      <c r="H274" s="12">
        <f t="shared" si="27"/>
        <v>5.8388131200000029</v>
      </c>
      <c r="I274" s="12">
        <f t="shared" si="30"/>
        <v>2.96</v>
      </c>
      <c r="J274" s="12">
        <f t="shared" si="28"/>
        <v>0.48364032000000001</v>
      </c>
    </row>
    <row r="275" spans="2:10">
      <c r="B275" s="12" t="s">
        <v>144</v>
      </c>
      <c r="D275" s="14">
        <f t="shared" si="25"/>
        <v>13.8</v>
      </c>
      <c r="E275" s="12">
        <v>5.92</v>
      </c>
      <c r="F275" s="12">
        <f t="shared" si="26"/>
        <v>0.16339200000000001</v>
      </c>
      <c r="G275" s="12">
        <f t="shared" si="31"/>
        <v>36.335000000000015</v>
      </c>
      <c r="H275" s="12">
        <f t="shared" si="27"/>
        <v>5.9368483200000028</v>
      </c>
      <c r="I275" s="12">
        <f t="shared" si="30"/>
        <v>2.96</v>
      </c>
      <c r="J275" s="12">
        <f t="shared" si="28"/>
        <v>0.48364032000000001</v>
      </c>
    </row>
    <row r="276" spans="2:10">
      <c r="B276" s="12" t="s">
        <v>145</v>
      </c>
      <c r="D276" s="14">
        <f t="shared" si="25"/>
        <v>13.8</v>
      </c>
      <c r="E276" s="12">
        <v>5.92</v>
      </c>
      <c r="F276" s="12">
        <f t="shared" si="26"/>
        <v>0.16339200000000001</v>
      </c>
      <c r="G276" s="12">
        <f>G275+1.2</f>
        <v>37.535000000000018</v>
      </c>
      <c r="H276" s="12">
        <f t="shared" si="27"/>
        <v>6.1329187200000037</v>
      </c>
      <c r="I276" s="12">
        <f t="shared" si="30"/>
        <v>2.96</v>
      </c>
      <c r="J276" s="12">
        <f t="shared" si="28"/>
        <v>0.48364032000000001</v>
      </c>
    </row>
    <row r="277" spans="2:10">
      <c r="B277" s="12" t="s">
        <v>146</v>
      </c>
      <c r="D277" s="14">
        <f t="shared" si="25"/>
        <v>13.8</v>
      </c>
      <c r="E277" s="12">
        <v>5.92</v>
      </c>
      <c r="F277" s="12">
        <f t="shared" si="26"/>
        <v>0.16339200000000001</v>
      </c>
      <c r="G277" s="12">
        <f t="shared" si="31"/>
        <v>38.135000000000019</v>
      </c>
      <c r="H277" s="12">
        <f t="shared" si="27"/>
        <v>6.2309539200000037</v>
      </c>
      <c r="I277" s="12">
        <f t="shared" si="30"/>
        <v>2.96</v>
      </c>
      <c r="J277" s="12">
        <f t="shared" si="28"/>
        <v>0.48364032000000001</v>
      </c>
    </row>
    <row r="278" spans="2:10">
      <c r="B278" s="12" t="s">
        <v>147</v>
      </c>
      <c r="D278" s="14">
        <f t="shared" si="25"/>
        <v>13.8</v>
      </c>
      <c r="E278" s="12">
        <v>5.92</v>
      </c>
      <c r="F278" s="12">
        <f t="shared" si="26"/>
        <v>0.16339200000000001</v>
      </c>
      <c r="G278" s="12">
        <f>G277+1.2</f>
        <v>39.335000000000022</v>
      </c>
      <c r="H278" s="12">
        <f t="shared" si="27"/>
        <v>6.4270243200000037</v>
      </c>
      <c r="I278" s="12">
        <f t="shared" si="30"/>
        <v>2.96</v>
      </c>
      <c r="J278" s="12">
        <f t="shared" si="28"/>
        <v>0.48364032000000001</v>
      </c>
    </row>
    <row r="279" spans="2:10">
      <c r="B279" s="12" t="s">
        <v>148</v>
      </c>
      <c r="D279" s="14">
        <f t="shared" si="25"/>
        <v>13.8</v>
      </c>
      <c r="E279" s="12">
        <v>5.92</v>
      </c>
      <c r="F279" s="12">
        <f t="shared" si="26"/>
        <v>0.16339200000000001</v>
      </c>
      <c r="G279" s="12">
        <f t="shared" si="31"/>
        <v>39.935000000000024</v>
      </c>
      <c r="H279" s="12">
        <f t="shared" si="27"/>
        <v>6.5250595200000046</v>
      </c>
      <c r="I279" s="12">
        <f t="shared" si="30"/>
        <v>2.96</v>
      </c>
      <c r="J279" s="12">
        <f t="shared" si="28"/>
        <v>0.48364032000000001</v>
      </c>
    </row>
    <row r="280" spans="2:10">
      <c r="B280" s="12" t="s">
        <v>149</v>
      </c>
      <c r="D280" s="14">
        <f t="shared" si="25"/>
        <v>13.8</v>
      </c>
      <c r="E280" s="12">
        <v>5.92</v>
      </c>
      <c r="F280" s="12">
        <f t="shared" si="26"/>
        <v>0.16339200000000001</v>
      </c>
      <c r="G280" s="12">
        <f>G279+1.2</f>
        <v>41.135000000000026</v>
      </c>
      <c r="H280" s="12">
        <f t="shared" si="27"/>
        <v>6.7211299200000045</v>
      </c>
      <c r="I280" s="12">
        <f t="shared" si="30"/>
        <v>2.96</v>
      </c>
      <c r="J280" s="12">
        <f t="shared" si="28"/>
        <v>0.48364032000000001</v>
      </c>
    </row>
    <row r="281" spans="2:10">
      <c r="B281" s="12" t="s">
        <v>150</v>
      </c>
      <c r="D281" s="14">
        <f t="shared" si="25"/>
        <v>13.8</v>
      </c>
      <c r="E281" s="12">
        <v>5.92</v>
      </c>
      <c r="F281" s="12">
        <f t="shared" si="26"/>
        <v>0.16339200000000001</v>
      </c>
      <c r="G281" s="12">
        <f t="shared" si="31"/>
        <v>41.735000000000028</v>
      </c>
      <c r="H281" s="12">
        <f t="shared" si="27"/>
        <v>6.8191651200000045</v>
      </c>
      <c r="I281" s="12">
        <f t="shared" si="30"/>
        <v>2.96</v>
      </c>
      <c r="J281" s="12">
        <f t="shared" si="28"/>
        <v>0.48364032000000001</v>
      </c>
    </row>
    <row r="282" spans="2:10">
      <c r="B282" s="12" t="s">
        <v>151</v>
      </c>
      <c r="D282" s="14">
        <f t="shared" si="25"/>
        <v>13.8</v>
      </c>
      <c r="E282" s="12">
        <v>5.92</v>
      </c>
      <c r="F282" s="12">
        <f t="shared" si="26"/>
        <v>0.16339200000000001</v>
      </c>
      <c r="G282" s="12">
        <f>G281+1.2</f>
        <v>42.935000000000031</v>
      </c>
      <c r="H282" s="12">
        <f t="shared" si="27"/>
        <v>7.0152355200000054</v>
      </c>
      <c r="I282" s="12">
        <f t="shared" si="30"/>
        <v>2.96</v>
      </c>
      <c r="J282" s="12">
        <f t="shared" si="28"/>
        <v>0.48364032000000001</v>
      </c>
    </row>
    <row r="283" spans="2:10">
      <c r="B283" s="12" t="s">
        <v>152</v>
      </c>
      <c r="D283" s="14">
        <f t="shared" si="25"/>
        <v>13.8</v>
      </c>
      <c r="E283" s="12">
        <v>5.92</v>
      </c>
      <c r="F283" s="12">
        <f t="shared" si="26"/>
        <v>0.16339200000000001</v>
      </c>
      <c r="G283" s="12">
        <f t="shared" si="31"/>
        <v>43.535000000000032</v>
      </c>
      <c r="H283" s="12">
        <f t="shared" si="27"/>
        <v>7.1132707200000054</v>
      </c>
      <c r="I283" s="12">
        <f t="shared" si="30"/>
        <v>2.96</v>
      </c>
      <c r="J283" s="12">
        <f t="shared" si="28"/>
        <v>0.48364032000000001</v>
      </c>
    </row>
    <row r="284" spans="2:10">
      <c r="B284" s="12" t="s">
        <v>153</v>
      </c>
      <c r="D284" s="14">
        <f t="shared" si="25"/>
        <v>13.8</v>
      </c>
      <c r="E284" s="12">
        <v>5.92</v>
      </c>
      <c r="F284" s="12">
        <f t="shared" si="26"/>
        <v>0.16339200000000001</v>
      </c>
      <c r="G284" s="12">
        <f>G283+1.2</f>
        <v>44.735000000000035</v>
      </c>
      <c r="H284" s="12">
        <f t="shared" si="27"/>
        <v>7.3093411200000062</v>
      </c>
      <c r="I284" s="12">
        <f t="shared" si="30"/>
        <v>2.96</v>
      </c>
      <c r="J284" s="12">
        <f t="shared" si="28"/>
        <v>0.48364032000000001</v>
      </c>
    </row>
    <row r="285" spans="2:10">
      <c r="B285" s="12" t="s">
        <v>154</v>
      </c>
      <c r="D285" s="14">
        <f t="shared" si="25"/>
        <v>13.8</v>
      </c>
      <c r="E285" s="12">
        <v>5.92</v>
      </c>
      <c r="F285" s="12">
        <f t="shared" si="26"/>
        <v>0.16339200000000001</v>
      </c>
      <c r="G285" s="12">
        <f t="shared" si="31"/>
        <v>45.335000000000036</v>
      </c>
      <c r="H285" s="12">
        <f t="shared" si="27"/>
        <v>7.4073763200000062</v>
      </c>
      <c r="I285" s="12">
        <f t="shared" si="30"/>
        <v>2.96</v>
      </c>
      <c r="J285" s="12">
        <f t="shared" si="28"/>
        <v>0.48364032000000001</v>
      </c>
    </row>
    <row r="286" spans="2:10">
      <c r="B286" s="12" t="s">
        <v>155</v>
      </c>
      <c r="D286" s="14">
        <f t="shared" si="25"/>
        <v>13.8</v>
      </c>
      <c r="E286" s="12">
        <v>5.92</v>
      </c>
      <c r="F286" s="12">
        <f t="shared" si="26"/>
        <v>0.16339200000000001</v>
      </c>
      <c r="G286" s="12">
        <f>G285+1.2</f>
        <v>46.535000000000039</v>
      </c>
      <c r="H286" s="12">
        <f t="shared" si="27"/>
        <v>7.6034467200000071</v>
      </c>
      <c r="I286" s="12">
        <f t="shared" si="30"/>
        <v>2.96</v>
      </c>
      <c r="J286" s="12">
        <f t="shared" si="28"/>
        <v>0.48364032000000001</v>
      </c>
    </row>
    <row r="287" spans="2:10">
      <c r="B287" s="12" t="s">
        <v>156</v>
      </c>
      <c r="D287" s="14">
        <f t="shared" si="25"/>
        <v>13.8</v>
      </c>
      <c r="E287" s="12">
        <v>5.92</v>
      </c>
      <c r="F287" s="12">
        <f t="shared" si="26"/>
        <v>0.16339200000000001</v>
      </c>
      <c r="G287" s="12">
        <f t="shared" si="31"/>
        <v>47.135000000000041</v>
      </c>
      <c r="H287" s="12">
        <f t="shared" si="27"/>
        <v>7.7014819200000071</v>
      </c>
      <c r="I287" s="12">
        <f t="shared" si="30"/>
        <v>2.96</v>
      </c>
      <c r="J287" s="12">
        <f t="shared" si="28"/>
        <v>0.48364032000000001</v>
      </c>
    </row>
    <row r="288" spans="2:10">
      <c r="B288" s="12" t="s">
        <v>157</v>
      </c>
      <c r="D288" s="14">
        <f t="shared" si="25"/>
        <v>13.8</v>
      </c>
      <c r="E288" s="12">
        <v>5.92</v>
      </c>
      <c r="F288" s="12">
        <f t="shared" si="26"/>
        <v>0.16339200000000001</v>
      </c>
      <c r="G288" s="12">
        <f>G287+1.2</f>
        <v>48.335000000000043</v>
      </c>
      <c r="H288" s="12">
        <f t="shared" si="27"/>
        <v>7.897552320000008</v>
      </c>
      <c r="I288" s="12">
        <f t="shared" si="30"/>
        <v>2.96</v>
      </c>
      <c r="J288" s="12">
        <f t="shared" si="28"/>
        <v>0.48364032000000001</v>
      </c>
    </row>
    <row r="289" spans="2:10">
      <c r="B289" s="12" t="s">
        <v>158</v>
      </c>
      <c r="D289" s="14">
        <f t="shared" si="25"/>
        <v>13.8</v>
      </c>
      <c r="E289" s="12">
        <v>5.92</v>
      </c>
      <c r="F289" s="12">
        <f t="shared" si="26"/>
        <v>0.16339200000000001</v>
      </c>
      <c r="G289" s="12">
        <f t="shared" si="31"/>
        <v>48.935000000000045</v>
      </c>
      <c r="H289" s="12">
        <f t="shared" si="27"/>
        <v>7.9955875200000079</v>
      </c>
      <c r="I289" s="12">
        <f t="shared" si="30"/>
        <v>2.96</v>
      </c>
      <c r="J289" s="12">
        <f t="shared" si="28"/>
        <v>0.48364032000000001</v>
      </c>
    </row>
    <row r="290" spans="2:10">
      <c r="B290" s="12" t="s">
        <v>159</v>
      </c>
      <c r="D290" s="14">
        <f t="shared" si="25"/>
        <v>13.8</v>
      </c>
      <c r="E290" s="12">
        <v>5.92</v>
      </c>
      <c r="F290" s="12">
        <f t="shared" si="26"/>
        <v>0.16339200000000001</v>
      </c>
      <c r="G290" s="12">
        <f>G289+1.2</f>
        <v>50.135000000000048</v>
      </c>
      <c r="H290" s="12">
        <f t="shared" si="27"/>
        <v>8.1916579200000079</v>
      </c>
      <c r="I290" s="12">
        <f t="shared" si="30"/>
        <v>2.96</v>
      </c>
      <c r="J290" s="12">
        <f t="shared" si="28"/>
        <v>0.48364032000000001</v>
      </c>
    </row>
    <row r="291" spans="2:10">
      <c r="B291" s="12" t="s">
        <v>160</v>
      </c>
      <c r="D291" s="14">
        <f t="shared" si="25"/>
        <v>13.8</v>
      </c>
      <c r="E291" s="12">
        <v>5.92</v>
      </c>
      <c r="F291" s="12">
        <f t="shared" si="26"/>
        <v>0.16339200000000001</v>
      </c>
      <c r="G291" s="12">
        <f t="shared" si="31"/>
        <v>50.735000000000049</v>
      </c>
      <c r="H291" s="12">
        <f t="shared" si="27"/>
        <v>8.2896931200000079</v>
      </c>
      <c r="I291" s="12">
        <f t="shared" si="30"/>
        <v>2.96</v>
      </c>
      <c r="J291" s="12">
        <f t="shared" si="28"/>
        <v>0.48364032000000001</v>
      </c>
    </row>
    <row r="292" spans="2:10">
      <c r="B292" s="12" t="s">
        <v>161</v>
      </c>
      <c r="D292" s="14">
        <f t="shared" si="25"/>
        <v>13.8</v>
      </c>
      <c r="E292" s="12">
        <v>5.92</v>
      </c>
      <c r="F292" s="12">
        <f t="shared" si="26"/>
        <v>0.16339200000000001</v>
      </c>
      <c r="G292" s="12">
        <f>G291+1.2</f>
        <v>51.935000000000052</v>
      </c>
      <c r="H292" s="12">
        <f t="shared" si="27"/>
        <v>8.4857635200000097</v>
      </c>
      <c r="I292" s="12">
        <f t="shared" si="30"/>
        <v>2.96</v>
      </c>
      <c r="J292" s="12">
        <f t="shared" si="28"/>
        <v>0.48364032000000001</v>
      </c>
    </row>
    <row r="293" spans="2:10">
      <c r="B293" s="12" t="s">
        <v>162</v>
      </c>
      <c r="D293" s="14">
        <f t="shared" si="25"/>
        <v>13.8</v>
      </c>
      <c r="E293" s="12">
        <v>5.92</v>
      </c>
      <c r="F293" s="12">
        <f t="shared" si="26"/>
        <v>0.16339200000000001</v>
      </c>
      <c r="G293" s="12">
        <f t="shared" si="31"/>
        <v>52.535000000000053</v>
      </c>
      <c r="H293" s="12">
        <f t="shared" si="27"/>
        <v>8.5837987200000097</v>
      </c>
      <c r="I293" s="12">
        <f t="shared" si="30"/>
        <v>2.96</v>
      </c>
      <c r="J293" s="12">
        <f t="shared" si="28"/>
        <v>0.48364032000000001</v>
      </c>
    </row>
    <row r="294" spans="2:10">
      <c r="B294" s="12" t="s">
        <v>163</v>
      </c>
      <c r="D294" s="14">
        <f t="shared" si="25"/>
        <v>13.8</v>
      </c>
      <c r="E294" s="12">
        <v>5.92</v>
      </c>
      <c r="F294" s="12">
        <f t="shared" si="26"/>
        <v>0.16339200000000001</v>
      </c>
      <c r="G294" s="12">
        <f>G293+1.2</f>
        <v>53.735000000000056</v>
      </c>
      <c r="H294" s="12">
        <f t="shared" si="27"/>
        <v>8.7798691200000096</v>
      </c>
      <c r="I294" s="12">
        <f t="shared" si="30"/>
        <v>2.96</v>
      </c>
      <c r="J294" s="12">
        <f t="shared" si="28"/>
        <v>0.48364032000000001</v>
      </c>
    </row>
    <row r="295" spans="2:10">
      <c r="B295" s="12" t="s">
        <v>164</v>
      </c>
      <c r="D295" s="14">
        <f t="shared" si="25"/>
        <v>13.8</v>
      </c>
      <c r="E295" s="12">
        <v>5.92</v>
      </c>
      <c r="F295" s="12">
        <f t="shared" si="26"/>
        <v>0.16339200000000001</v>
      </c>
      <c r="G295" s="12">
        <f t="shared" si="31"/>
        <v>54.335000000000058</v>
      </c>
      <c r="H295" s="12">
        <f t="shared" si="27"/>
        <v>8.8779043200000096</v>
      </c>
      <c r="I295" s="12">
        <f t="shared" si="30"/>
        <v>2.96</v>
      </c>
      <c r="J295" s="12">
        <f t="shared" si="28"/>
        <v>0.48364032000000001</v>
      </c>
    </row>
    <row r="296" spans="2:10">
      <c r="B296" s="12" t="s">
        <v>165</v>
      </c>
      <c r="D296" s="14">
        <f t="shared" si="25"/>
        <v>13.8</v>
      </c>
      <c r="E296" s="12">
        <v>5.92</v>
      </c>
      <c r="F296" s="12">
        <f t="shared" si="26"/>
        <v>0.16339200000000001</v>
      </c>
      <c r="G296" s="12">
        <f>G295+1.2</f>
        <v>55.535000000000061</v>
      </c>
      <c r="H296" s="12">
        <f t="shared" si="27"/>
        <v>9.0739747200000096</v>
      </c>
      <c r="I296" s="12">
        <f t="shared" si="30"/>
        <v>2.96</v>
      </c>
      <c r="J296" s="12">
        <f t="shared" si="28"/>
        <v>0.48364032000000001</v>
      </c>
    </row>
    <row r="297" spans="2:10">
      <c r="B297" s="12" t="s">
        <v>166</v>
      </c>
      <c r="D297" s="14">
        <f t="shared" si="25"/>
        <v>13.8</v>
      </c>
      <c r="E297" s="12">
        <v>5.92</v>
      </c>
      <c r="F297" s="12">
        <f t="shared" si="26"/>
        <v>0.16339200000000001</v>
      </c>
      <c r="G297" s="12">
        <f t="shared" si="31"/>
        <v>56.135000000000062</v>
      </c>
      <c r="H297" s="12">
        <f t="shared" si="27"/>
        <v>9.1720099200000114</v>
      </c>
      <c r="I297" s="12">
        <f t="shared" si="30"/>
        <v>2.96</v>
      </c>
      <c r="J297" s="12">
        <f t="shared" si="28"/>
        <v>0.48364032000000001</v>
      </c>
    </row>
    <row r="298" spans="2:10">
      <c r="B298" s="12" t="s">
        <v>167</v>
      </c>
      <c r="D298" s="14">
        <f t="shared" si="25"/>
        <v>13.8</v>
      </c>
      <c r="E298" s="12">
        <v>5.92</v>
      </c>
      <c r="F298" s="12">
        <f t="shared" si="26"/>
        <v>0.16339200000000001</v>
      </c>
      <c r="G298" s="12">
        <f>G297+1.2</f>
        <v>57.335000000000065</v>
      </c>
      <c r="H298" s="12">
        <f t="shared" si="27"/>
        <v>9.3680803200000113</v>
      </c>
      <c r="I298" s="12">
        <f t="shared" si="30"/>
        <v>2.96</v>
      </c>
      <c r="J298" s="12">
        <f t="shared" si="28"/>
        <v>0.48364032000000001</v>
      </c>
    </row>
    <row r="299" spans="2:10">
      <c r="B299" s="12" t="s">
        <v>168</v>
      </c>
      <c r="D299" s="14">
        <f t="shared" ref="D299:D308" si="32">13.8</f>
        <v>13.8</v>
      </c>
      <c r="E299" s="12">
        <v>5.92</v>
      </c>
      <c r="F299" s="12">
        <f t="shared" ref="F299:F308" si="33">D299*E299*2/1000</f>
        <v>0.16339200000000001</v>
      </c>
      <c r="G299" s="12">
        <f t="shared" si="31"/>
        <v>57.935000000000066</v>
      </c>
      <c r="H299" s="12">
        <f t="shared" ref="H299:H308" si="34">F299*G299</f>
        <v>9.4661155200000113</v>
      </c>
      <c r="I299" s="12">
        <f t="shared" si="30"/>
        <v>2.96</v>
      </c>
      <c r="J299" s="12">
        <f t="shared" ref="J299:J308" si="35">I299*F299</f>
        <v>0.48364032000000001</v>
      </c>
    </row>
    <row r="300" spans="2:10">
      <c r="B300" s="12" t="s">
        <v>169</v>
      </c>
      <c r="D300" s="14">
        <f t="shared" si="32"/>
        <v>13.8</v>
      </c>
      <c r="E300" s="12">
        <v>7.1</v>
      </c>
      <c r="F300" s="12">
        <f t="shared" si="33"/>
        <v>0.19596</v>
      </c>
      <c r="G300" s="12">
        <f>G299+1.2</f>
        <v>59.135000000000069</v>
      </c>
      <c r="H300" s="12">
        <f t="shared" si="34"/>
        <v>11.588094600000014</v>
      </c>
      <c r="I300" s="12">
        <f t="shared" si="30"/>
        <v>3.55</v>
      </c>
      <c r="J300" s="12">
        <f t="shared" si="35"/>
        <v>0.695658</v>
      </c>
    </row>
    <row r="301" spans="2:10">
      <c r="B301" s="12" t="s">
        <v>170</v>
      </c>
      <c r="D301" s="14">
        <f t="shared" si="32"/>
        <v>13.8</v>
      </c>
      <c r="E301" s="12">
        <v>7.1</v>
      </c>
      <c r="F301" s="12">
        <f t="shared" si="33"/>
        <v>0.19596</v>
      </c>
      <c r="G301" s="12">
        <f t="shared" si="31"/>
        <v>59.73500000000007</v>
      </c>
      <c r="H301" s="12">
        <f t="shared" si="34"/>
        <v>11.705670600000014</v>
      </c>
      <c r="I301" s="12">
        <f t="shared" si="30"/>
        <v>3.55</v>
      </c>
      <c r="J301" s="12">
        <f t="shared" si="35"/>
        <v>0.695658</v>
      </c>
    </row>
    <row r="302" spans="2:10">
      <c r="B302" s="12" t="s">
        <v>171</v>
      </c>
      <c r="D302" s="14">
        <f t="shared" si="32"/>
        <v>13.8</v>
      </c>
      <c r="E302" s="12">
        <v>7.1</v>
      </c>
      <c r="F302" s="12">
        <f t="shared" si="33"/>
        <v>0.19596</v>
      </c>
      <c r="G302" s="12">
        <f>G301+1.2</f>
        <v>60.935000000000073</v>
      </c>
      <c r="H302" s="12">
        <f t="shared" si="34"/>
        <v>11.940822600000015</v>
      </c>
      <c r="I302" s="12">
        <f t="shared" si="30"/>
        <v>3.55</v>
      </c>
      <c r="J302" s="12">
        <f t="shared" si="35"/>
        <v>0.695658</v>
      </c>
    </row>
    <row r="303" spans="2:10">
      <c r="B303" s="12" t="s">
        <v>172</v>
      </c>
      <c r="D303" s="14">
        <f t="shared" si="32"/>
        <v>13.8</v>
      </c>
      <c r="E303" s="12">
        <v>7.1</v>
      </c>
      <c r="F303" s="12">
        <f t="shared" si="33"/>
        <v>0.19596</v>
      </c>
      <c r="G303" s="12">
        <f t="shared" si="31"/>
        <v>61.535000000000075</v>
      </c>
      <c r="H303" s="12">
        <f t="shared" si="34"/>
        <v>12.058398600000015</v>
      </c>
      <c r="I303" s="12">
        <f t="shared" si="30"/>
        <v>3.55</v>
      </c>
      <c r="J303" s="12">
        <f t="shared" si="35"/>
        <v>0.695658</v>
      </c>
    </row>
    <row r="304" spans="2:10">
      <c r="B304" s="12" t="s">
        <v>173</v>
      </c>
      <c r="D304" s="14">
        <f t="shared" si="32"/>
        <v>13.8</v>
      </c>
      <c r="E304" s="12">
        <v>7.1</v>
      </c>
      <c r="F304" s="12">
        <f t="shared" si="33"/>
        <v>0.19596</v>
      </c>
      <c r="G304" s="12">
        <f>G303+1.1</f>
        <v>62.635000000000076</v>
      </c>
      <c r="H304" s="12">
        <f t="shared" si="34"/>
        <v>12.273954600000014</v>
      </c>
      <c r="I304" s="12">
        <f t="shared" si="30"/>
        <v>3.55</v>
      </c>
      <c r="J304" s="12">
        <f t="shared" si="35"/>
        <v>0.695658</v>
      </c>
    </row>
    <row r="305" spans="2:12">
      <c r="B305" s="12" t="s">
        <v>174</v>
      </c>
      <c r="D305" s="14">
        <f t="shared" si="32"/>
        <v>13.8</v>
      </c>
      <c r="E305" s="12">
        <v>7.1</v>
      </c>
      <c r="F305" s="12">
        <f t="shared" si="33"/>
        <v>0.19596</v>
      </c>
      <c r="G305" s="12">
        <f>G304+0.55</f>
        <v>63.185000000000073</v>
      </c>
      <c r="H305" s="12">
        <f t="shared" si="34"/>
        <v>12.381732600000014</v>
      </c>
      <c r="I305" s="12">
        <f t="shared" si="30"/>
        <v>3.55</v>
      </c>
      <c r="J305" s="12">
        <f t="shared" si="35"/>
        <v>0.695658</v>
      </c>
    </row>
    <row r="306" spans="2:12">
      <c r="B306" s="12" t="s">
        <v>175</v>
      </c>
      <c r="D306" s="14">
        <f t="shared" si="32"/>
        <v>13.8</v>
      </c>
      <c r="E306" s="12">
        <v>7.1</v>
      </c>
      <c r="F306" s="12">
        <f t="shared" si="33"/>
        <v>0.19596</v>
      </c>
      <c r="G306" s="12">
        <f t="shared" ref="G306:G308" si="36">G305+1.1</f>
        <v>64.285000000000068</v>
      </c>
      <c r="H306" s="12">
        <f t="shared" si="34"/>
        <v>12.597288600000013</v>
      </c>
      <c r="I306" s="12">
        <f t="shared" si="30"/>
        <v>3.55</v>
      </c>
      <c r="J306" s="12">
        <f t="shared" si="35"/>
        <v>0.695658</v>
      </c>
    </row>
    <row r="307" spans="2:12">
      <c r="B307" s="12" t="s">
        <v>176</v>
      </c>
      <c r="D307" s="14">
        <f t="shared" si="32"/>
        <v>13.8</v>
      </c>
      <c r="E307" s="12">
        <v>7.1</v>
      </c>
      <c r="F307" s="12">
        <f t="shared" si="33"/>
        <v>0.19596</v>
      </c>
      <c r="G307" s="12">
        <f>G306+0.55</f>
        <v>64.835000000000065</v>
      </c>
      <c r="H307" s="12">
        <f t="shared" si="34"/>
        <v>12.705066600000013</v>
      </c>
      <c r="I307" s="12">
        <f t="shared" si="30"/>
        <v>3.55</v>
      </c>
      <c r="J307" s="12">
        <f t="shared" si="35"/>
        <v>0.695658</v>
      </c>
    </row>
    <row r="308" spans="2:12">
      <c r="B308" s="12" t="s">
        <v>177</v>
      </c>
      <c r="D308" s="14">
        <f t="shared" si="32"/>
        <v>13.8</v>
      </c>
      <c r="E308" s="12">
        <v>1.1000000000000001</v>
      </c>
      <c r="F308" s="12">
        <f t="shared" si="33"/>
        <v>3.0360000000000002E-2</v>
      </c>
      <c r="G308" s="12">
        <f t="shared" si="36"/>
        <v>65.935000000000059</v>
      </c>
      <c r="H308" s="12">
        <f t="shared" si="34"/>
        <v>2.0017866000000017</v>
      </c>
      <c r="I308" s="12">
        <f>E308/2+6.07</f>
        <v>6.62</v>
      </c>
      <c r="J308" s="12">
        <f t="shared" si="35"/>
        <v>0.2009832</v>
      </c>
    </row>
    <row r="310" spans="2:12">
      <c r="E310" s="10"/>
      <c r="F310" s="10">
        <f>SUM(F234:F308)</f>
        <v>12.981383999999995</v>
      </c>
      <c r="H310" s="10">
        <f>SUM(H234:H308)</f>
        <v>418.39624944000036</v>
      </c>
      <c r="I310" s="10"/>
      <c r="J310" s="10">
        <f>SUM(J234:J308)</f>
        <v>45.015097679999982</v>
      </c>
    </row>
    <row r="312" spans="2:12">
      <c r="F312" s="17" t="s">
        <v>4</v>
      </c>
      <c r="G312" s="10">
        <f>H310/F310</f>
        <v>32.230480928689921</v>
      </c>
      <c r="I312" s="10">
        <f>J310/F310</f>
        <v>3.467665518561041</v>
      </c>
      <c r="J312" s="10" t="s">
        <v>5</v>
      </c>
    </row>
    <row r="314" spans="2:12">
      <c r="K314" s="12" t="s">
        <v>178</v>
      </c>
      <c r="L314" s="12" t="s">
        <v>178</v>
      </c>
    </row>
    <row r="315" spans="2:12">
      <c r="B315" s="20"/>
      <c r="C315" s="20"/>
    </row>
    <row r="317" spans="2:12">
      <c r="C317" s="23"/>
    </row>
    <row r="319" spans="2:12">
      <c r="H319" s="12">
        <f>F63+F122+F177+F214+F310+O10</f>
        <v>87.775463519999988</v>
      </c>
    </row>
  </sheetData>
  <mergeCells count="5">
    <mergeCell ref="K4:K10"/>
    <mergeCell ref="B140:C140"/>
    <mergeCell ref="B232:C232"/>
    <mergeCell ref="B315:C315"/>
    <mergeCell ref="B195:C19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5"/>
  <sheetViews>
    <sheetView zoomScale="93" zoomScaleNormal="93" workbookViewId="0"/>
  </sheetViews>
  <sheetFormatPr defaultRowHeight="14.5"/>
  <cols>
    <col min="1" max="1" width="10.54296875" style="39" customWidth="1"/>
    <col min="2" max="2" width="26.54296875" style="12" customWidth="1"/>
    <col min="3" max="3" width="9.54296875" style="12" customWidth="1"/>
    <col min="4" max="4" width="19.26953125" style="12" customWidth="1"/>
    <col min="5" max="5" width="10.453125" style="39" customWidth="1"/>
    <col min="6" max="6" width="8.7265625" style="12"/>
    <col min="7" max="7" width="9.90625" style="12" customWidth="1"/>
    <col min="8" max="8" width="15.1796875" style="12" customWidth="1"/>
    <col min="9" max="9" width="14.90625" style="12" customWidth="1"/>
    <col min="10" max="10" width="14.1796875" style="12" customWidth="1"/>
    <col min="11" max="11" width="15.6328125" style="12" customWidth="1"/>
    <col min="12" max="12" width="8.81640625" style="12" bestFit="1" customWidth="1"/>
    <col min="13" max="13" width="10.54296875" style="12" customWidth="1"/>
    <col min="14" max="14" width="13.453125" style="12" customWidth="1"/>
    <col min="15" max="15" width="9.26953125" style="12" customWidth="1"/>
    <col min="16" max="16" width="13.36328125" style="12" customWidth="1"/>
    <col min="17" max="17" width="8.7265625" style="12"/>
    <col min="18" max="21" width="8.81640625" style="12" bestFit="1" customWidth="1"/>
    <col min="22" max="23" width="8.7265625" style="12"/>
    <col min="24" max="25" width="8.81640625" style="12" bestFit="1" customWidth="1"/>
    <col min="26" max="26" width="8.7265625" style="12"/>
    <col min="27" max="27" width="15.453125" style="12" customWidth="1"/>
    <col min="28" max="28" width="11.08984375" style="39" customWidth="1"/>
    <col min="29" max="29" width="27" style="12" customWidth="1"/>
    <col min="30" max="30" width="14.36328125" style="12" customWidth="1"/>
    <col min="31" max="31" width="12.1796875" style="12" customWidth="1"/>
    <col min="32" max="32" width="17.08984375" style="12" customWidth="1"/>
    <col min="33" max="34" width="8.81640625" style="12" bestFit="1" customWidth="1"/>
    <col min="35" max="35" width="15.1796875" style="12" customWidth="1"/>
    <col min="36" max="36" width="8.81640625" style="12" bestFit="1" customWidth="1"/>
    <col min="37" max="37" width="16.81640625" style="12" customWidth="1"/>
    <col min="38" max="38" width="8.7265625" style="12"/>
    <col min="39" max="39" width="15.1796875" style="12" customWidth="1"/>
    <col min="40" max="42" width="8.81640625" style="12" bestFit="1" customWidth="1"/>
    <col min="43" max="43" width="8.7265625" style="12"/>
    <col min="44" max="45" width="8.81640625" style="12" bestFit="1" customWidth="1"/>
    <col min="46" max="16384" width="8.7265625" style="12"/>
  </cols>
  <sheetData>
    <row r="1" spans="1:41" s="41" customFormat="1" ht="88.5" customHeight="1">
      <c r="A1" s="40" t="s">
        <v>258</v>
      </c>
      <c r="B1" s="41" t="s">
        <v>257</v>
      </c>
      <c r="D1" s="41" t="s">
        <v>259</v>
      </c>
      <c r="E1" s="40" t="s">
        <v>189</v>
      </c>
      <c r="G1" s="41" t="s">
        <v>190</v>
      </c>
      <c r="H1" s="42" t="s">
        <v>191</v>
      </c>
      <c r="I1" s="41" t="s">
        <v>192</v>
      </c>
      <c r="J1" s="41" t="s">
        <v>193</v>
      </c>
      <c r="K1" s="41" t="s">
        <v>260</v>
      </c>
      <c r="L1" s="42" t="s">
        <v>261</v>
      </c>
      <c r="M1" s="41" t="s">
        <v>194</v>
      </c>
      <c r="N1" s="42" t="s">
        <v>281</v>
      </c>
      <c r="O1" s="41" t="s">
        <v>196</v>
      </c>
      <c r="P1" s="42" t="s">
        <v>280</v>
      </c>
      <c r="AA1" s="41" t="s">
        <v>257</v>
      </c>
      <c r="AB1" s="40" t="s">
        <v>258</v>
      </c>
      <c r="AC1" s="41" t="s">
        <v>259</v>
      </c>
      <c r="AD1" s="41" t="s">
        <v>189</v>
      </c>
      <c r="AE1" s="41" t="s">
        <v>192</v>
      </c>
      <c r="AF1" s="41" t="s">
        <v>260</v>
      </c>
      <c r="AG1" s="42" t="s">
        <v>261</v>
      </c>
      <c r="AH1" s="41" t="s">
        <v>194</v>
      </c>
      <c r="AI1" s="42" t="s">
        <v>281</v>
      </c>
      <c r="AJ1" s="41" t="s">
        <v>196</v>
      </c>
      <c r="AK1" s="42" t="s">
        <v>280</v>
      </c>
    </row>
    <row r="2" spans="1:41" s="27" customFormat="1" ht="15.5">
      <c r="A2" s="25">
        <v>1</v>
      </c>
      <c r="B2" s="27" t="s">
        <v>198</v>
      </c>
      <c r="E2" s="25"/>
      <c r="G2" s="27">
        <f>6*2*13</f>
        <v>156</v>
      </c>
      <c r="H2" s="27">
        <v>1.2E-2</v>
      </c>
      <c r="I2" s="27">
        <f t="shared" ref="I2:I11" si="0">H2*G2</f>
        <v>1.8720000000000001</v>
      </c>
      <c r="J2" s="27">
        <v>7.87</v>
      </c>
      <c r="K2" s="27">
        <f>AG19</f>
        <v>14.096303279999997</v>
      </c>
      <c r="L2" s="27">
        <f>K2</f>
        <v>14.096303279999997</v>
      </c>
      <c r="M2" s="27">
        <f>AD21</f>
        <v>36.820999718615603</v>
      </c>
      <c r="N2" s="27">
        <f>L2*M2</f>
        <v>519.0399791064001</v>
      </c>
      <c r="O2" s="27">
        <f>AD22</f>
        <v>0.63617598585038404</v>
      </c>
      <c r="P2" s="27">
        <f>L2*O2</f>
        <v>8.9677296359999996</v>
      </c>
      <c r="X2" s="48" t="s">
        <v>276</v>
      </c>
      <c r="AB2" s="25"/>
    </row>
    <row r="3" spans="1:41" s="27" customFormat="1">
      <c r="A3" s="37">
        <v>2</v>
      </c>
      <c r="B3" s="27" t="s">
        <v>199</v>
      </c>
      <c r="E3" s="25"/>
      <c r="G3" s="27">
        <f>9*6*1.55*2</f>
        <v>167.4</v>
      </c>
      <c r="H3" s="27">
        <v>0.01</v>
      </c>
      <c r="I3" s="27">
        <f t="shared" si="0"/>
        <v>1.6740000000000002</v>
      </c>
      <c r="J3" s="27">
        <v>7.87</v>
      </c>
      <c r="K3" s="27">
        <f t="shared" ref="K3:K11" si="1">J3*I3</f>
        <v>13.174380000000001</v>
      </c>
      <c r="L3" s="28">
        <f>AG46+AR54</f>
        <v>49.737499671999998</v>
      </c>
      <c r="M3" s="28">
        <f>AG50</f>
        <v>31.910500000000017</v>
      </c>
      <c r="N3" s="28">
        <f>M3*L3</f>
        <v>1587.1484832833569</v>
      </c>
      <c r="O3" s="28">
        <f>AR42</f>
        <v>0.47633336274314853</v>
      </c>
      <c r="P3" s="28">
        <f>O3*L3</f>
        <v>23.691630473200007</v>
      </c>
      <c r="AB3" s="25"/>
    </row>
    <row r="4" spans="1:41" s="27" customFormat="1">
      <c r="A4" s="37"/>
      <c r="B4" s="27" t="s">
        <v>200</v>
      </c>
      <c r="E4" s="25"/>
      <c r="G4" s="27">
        <f>9*6*1.55*2</f>
        <v>167.4</v>
      </c>
      <c r="H4" s="27">
        <v>8.0000000000000002E-3</v>
      </c>
      <c r="I4" s="27">
        <f t="shared" si="0"/>
        <v>1.3392000000000002</v>
      </c>
      <c r="J4" s="27">
        <v>7.87</v>
      </c>
      <c r="K4" s="27">
        <f t="shared" si="1"/>
        <v>10.539504000000001</v>
      </c>
      <c r="L4" s="28"/>
      <c r="M4" s="28"/>
      <c r="N4" s="28"/>
      <c r="O4" s="28"/>
      <c r="P4" s="28"/>
      <c r="AB4" s="25"/>
    </row>
    <row r="5" spans="1:41" s="27" customFormat="1">
      <c r="A5" s="37">
        <v>3</v>
      </c>
      <c r="B5" s="27" t="s">
        <v>201</v>
      </c>
      <c r="E5" s="25"/>
      <c r="G5" s="27">
        <f>11*1.8*6*2</f>
        <v>237.60000000000002</v>
      </c>
      <c r="H5" s="27">
        <v>8.9999999999999993E-3</v>
      </c>
      <c r="I5" s="27">
        <f t="shared" si="0"/>
        <v>2.1383999999999999</v>
      </c>
      <c r="J5" s="27">
        <v>7.87</v>
      </c>
      <c r="K5" s="27">
        <f t="shared" si="1"/>
        <v>16.829207999999998</v>
      </c>
      <c r="L5" s="28">
        <f>AG68</f>
        <v>16.829208000000001</v>
      </c>
      <c r="M5" s="28">
        <f>AG71</f>
        <v>32.999999999999993</v>
      </c>
      <c r="N5" s="28">
        <f t="shared" ref="N5" si="2">M5*L5</f>
        <v>555.36386399999992</v>
      </c>
      <c r="O5" s="28">
        <f>AG72</f>
        <v>0.63272727272727269</v>
      </c>
      <c r="P5" s="28">
        <f t="shared" ref="P5" si="3">O5*L5</f>
        <v>10.64829888</v>
      </c>
      <c r="AA5" s="13" t="s">
        <v>282</v>
      </c>
      <c r="AB5" s="25">
        <v>1</v>
      </c>
      <c r="AC5" s="27" t="s">
        <v>277</v>
      </c>
      <c r="AD5" s="44"/>
      <c r="AE5" s="27">
        <f>6*1*0.012</f>
        <v>7.2000000000000008E-2</v>
      </c>
      <c r="AF5" s="27">
        <f>AE5*7.87</f>
        <v>0.56664000000000003</v>
      </c>
      <c r="AG5" s="27">
        <f>AF5*2</f>
        <v>1.1332800000000001</v>
      </c>
      <c r="AH5" s="27">
        <v>3</v>
      </c>
      <c r="AI5" s="27">
        <f>AG5*AH5</f>
        <v>3.3998400000000002</v>
      </c>
      <c r="AJ5" s="27">
        <v>2.0739999999999998</v>
      </c>
      <c r="AK5" s="27">
        <f>AG5*AJ5</f>
        <v>2.3504227200000001</v>
      </c>
    </row>
    <row r="6" spans="1:41" s="27" customFormat="1">
      <c r="A6" s="37"/>
      <c r="E6" s="25"/>
      <c r="L6" s="28"/>
      <c r="M6" s="28"/>
      <c r="N6" s="28"/>
      <c r="O6" s="28"/>
      <c r="P6" s="28"/>
      <c r="AB6" s="25">
        <v>2</v>
      </c>
      <c r="AC6" s="27" t="s">
        <v>277</v>
      </c>
      <c r="AE6" s="27">
        <f t="shared" ref="AE6:AE16" si="4">6*1*0.012</f>
        <v>7.2000000000000008E-2</v>
      </c>
      <c r="AF6" s="27">
        <f t="shared" ref="AF6:AF17" si="5">AE6*7.87</f>
        <v>0.56664000000000003</v>
      </c>
      <c r="AG6" s="27">
        <f t="shared" ref="AG6:AG17" si="6">AF6*2</f>
        <v>1.1332800000000001</v>
      </c>
      <c r="AH6" s="27">
        <f>AH5+6</f>
        <v>9</v>
      </c>
      <c r="AI6" s="27">
        <f>AG6*AH6</f>
        <v>10.19952</v>
      </c>
      <c r="AJ6" s="27">
        <v>0.45600000000000002</v>
      </c>
      <c r="AK6" s="27">
        <f t="shared" ref="AK6:AK17" si="7">AG6*AJ6</f>
        <v>0.51677568000000007</v>
      </c>
    </row>
    <row r="7" spans="1:41" s="27" customFormat="1">
      <c r="A7" s="37">
        <v>4</v>
      </c>
      <c r="B7" s="27" t="s">
        <v>202</v>
      </c>
      <c r="E7" s="25"/>
      <c r="G7" s="27">
        <f>6*2*12*2</f>
        <v>288</v>
      </c>
      <c r="H7" s="27">
        <v>8.9999999999999993E-3</v>
      </c>
      <c r="I7" s="27">
        <f t="shared" si="0"/>
        <v>2.5919999999999996</v>
      </c>
      <c r="J7" s="27">
        <v>7.87</v>
      </c>
      <c r="K7" s="27">
        <f t="shared" si="1"/>
        <v>20.399039999999996</v>
      </c>
      <c r="L7" s="28">
        <f>AG102</f>
        <v>41.520545999999982</v>
      </c>
      <c r="M7" s="28">
        <f>AH105</f>
        <v>36.108915046059373</v>
      </c>
      <c r="N7" s="28">
        <f t="shared" ref="N7" si="8">M7*L7</f>
        <v>1499.2618681799997</v>
      </c>
      <c r="O7" s="28">
        <f>AH106</f>
        <v>3.0174002047082915</v>
      </c>
      <c r="P7" s="28">
        <f t="shared" ref="P7" si="9">O7*L7</f>
        <v>125.28410399999999</v>
      </c>
      <c r="AB7" s="25">
        <v>3</v>
      </c>
      <c r="AC7" s="27" t="s">
        <v>278</v>
      </c>
      <c r="AE7" s="27">
        <f t="shared" si="4"/>
        <v>7.2000000000000008E-2</v>
      </c>
      <c r="AF7" s="27">
        <f t="shared" si="5"/>
        <v>0.56664000000000003</v>
      </c>
      <c r="AG7" s="27">
        <f t="shared" si="6"/>
        <v>1.1332800000000001</v>
      </c>
      <c r="AH7" s="27">
        <f t="shared" ref="AH7:AH15" si="10">AH6+6</f>
        <v>15</v>
      </c>
      <c r="AI7" s="27">
        <f t="shared" ref="AI7:AI17" si="11">AG7*AH7</f>
        <v>16.999200000000002</v>
      </c>
      <c r="AJ7" s="27">
        <f>0.012/2</f>
        <v>6.0000000000000001E-3</v>
      </c>
      <c r="AK7" s="27">
        <f t="shared" si="7"/>
        <v>6.7996800000000007E-3</v>
      </c>
      <c r="AO7" s="27">
        <f>AG19+AG46+AG68+AG102</f>
        <v>98.794817279999961</v>
      </c>
    </row>
    <row r="8" spans="1:41" s="27" customFormat="1">
      <c r="A8" s="37"/>
      <c r="E8" s="25"/>
      <c r="G8" s="27">
        <f>11*6*2*2</f>
        <v>264</v>
      </c>
      <c r="H8" s="27">
        <v>8.9999999999999993E-3</v>
      </c>
      <c r="I8" s="27">
        <f t="shared" si="0"/>
        <v>2.3759999999999999</v>
      </c>
      <c r="J8" s="27">
        <v>7.87</v>
      </c>
      <c r="K8" s="27">
        <f t="shared" si="1"/>
        <v>18.699120000000001</v>
      </c>
      <c r="L8" s="28"/>
      <c r="M8" s="28"/>
      <c r="N8" s="28"/>
      <c r="O8" s="28"/>
      <c r="P8" s="28"/>
      <c r="R8" s="27">
        <f>SUM(K2:K11)+SUM(L26:L36)</f>
        <v>200.12525693536134</v>
      </c>
      <c r="AB8" s="25">
        <v>4</v>
      </c>
      <c r="AC8" s="27" t="s">
        <v>278</v>
      </c>
      <c r="AE8" s="27">
        <f t="shared" si="4"/>
        <v>7.2000000000000008E-2</v>
      </c>
      <c r="AF8" s="27">
        <f t="shared" si="5"/>
        <v>0.56664000000000003</v>
      </c>
      <c r="AG8" s="27">
        <f t="shared" si="6"/>
        <v>1.1332800000000001</v>
      </c>
      <c r="AH8" s="27">
        <f t="shared" si="10"/>
        <v>21</v>
      </c>
      <c r="AI8" s="27">
        <f t="shared" si="11"/>
        <v>23.79888</v>
      </c>
      <c r="AJ8" s="27">
        <f t="shared" ref="AJ8:AJ15" si="12">0.012/2</f>
        <v>6.0000000000000001E-3</v>
      </c>
      <c r="AK8" s="27">
        <f t="shared" si="7"/>
        <v>6.7996800000000007E-3</v>
      </c>
    </row>
    <row r="9" spans="1:41" s="27" customFormat="1">
      <c r="A9" s="25">
        <v>6</v>
      </c>
      <c r="B9" s="27" t="s">
        <v>203</v>
      </c>
      <c r="E9" s="25"/>
      <c r="G9" s="27">
        <v>518.72</v>
      </c>
      <c r="H9" s="27">
        <v>8.0000000000000002E-3</v>
      </c>
      <c r="I9" s="27">
        <f t="shared" si="0"/>
        <v>4.1497600000000006</v>
      </c>
      <c r="J9" s="27">
        <v>7.87</v>
      </c>
      <c r="K9" s="27">
        <f t="shared" si="1"/>
        <v>32.658611200000003</v>
      </c>
      <c r="L9" s="27">
        <f>AG169</f>
        <v>26.908477094687999</v>
      </c>
      <c r="M9" s="27">
        <f>AH172</f>
        <v>28.061980790442504</v>
      </c>
      <c r="N9" s="27">
        <f t="shared" ref="N9:N24" si="13">L9*M9</f>
        <v>755.10516733119675</v>
      </c>
      <c r="O9" s="27">
        <v>5</v>
      </c>
      <c r="P9" s="27">
        <f>L9*O9</f>
        <v>134.54238547343999</v>
      </c>
      <c r="AB9" s="25">
        <v>5</v>
      </c>
      <c r="AC9" s="27" t="s">
        <v>278</v>
      </c>
      <c r="AE9" s="27">
        <f t="shared" si="4"/>
        <v>7.2000000000000008E-2</v>
      </c>
      <c r="AF9" s="27">
        <f t="shared" si="5"/>
        <v>0.56664000000000003</v>
      </c>
      <c r="AG9" s="27">
        <f t="shared" si="6"/>
        <v>1.1332800000000001</v>
      </c>
      <c r="AH9" s="27">
        <f t="shared" si="10"/>
        <v>27</v>
      </c>
      <c r="AI9" s="27">
        <f t="shared" si="11"/>
        <v>30.598560000000003</v>
      </c>
      <c r="AJ9" s="27">
        <f t="shared" si="12"/>
        <v>6.0000000000000001E-3</v>
      </c>
      <c r="AK9" s="27">
        <f t="shared" si="7"/>
        <v>6.7996800000000007E-3</v>
      </c>
    </row>
    <row r="10" spans="1:41" s="27" customFormat="1">
      <c r="A10" s="25"/>
      <c r="E10" s="25"/>
      <c r="AB10" s="25">
        <v>6</v>
      </c>
      <c r="AC10" s="27" t="s">
        <v>278</v>
      </c>
      <c r="AE10" s="27">
        <f t="shared" si="4"/>
        <v>7.2000000000000008E-2</v>
      </c>
      <c r="AF10" s="27">
        <f t="shared" si="5"/>
        <v>0.56664000000000003</v>
      </c>
      <c r="AG10" s="27">
        <f t="shared" si="6"/>
        <v>1.1332800000000001</v>
      </c>
      <c r="AH10" s="27">
        <f t="shared" si="10"/>
        <v>33</v>
      </c>
      <c r="AI10" s="27">
        <f t="shared" si="11"/>
        <v>37.398240000000001</v>
      </c>
      <c r="AJ10" s="27">
        <f t="shared" si="12"/>
        <v>6.0000000000000001E-3</v>
      </c>
      <c r="AK10" s="27">
        <f t="shared" si="7"/>
        <v>6.7996800000000007E-3</v>
      </c>
    </row>
    <row r="11" spans="1:41" s="27" customFormat="1" ht="14.25" customHeight="1">
      <c r="A11" s="25">
        <v>7</v>
      </c>
      <c r="B11" s="27" t="s">
        <v>250</v>
      </c>
      <c r="E11" s="25"/>
      <c r="G11" s="27">
        <f>6*2*3*2</f>
        <v>72</v>
      </c>
      <c r="H11" s="27">
        <v>8.0000000000000002E-3</v>
      </c>
      <c r="I11" s="27">
        <f t="shared" si="0"/>
        <v>0.57600000000000007</v>
      </c>
      <c r="J11" s="27">
        <v>7.87</v>
      </c>
      <c r="K11" s="27">
        <f t="shared" si="1"/>
        <v>4.5331200000000003</v>
      </c>
      <c r="L11" s="27">
        <f t="shared" ref="L11:L20" si="14">K11</f>
        <v>4.5331200000000003</v>
      </c>
      <c r="M11" s="27">
        <v>58.7</v>
      </c>
      <c r="N11" s="27">
        <f t="shared" si="13"/>
        <v>266.09414400000003</v>
      </c>
      <c r="O11" s="27">
        <v>6.1</v>
      </c>
      <c r="P11" s="27">
        <f t="shared" ref="P11:P24" si="15">L11*O11</f>
        <v>27.652031999999998</v>
      </c>
      <c r="AB11" s="25">
        <v>7</v>
      </c>
      <c r="AC11" s="27" t="s">
        <v>278</v>
      </c>
      <c r="AE11" s="27">
        <f t="shared" si="4"/>
        <v>7.2000000000000008E-2</v>
      </c>
      <c r="AF11" s="27">
        <f t="shared" si="5"/>
        <v>0.56664000000000003</v>
      </c>
      <c r="AG11" s="27">
        <f t="shared" si="6"/>
        <v>1.1332800000000001</v>
      </c>
      <c r="AH11" s="27">
        <f t="shared" si="10"/>
        <v>39</v>
      </c>
      <c r="AI11" s="27">
        <f t="shared" si="11"/>
        <v>44.197920000000003</v>
      </c>
      <c r="AJ11" s="27">
        <f t="shared" si="12"/>
        <v>6.0000000000000001E-3</v>
      </c>
      <c r="AK11" s="27">
        <f t="shared" si="7"/>
        <v>6.7996800000000007E-3</v>
      </c>
    </row>
    <row r="12" spans="1:41" s="27" customFormat="1" ht="14.25" customHeight="1">
      <c r="A12" s="37">
        <v>9</v>
      </c>
      <c r="B12" s="27" t="s">
        <v>204</v>
      </c>
      <c r="D12" s="29" t="s">
        <v>205</v>
      </c>
      <c r="E12" s="25"/>
      <c r="G12" s="27">
        <v>9.3000000000000007</v>
      </c>
      <c r="H12" s="27">
        <f>66.14*2</f>
        <v>132.28</v>
      </c>
      <c r="K12" s="27">
        <f>G12*H12/1000</f>
        <v>1.2302040000000001</v>
      </c>
      <c r="L12" s="27">
        <f t="shared" si="14"/>
        <v>1.2302040000000001</v>
      </c>
      <c r="M12" s="27">
        <v>33.08</v>
      </c>
      <c r="N12" s="27">
        <f t="shared" si="13"/>
        <v>40.695148320000001</v>
      </c>
      <c r="O12" s="27">
        <v>4</v>
      </c>
      <c r="P12" s="27">
        <f t="shared" si="15"/>
        <v>4.9208160000000003</v>
      </c>
      <c r="AB12" s="25">
        <v>8</v>
      </c>
      <c r="AC12" s="27" t="s">
        <v>278</v>
      </c>
      <c r="AE12" s="27">
        <f t="shared" si="4"/>
        <v>7.2000000000000008E-2</v>
      </c>
      <c r="AF12" s="27">
        <f t="shared" si="5"/>
        <v>0.56664000000000003</v>
      </c>
      <c r="AG12" s="27">
        <f t="shared" si="6"/>
        <v>1.1332800000000001</v>
      </c>
      <c r="AH12" s="27">
        <f t="shared" si="10"/>
        <v>45</v>
      </c>
      <c r="AI12" s="27">
        <f t="shared" si="11"/>
        <v>50.997600000000006</v>
      </c>
      <c r="AJ12" s="27">
        <f t="shared" si="12"/>
        <v>6.0000000000000001E-3</v>
      </c>
      <c r="AK12" s="27">
        <f t="shared" si="7"/>
        <v>6.7996800000000007E-3</v>
      </c>
    </row>
    <row r="13" spans="1:41" s="27" customFormat="1" ht="14.25" customHeight="1">
      <c r="A13" s="37"/>
      <c r="B13" s="27" t="s">
        <v>204</v>
      </c>
      <c r="D13" s="29" t="s">
        <v>205</v>
      </c>
      <c r="E13" s="25"/>
      <c r="G13" s="27">
        <v>9.3000000000000007</v>
      </c>
      <c r="H13" s="27">
        <f>66.14*2</f>
        <v>132.28</v>
      </c>
      <c r="K13" s="27">
        <f t="shared" ref="K13:K16" si="16">G13*H13/1000</f>
        <v>1.2302040000000001</v>
      </c>
      <c r="L13" s="27">
        <f t="shared" si="14"/>
        <v>1.2302040000000001</v>
      </c>
      <c r="M13" s="27">
        <v>33.08</v>
      </c>
      <c r="N13" s="27">
        <f t="shared" si="13"/>
        <v>40.695148320000001</v>
      </c>
      <c r="O13" s="27">
        <v>3.4</v>
      </c>
      <c r="P13" s="27">
        <f t="shared" si="15"/>
        <v>4.1826936000000003</v>
      </c>
      <c r="AB13" s="25">
        <v>9</v>
      </c>
      <c r="AC13" s="27" t="s">
        <v>278</v>
      </c>
      <c r="AE13" s="27">
        <f t="shared" si="4"/>
        <v>7.2000000000000008E-2</v>
      </c>
      <c r="AF13" s="27">
        <f t="shared" si="5"/>
        <v>0.56664000000000003</v>
      </c>
      <c r="AG13" s="27">
        <f t="shared" si="6"/>
        <v>1.1332800000000001</v>
      </c>
      <c r="AH13" s="27">
        <f t="shared" si="10"/>
        <v>51</v>
      </c>
      <c r="AI13" s="27">
        <f t="shared" si="11"/>
        <v>57.797280000000001</v>
      </c>
      <c r="AJ13" s="27">
        <f t="shared" si="12"/>
        <v>6.0000000000000001E-3</v>
      </c>
      <c r="AK13" s="27">
        <f t="shared" si="7"/>
        <v>6.7996800000000007E-3</v>
      </c>
    </row>
    <row r="14" spans="1:41" s="27" customFormat="1" ht="14.25" customHeight="1">
      <c r="A14" s="37"/>
      <c r="B14" s="27" t="s">
        <v>204</v>
      </c>
      <c r="D14" s="29" t="s">
        <v>206</v>
      </c>
      <c r="E14" s="25"/>
      <c r="G14" s="27">
        <v>17</v>
      </c>
      <c r="H14" s="27">
        <f>5*61.09*2</f>
        <v>610.90000000000009</v>
      </c>
      <c r="I14" s="27" t="s">
        <v>207</v>
      </c>
      <c r="K14" s="27">
        <f t="shared" si="16"/>
        <v>10.385300000000001</v>
      </c>
      <c r="L14" s="27">
        <f t="shared" si="14"/>
        <v>10.385300000000001</v>
      </c>
      <c r="M14" s="27">
        <v>33</v>
      </c>
      <c r="N14" s="27">
        <f t="shared" si="13"/>
        <v>342.71490000000006</v>
      </c>
      <c r="O14" s="27">
        <v>1.5</v>
      </c>
      <c r="P14" s="27">
        <f t="shared" si="15"/>
        <v>15.577950000000001</v>
      </c>
      <c r="AB14" s="25">
        <v>10</v>
      </c>
      <c r="AC14" s="27" t="s">
        <v>278</v>
      </c>
      <c r="AE14" s="27">
        <f t="shared" si="4"/>
        <v>7.2000000000000008E-2</v>
      </c>
      <c r="AF14" s="27">
        <f t="shared" si="5"/>
        <v>0.56664000000000003</v>
      </c>
      <c r="AG14" s="27">
        <f t="shared" si="6"/>
        <v>1.1332800000000001</v>
      </c>
      <c r="AH14" s="27">
        <f t="shared" si="10"/>
        <v>57</v>
      </c>
      <c r="AI14" s="27">
        <f t="shared" si="11"/>
        <v>64.59696000000001</v>
      </c>
      <c r="AJ14" s="27">
        <f t="shared" si="12"/>
        <v>6.0000000000000001E-3</v>
      </c>
      <c r="AK14" s="27">
        <f t="shared" si="7"/>
        <v>6.7996800000000007E-3</v>
      </c>
    </row>
    <row r="15" spans="1:41" s="27" customFormat="1" ht="13.5" customHeight="1">
      <c r="A15" s="37"/>
      <c r="B15" s="27" t="s">
        <v>208</v>
      </c>
      <c r="D15" s="29" t="s">
        <v>205</v>
      </c>
      <c r="E15" s="25"/>
      <c r="G15" s="27">
        <v>9.3000000000000007</v>
      </c>
      <c r="H15" s="27">
        <f>58*3*2</f>
        <v>348</v>
      </c>
      <c r="K15" s="27">
        <f t="shared" si="16"/>
        <v>3.2364000000000002</v>
      </c>
      <c r="L15" s="27">
        <f t="shared" si="14"/>
        <v>3.2364000000000002</v>
      </c>
      <c r="M15" s="27">
        <v>33</v>
      </c>
      <c r="N15" s="27">
        <f t="shared" si="13"/>
        <v>106.80120000000001</v>
      </c>
      <c r="O15" s="27">
        <v>4</v>
      </c>
      <c r="P15" s="27">
        <f t="shared" si="15"/>
        <v>12.945600000000001</v>
      </c>
      <c r="AB15" s="25">
        <v>11</v>
      </c>
      <c r="AC15" s="27" t="s">
        <v>278</v>
      </c>
      <c r="AE15" s="27">
        <f t="shared" si="4"/>
        <v>7.2000000000000008E-2</v>
      </c>
      <c r="AF15" s="27">
        <f t="shared" si="5"/>
        <v>0.56664000000000003</v>
      </c>
      <c r="AG15" s="27">
        <f t="shared" si="6"/>
        <v>1.1332800000000001</v>
      </c>
      <c r="AH15" s="27">
        <f t="shared" si="10"/>
        <v>63</v>
      </c>
      <c r="AI15" s="27">
        <f t="shared" si="11"/>
        <v>71.396640000000005</v>
      </c>
      <c r="AJ15" s="27">
        <f t="shared" si="12"/>
        <v>6.0000000000000001E-3</v>
      </c>
      <c r="AK15" s="27">
        <f t="shared" si="7"/>
        <v>6.7996800000000007E-3</v>
      </c>
    </row>
    <row r="16" spans="1:41" s="27" customFormat="1" ht="13.5" customHeight="1">
      <c r="A16" s="37"/>
      <c r="B16" s="27" t="s">
        <v>208</v>
      </c>
      <c r="D16" s="29" t="s">
        <v>206</v>
      </c>
      <c r="E16" s="25"/>
      <c r="G16" s="27">
        <v>17</v>
      </c>
      <c r="H16" s="27">
        <f>3*58*2</f>
        <v>348</v>
      </c>
      <c r="K16" s="27">
        <f t="shared" si="16"/>
        <v>5.9160000000000004</v>
      </c>
      <c r="L16" s="27">
        <f t="shared" si="14"/>
        <v>5.9160000000000004</v>
      </c>
      <c r="M16" s="27">
        <v>33</v>
      </c>
      <c r="N16" s="27">
        <f t="shared" si="13"/>
        <v>195.22800000000001</v>
      </c>
      <c r="O16" s="27">
        <v>1</v>
      </c>
      <c r="P16" s="27">
        <f t="shared" si="15"/>
        <v>5.9160000000000004</v>
      </c>
      <c r="AB16" s="25">
        <v>12</v>
      </c>
      <c r="AC16" s="27" t="s">
        <v>278</v>
      </c>
      <c r="AE16" s="27">
        <f t="shared" si="4"/>
        <v>7.2000000000000008E-2</v>
      </c>
      <c r="AF16" s="27">
        <f t="shared" si="5"/>
        <v>0.56664000000000003</v>
      </c>
      <c r="AG16" s="27">
        <f t="shared" si="6"/>
        <v>1.1332800000000001</v>
      </c>
      <c r="AH16" s="27">
        <f t="shared" ref="AH16" si="17">AH15+3</f>
        <v>66</v>
      </c>
      <c r="AI16" s="27">
        <f t="shared" si="11"/>
        <v>74.796480000000003</v>
      </c>
      <c r="AJ16" s="27">
        <v>2.72</v>
      </c>
      <c r="AK16" s="27">
        <f t="shared" si="7"/>
        <v>3.0825216000000002</v>
      </c>
    </row>
    <row r="17" spans="1:42" s="27" customFormat="1">
      <c r="A17" s="37"/>
      <c r="D17" s="29"/>
      <c r="E17" s="25"/>
      <c r="AB17" s="25">
        <v>13</v>
      </c>
      <c r="AC17" s="27" t="s">
        <v>279</v>
      </c>
      <c r="AE17" s="27">
        <f>2.631*1*0.012</f>
        <v>3.1571999999999996E-2</v>
      </c>
      <c r="AF17" s="27">
        <f t="shared" si="5"/>
        <v>0.24847163999999997</v>
      </c>
      <c r="AG17" s="27">
        <f t="shared" si="6"/>
        <v>0.49694327999999993</v>
      </c>
      <c r="AH17" s="27">
        <v>66.13</v>
      </c>
      <c r="AI17" s="27">
        <f t="shared" si="11"/>
        <v>32.862859106399995</v>
      </c>
      <c r="AJ17" s="27">
        <v>5.95</v>
      </c>
      <c r="AK17" s="27">
        <f t="shared" si="7"/>
        <v>2.9568125159999998</v>
      </c>
    </row>
    <row r="18" spans="1:42" s="27" customFormat="1">
      <c r="A18" s="25">
        <v>10</v>
      </c>
      <c r="B18" s="27" t="s">
        <v>102</v>
      </c>
      <c r="D18" s="29" t="s">
        <v>209</v>
      </c>
      <c r="E18" s="25"/>
      <c r="K18" s="27">
        <f>[1]Sheet2!E289+2</f>
        <v>14.981383999999995</v>
      </c>
      <c r="L18" s="27">
        <f t="shared" si="14"/>
        <v>14.981383999999995</v>
      </c>
      <c r="M18" s="27">
        <f>[1]Sheet2!F291</f>
        <v>32.230480928689921</v>
      </c>
      <c r="N18" s="27">
        <f t="shared" si="13"/>
        <v>482.85721129738016</v>
      </c>
      <c r="O18" s="27">
        <f>[1]Sheet2!J291</f>
        <v>3.467665518561041</v>
      </c>
      <c r="P18" s="27">
        <f t="shared" si="15"/>
        <v>51.950428717122065</v>
      </c>
      <c r="AB18" s="25"/>
    </row>
    <row r="19" spans="1:42" s="23" customFormat="1">
      <c r="A19" s="38">
        <v>11</v>
      </c>
      <c r="B19" s="23" t="s">
        <v>210</v>
      </c>
      <c r="D19" s="23" t="s">
        <v>211</v>
      </c>
      <c r="E19" s="38"/>
      <c r="K19" s="23">
        <f>[1]Sheet2!E131+3</f>
        <v>18.617055999999998</v>
      </c>
      <c r="L19" s="23">
        <f t="shared" si="14"/>
        <v>18.617055999999998</v>
      </c>
      <c r="M19" s="23">
        <f>[1]Sheet2!F132</f>
        <v>30.335446738745127</v>
      </c>
      <c r="N19" s="23">
        <f t="shared" si="13"/>
        <v>564.75671072023533</v>
      </c>
      <c r="O19" s="23">
        <f>[1]Sheet2!H132</f>
        <v>3.4701275700106344</v>
      </c>
      <c r="P19" s="23">
        <f t="shared" si="15"/>
        <v>64.603559298031897</v>
      </c>
      <c r="AB19" s="38"/>
      <c r="AG19" s="23">
        <f>SUM(AG5:AG17)</f>
        <v>14.096303279999997</v>
      </c>
      <c r="AI19" s="23">
        <f>SUM(AI5:AI17)</f>
        <v>519.0399791064001</v>
      </c>
      <c r="AK19" s="23">
        <f>SUM(AK5:AK17)</f>
        <v>8.9677296359999996</v>
      </c>
    </row>
    <row r="20" spans="1:42" s="27" customFormat="1" ht="14.25" customHeight="1">
      <c r="A20" s="25">
        <v>13</v>
      </c>
      <c r="B20" s="27" t="s">
        <v>212</v>
      </c>
      <c r="D20" s="30" t="s">
        <v>213</v>
      </c>
      <c r="E20" s="25">
        <v>1</v>
      </c>
      <c r="G20" s="23">
        <v>1.2200000000000001E-2</v>
      </c>
      <c r="H20" s="27">
        <v>66.55</v>
      </c>
      <c r="I20" s="27">
        <f>G20*H20*E20</f>
        <v>0.81191000000000002</v>
      </c>
      <c r="J20" s="27">
        <v>7.87</v>
      </c>
      <c r="K20" s="27">
        <f>I20*J20</f>
        <v>6.3897317000000005</v>
      </c>
      <c r="L20" s="27">
        <f t="shared" si="14"/>
        <v>6.3897317000000005</v>
      </c>
      <c r="M20" s="27">
        <v>33.25</v>
      </c>
      <c r="N20" s="27">
        <f t="shared" si="13"/>
        <v>212.45857902500001</v>
      </c>
      <c r="O20" s="27">
        <f>0.85/2</f>
        <v>0.42499999999999999</v>
      </c>
      <c r="P20" s="27">
        <f t="shared" si="15"/>
        <v>2.7156359725000003</v>
      </c>
      <c r="AB20" s="25"/>
    </row>
    <row r="21" spans="1:42" s="27" customFormat="1">
      <c r="A21" s="37">
        <v>14</v>
      </c>
      <c r="B21" s="27" t="s">
        <v>214</v>
      </c>
      <c r="D21" s="30" t="s">
        <v>215</v>
      </c>
      <c r="E21" s="25">
        <v>2</v>
      </c>
      <c r="G21" s="23">
        <v>9.1000000000000004E-3</v>
      </c>
      <c r="H21" s="27">
        <f>2*62.514</f>
        <v>125.02800000000001</v>
      </c>
      <c r="I21" s="27">
        <f t="shared" ref="I21:I22" si="18">G21*H21*E21</f>
        <v>2.2755096000000004</v>
      </c>
      <c r="J21" s="27">
        <v>7.87</v>
      </c>
      <c r="K21" s="27">
        <f t="shared" ref="K21:K22" si="19">I21*J21</f>
        <v>17.908260552000002</v>
      </c>
      <c r="L21" s="27">
        <f>K21</f>
        <v>17.908260552000002</v>
      </c>
      <c r="M21" s="27">
        <v>31.5</v>
      </c>
      <c r="N21" s="27">
        <f>L21*M21</f>
        <v>564.11020738800005</v>
      </c>
      <c r="O21" s="27">
        <f t="shared" ref="O21:O22" si="20">0.85/2</f>
        <v>0.42499999999999999</v>
      </c>
      <c r="P21" s="27">
        <f t="shared" si="15"/>
        <v>7.6110107346000007</v>
      </c>
      <c r="AB21" s="25"/>
      <c r="AC21" s="50" t="s">
        <v>4</v>
      </c>
      <c r="AD21" s="27">
        <f>AI19/AG19</f>
        <v>36.820999718615603</v>
      </c>
      <c r="AE21" s="27" t="s">
        <v>178</v>
      </c>
      <c r="AP21" s="27">
        <f>66.5/20</f>
        <v>3.3250000000000002</v>
      </c>
    </row>
    <row r="22" spans="1:42" s="27" customFormat="1">
      <c r="A22" s="37"/>
      <c r="B22" s="27" t="s">
        <v>216</v>
      </c>
      <c r="D22" s="30" t="s">
        <v>215</v>
      </c>
      <c r="E22" s="25">
        <v>2</v>
      </c>
      <c r="G22" s="23">
        <v>9.1000000000000004E-3</v>
      </c>
      <c r="H22" s="27">
        <f>2*55.51</f>
        <v>111.02</v>
      </c>
      <c r="I22" s="27">
        <f t="shared" si="18"/>
        <v>2.0205640000000002</v>
      </c>
      <c r="J22" s="27">
        <v>7.87</v>
      </c>
      <c r="K22" s="27">
        <f t="shared" si="19"/>
        <v>15.901838680000003</v>
      </c>
      <c r="L22" s="27">
        <f t="shared" ref="L22" si="21">K22</f>
        <v>15.901838680000003</v>
      </c>
      <c r="M22" s="27">
        <v>30</v>
      </c>
      <c r="N22" s="27">
        <f t="shared" si="13"/>
        <v>477.05516040000009</v>
      </c>
      <c r="O22" s="27">
        <f t="shared" si="20"/>
        <v>0.42499999999999999</v>
      </c>
      <c r="P22" s="27">
        <f t="shared" si="15"/>
        <v>6.758281439000001</v>
      </c>
      <c r="AB22" s="25"/>
      <c r="AC22" s="50" t="s">
        <v>5</v>
      </c>
      <c r="AD22" s="27">
        <f>AK19/AG19</f>
        <v>0.63617598585038404</v>
      </c>
      <c r="AE22" s="27" t="s">
        <v>178</v>
      </c>
    </row>
    <row r="23" spans="1:42" s="27" customFormat="1">
      <c r="A23" s="25">
        <v>15</v>
      </c>
      <c r="B23" s="27" t="s">
        <v>217</v>
      </c>
      <c r="D23" s="29" t="s">
        <v>218</v>
      </c>
      <c r="E23" s="25"/>
      <c r="G23" s="27">
        <v>19</v>
      </c>
      <c r="H23" s="27">
        <v>614.82000000000005</v>
      </c>
      <c r="K23" s="27">
        <f>H23*G23/1000</f>
        <v>11.681580000000002</v>
      </c>
      <c r="L23" s="27">
        <f>K23</f>
        <v>11.681580000000002</v>
      </c>
      <c r="M23" s="27">
        <v>33</v>
      </c>
      <c r="N23" s="27">
        <f t="shared" si="13"/>
        <v>385.49214000000006</v>
      </c>
      <c r="O23" s="27">
        <v>0.1</v>
      </c>
      <c r="P23" s="27">
        <f t="shared" si="15"/>
        <v>1.1681580000000003</v>
      </c>
      <c r="AB23" s="25"/>
    </row>
    <row r="24" spans="1:42" s="27" customFormat="1">
      <c r="A24" s="25">
        <v>16</v>
      </c>
      <c r="B24" s="27" t="s">
        <v>219</v>
      </c>
      <c r="D24" s="29" t="s">
        <v>220</v>
      </c>
      <c r="E24" s="25"/>
      <c r="G24" s="27">
        <v>17.100000000000001</v>
      </c>
      <c r="H24" s="27">
        <v>614.82000000000005</v>
      </c>
      <c r="K24" s="27">
        <f>H24*G24/1000</f>
        <v>10.513422000000002</v>
      </c>
      <c r="L24" s="27">
        <f>K24</f>
        <v>10.513422000000002</v>
      </c>
      <c r="M24" s="27">
        <v>33</v>
      </c>
      <c r="N24" s="27">
        <f t="shared" si="13"/>
        <v>346.94292600000006</v>
      </c>
      <c r="O24" s="27">
        <f>0.1+0.85</f>
        <v>0.95</v>
      </c>
      <c r="P24" s="27">
        <f t="shared" si="15"/>
        <v>9.9877509000000018</v>
      </c>
      <c r="AB24" s="25"/>
    </row>
    <row r="25" spans="1:42" s="27" customFormat="1">
      <c r="A25" s="25">
        <v>18</v>
      </c>
      <c r="B25" s="27" t="s">
        <v>221</v>
      </c>
      <c r="D25" s="30" t="s">
        <v>222</v>
      </c>
      <c r="E25" s="25">
        <v>75</v>
      </c>
      <c r="K25" s="27">
        <f>[1]Sheet2!E61</f>
        <v>42.579847999999991</v>
      </c>
      <c r="L25" s="27">
        <f>K25</f>
        <v>42.579847999999991</v>
      </c>
      <c r="M25" s="27">
        <f>[1]Sheet2!E64</f>
        <v>25.802447878160578</v>
      </c>
      <c r="N25" s="27">
        <f>L25*M25</f>
        <v>1098.6643086799997</v>
      </c>
      <c r="O25" s="27">
        <f>[1]Sheet2!H64</f>
        <v>0.82453275173739404</v>
      </c>
      <c r="P25" s="27">
        <f>O25*L25</f>
        <v>35.108479239999966</v>
      </c>
      <c r="S25" s="27">
        <v>17.100000000000001</v>
      </c>
      <c r="T25" s="27">
        <v>61.12</v>
      </c>
      <c r="U25" s="27">
        <f t="shared" ref="U25:U27" si="22">T25*S25/1000</f>
        <v>1.0451520000000001</v>
      </c>
      <c r="AA25" s="13" t="s">
        <v>283</v>
      </c>
      <c r="AB25" s="25"/>
    </row>
    <row r="26" spans="1:42" s="27" customFormat="1">
      <c r="A26" s="37">
        <v>19</v>
      </c>
      <c r="B26" s="27" t="s">
        <v>251</v>
      </c>
      <c r="E26" s="25"/>
      <c r="L26" s="27">
        <f>AG181</f>
        <v>16.398846554861333</v>
      </c>
      <c r="M26" s="27">
        <f>AG183</f>
        <v>7.593538982815077</v>
      </c>
      <c r="N26" s="27">
        <f>L26*M26</f>
        <v>124.52528058754226</v>
      </c>
      <c r="O26" s="27">
        <f>AG184</f>
        <v>6.8022828657631065</v>
      </c>
      <c r="P26" s="27">
        <f t="shared" ref="P26:P30" si="23">O26*L26</f>
        <v>111.54959293841159</v>
      </c>
      <c r="S26" s="27">
        <v>17.100000000000001</v>
      </c>
      <c r="T26" s="27">
        <v>59.63</v>
      </c>
      <c r="U26" s="27">
        <f t="shared" si="22"/>
        <v>1.0196730000000001</v>
      </c>
      <c r="AB26" s="25"/>
      <c r="AM26" s="13" t="s">
        <v>284</v>
      </c>
    </row>
    <row r="27" spans="1:42" s="27" customFormat="1">
      <c r="A27" s="37"/>
      <c r="B27" s="27" t="s">
        <v>255</v>
      </c>
      <c r="E27" s="25"/>
      <c r="L27" s="27">
        <f>AG194</f>
        <v>9.6930725145000007</v>
      </c>
      <c r="M27" s="27">
        <f>AH196</f>
        <v>9.2355271928874814</v>
      </c>
      <c r="N27" s="27">
        <f t="shared" ref="N27" si="24">L27*M27</f>
        <v>89.520634790294991</v>
      </c>
      <c r="O27" s="27">
        <f>AH197</f>
        <v>8.9431179483981769</v>
      </c>
      <c r="P27" s="27">
        <f t="shared" si="23"/>
        <v>86.686290779550006</v>
      </c>
      <c r="S27" s="27">
        <v>17.100000000000001</v>
      </c>
      <c r="T27" s="27">
        <v>57.11</v>
      </c>
      <c r="U27" s="27">
        <f t="shared" si="22"/>
        <v>0.97658100000000003</v>
      </c>
      <c r="AB27" s="25">
        <v>1</v>
      </c>
      <c r="AC27" s="27" t="s">
        <v>223</v>
      </c>
      <c r="AE27" s="27">
        <f>6*1.55*0.01</f>
        <v>9.3000000000000013E-2</v>
      </c>
      <c r="AF27" s="27">
        <f>AE27*7.87</f>
        <v>0.73191000000000006</v>
      </c>
      <c r="AG27" s="27">
        <f>AF27*2</f>
        <v>1.4638200000000001</v>
      </c>
      <c r="AH27" s="27">
        <v>5.7380000000000004</v>
      </c>
      <c r="AI27" s="27">
        <f>AG27*AH27</f>
        <v>8.3993991600000015</v>
      </c>
      <c r="AJ27" s="27">
        <v>2.0699999999999998</v>
      </c>
      <c r="AK27" s="27">
        <f>AJ27*AG27</f>
        <v>3.0301073999999999</v>
      </c>
    </row>
    <row r="28" spans="1:42" s="27" customFormat="1">
      <c r="A28" s="25">
        <v>20</v>
      </c>
      <c r="B28" s="27" t="s">
        <v>252</v>
      </c>
      <c r="E28" s="25"/>
      <c r="L28" s="27">
        <f>AG205</f>
        <v>3.6006965659999999</v>
      </c>
      <c r="M28" s="27">
        <f>AI207</f>
        <v>11.570065981555414</v>
      </c>
      <c r="N28" s="27">
        <f>L28*M28</f>
        <v>41.660296848179996</v>
      </c>
      <c r="O28" s="27">
        <f>AI208</f>
        <v>10.565414968204795</v>
      </c>
      <c r="P28" s="27">
        <f t="shared" si="23"/>
        <v>38.042853394380003</v>
      </c>
      <c r="AB28" s="25">
        <v>2</v>
      </c>
      <c r="AC28" s="27" t="s">
        <v>223</v>
      </c>
      <c r="AE28" s="27">
        <f t="shared" ref="AE28:AE44" si="25">6*1.55*0.01</f>
        <v>9.3000000000000013E-2</v>
      </c>
      <c r="AF28" s="27">
        <f t="shared" ref="AF28:AF44" si="26">AE28*7.87</f>
        <v>0.73191000000000006</v>
      </c>
      <c r="AG28" s="27">
        <f t="shared" ref="AG28:AG44" si="27">AF28*2</f>
        <v>1.4638200000000001</v>
      </c>
      <c r="AH28" s="27">
        <f>AH27+6</f>
        <v>11.738</v>
      </c>
      <c r="AI28" s="27">
        <f t="shared" ref="AI28:AI44" si="28">AG28*AH28</f>
        <v>17.182319160000002</v>
      </c>
      <c r="AJ28" s="27">
        <v>0.4536</v>
      </c>
      <c r="AK28" s="27">
        <f t="shared" ref="AK28:AK44" si="29">AJ28*AG28</f>
        <v>0.66398875200000007</v>
      </c>
      <c r="AM28" s="25">
        <v>1</v>
      </c>
      <c r="AN28" s="27">
        <v>1</v>
      </c>
      <c r="AO28" s="27">
        <v>3.1339999999999999</v>
      </c>
      <c r="AP28" s="27">
        <f>AO28*AN28</f>
        <v>3.1339999999999999</v>
      </c>
    </row>
    <row r="29" spans="1:42" s="27" customFormat="1">
      <c r="A29" s="25">
        <v>21</v>
      </c>
      <c r="B29" s="27" t="s">
        <v>253</v>
      </c>
      <c r="E29" s="25"/>
      <c r="L29" s="27">
        <f>AG221</f>
        <v>16.884738719999998</v>
      </c>
      <c r="M29" s="27">
        <f>AH224</f>
        <v>36.999858156028381</v>
      </c>
      <c r="N29" s="27">
        <f t="shared" ref="N29:N30" si="30">L29*M29</f>
        <v>624.73293764160007</v>
      </c>
      <c r="O29" s="27">
        <f>AH225</f>
        <v>0.81500000000000006</v>
      </c>
      <c r="P29" s="27">
        <f t="shared" si="23"/>
        <v>13.761062056799998</v>
      </c>
      <c r="AB29" s="25">
        <v>3</v>
      </c>
      <c r="AC29" s="27" t="s">
        <v>223</v>
      </c>
      <c r="AE29" s="27">
        <f t="shared" si="25"/>
        <v>9.3000000000000013E-2</v>
      </c>
      <c r="AF29" s="27">
        <f t="shared" si="26"/>
        <v>0.73191000000000006</v>
      </c>
      <c r="AG29" s="27">
        <f t="shared" si="27"/>
        <v>1.4638200000000001</v>
      </c>
      <c r="AH29" s="27">
        <f t="shared" ref="AH29:AH34" si="31">AH28+6</f>
        <v>17.738</v>
      </c>
      <c r="AI29" s="27">
        <f t="shared" si="28"/>
        <v>25.965239160000003</v>
      </c>
      <c r="AJ29" s="27">
        <f>0.01/2</f>
        <v>5.0000000000000001E-3</v>
      </c>
      <c r="AK29" s="27">
        <f t="shared" si="29"/>
        <v>7.3191000000000011E-3</v>
      </c>
      <c r="AM29" s="25">
        <v>2</v>
      </c>
      <c r="AN29" s="27">
        <v>4</v>
      </c>
      <c r="AO29" s="27">
        <v>4.6100000000000003</v>
      </c>
      <c r="AP29" s="27">
        <f t="shared" ref="AP29:AP50" si="32">AO29*AN29</f>
        <v>18.440000000000001</v>
      </c>
    </row>
    <row r="30" spans="1:42" s="27" customFormat="1">
      <c r="A30" s="25">
        <v>22</v>
      </c>
      <c r="B30" s="27" t="s">
        <v>254</v>
      </c>
      <c r="E30" s="25"/>
      <c r="L30" s="27">
        <f>AG238</f>
        <v>21.616371600000001</v>
      </c>
      <c r="M30" s="27">
        <f>AH240</f>
        <v>36.999858156028367</v>
      </c>
      <c r="N30" s="27">
        <f t="shared" si="30"/>
        <v>799.80268304799995</v>
      </c>
      <c r="O30" s="27">
        <f>AH241</f>
        <v>4.4870000000000001</v>
      </c>
      <c r="P30" s="27">
        <f t="shared" si="23"/>
        <v>96.992659369200013</v>
      </c>
      <c r="AB30" s="25">
        <v>4</v>
      </c>
      <c r="AC30" s="27" t="s">
        <v>223</v>
      </c>
      <c r="AE30" s="27">
        <f t="shared" si="25"/>
        <v>9.3000000000000013E-2</v>
      </c>
      <c r="AF30" s="27">
        <f t="shared" si="26"/>
        <v>0.73191000000000006</v>
      </c>
      <c r="AG30" s="27">
        <f t="shared" si="27"/>
        <v>1.4638200000000001</v>
      </c>
      <c r="AH30" s="27">
        <f t="shared" si="31"/>
        <v>23.738</v>
      </c>
      <c r="AI30" s="27">
        <f t="shared" si="28"/>
        <v>34.74815916</v>
      </c>
      <c r="AJ30" s="27">
        <f t="shared" ref="AJ30:AJ44" si="33">0.01/2</f>
        <v>5.0000000000000001E-3</v>
      </c>
      <c r="AK30" s="27">
        <f t="shared" si="29"/>
        <v>7.3191000000000011E-3</v>
      </c>
      <c r="AM30" s="25">
        <v>3</v>
      </c>
      <c r="AN30" s="27">
        <v>2</v>
      </c>
      <c r="AO30" s="27">
        <v>5.13</v>
      </c>
      <c r="AP30" s="27">
        <f t="shared" si="32"/>
        <v>10.26</v>
      </c>
    </row>
    <row r="31" spans="1:42" s="27" customFormat="1">
      <c r="A31" s="25"/>
      <c r="E31" s="25"/>
      <c r="AB31" s="25">
        <v>5</v>
      </c>
      <c r="AC31" s="27" t="s">
        <v>223</v>
      </c>
      <c r="AE31" s="27">
        <f t="shared" si="25"/>
        <v>9.3000000000000013E-2</v>
      </c>
      <c r="AF31" s="27">
        <f t="shared" si="26"/>
        <v>0.73191000000000006</v>
      </c>
      <c r="AG31" s="27">
        <f t="shared" si="27"/>
        <v>1.4638200000000001</v>
      </c>
      <c r="AH31" s="27">
        <f t="shared" si="31"/>
        <v>29.738</v>
      </c>
      <c r="AI31" s="27">
        <f t="shared" si="28"/>
        <v>43.531079160000004</v>
      </c>
      <c r="AJ31" s="27">
        <f t="shared" si="33"/>
        <v>5.0000000000000001E-3</v>
      </c>
      <c r="AK31" s="27">
        <f t="shared" si="29"/>
        <v>7.3191000000000011E-3</v>
      </c>
      <c r="AM31" s="25">
        <v>4</v>
      </c>
      <c r="AN31" s="27">
        <v>4</v>
      </c>
      <c r="AO31" s="27">
        <v>5.3</v>
      </c>
      <c r="AP31" s="27">
        <f t="shared" si="32"/>
        <v>21.2</v>
      </c>
    </row>
    <row r="32" spans="1:42" s="27" customFormat="1">
      <c r="A32" s="25"/>
      <c r="E32" s="25"/>
      <c r="AB32" s="25">
        <v>6</v>
      </c>
      <c r="AC32" s="27" t="s">
        <v>223</v>
      </c>
      <c r="AE32" s="27">
        <f t="shared" si="25"/>
        <v>9.3000000000000013E-2</v>
      </c>
      <c r="AF32" s="27">
        <f t="shared" si="26"/>
        <v>0.73191000000000006</v>
      </c>
      <c r="AG32" s="27">
        <f t="shared" si="27"/>
        <v>1.4638200000000001</v>
      </c>
      <c r="AH32" s="27">
        <f t="shared" si="31"/>
        <v>35.738</v>
      </c>
      <c r="AI32" s="27">
        <f t="shared" si="28"/>
        <v>52.313999160000002</v>
      </c>
      <c r="AJ32" s="27">
        <f t="shared" si="33"/>
        <v>5.0000000000000001E-3</v>
      </c>
      <c r="AK32" s="27">
        <f t="shared" si="29"/>
        <v>7.3191000000000011E-3</v>
      </c>
      <c r="AM32" s="25">
        <v>5</v>
      </c>
      <c r="AN32" s="27">
        <v>2</v>
      </c>
      <c r="AO32" s="27">
        <v>5.39</v>
      </c>
      <c r="AP32" s="27">
        <f t="shared" si="32"/>
        <v>10.78</v>
      </c>
    </row>
    <row r="33" spans="1:44" s="27" customFormat="1">
      <c r="A33" s="25"/>
      <c r="E33" s="25"/>
      <c r="AB33" s="25">
        <v>7</v>
      </c>
      <c r="AC33" s="27" t="s">
        <v>223</v>
      </c>
      <c r="AE33" s="27">
        <f t="shared" si="25"/>
        <v>9.3000000000000013E-2</v>
      </c>
      <c r="AF33" s="27">
        <f t="shared" si="26"/>
        <v>0.73191000000000006</v>
      </c>
      <c r="AG33" s="27">
        <f t="shared" si="27"/>
        <v>1.4638200000000001</v>
      </c>
      <c r="AH33" s="27">
        <f t="shared" si="31"/>
        <v>41.738</v>
      </c>
      <c r="AI33" s="27">
        <f t="shared" si="28"/>
        <v>61.096919160000006</v>
      </c>
      <c r="AJ33" s="27">
        <f t="shared" si="33"/>
        <v>5.0000000000000001E-3</v>
      </c>
      <c r="AK33" s="27">
        <f t="shared" si="29"/>
        <v>7.3191000000000011E-3</v>
      </c>
      <c r="AM33" s="25">
        <v>6</v>
      </c>
      <c r="AN33" s="27">
        <v>4</v>
      </c>
      <c r="AO33" s="27">
        <v>5.46</v>
      </c>
      <c r="AP33" s="27">
        <f t="shared" si="32"/>
        <v>21.84</v>
      </c>
    </row>
    <row r="34" spans="1:44" s="27" customFormat="1">
      <c r="A34" s="25"/>
      <c r="E34" s="25"/>
      <c r="AB34" s="25">
        <v>8</v>
      </c>
      <c r="AC34" s="27" t="s">
        <v>223</v>
      </c>
      <c r="AE34" s="27">
        <f t="shared" si="25"/>
        <v>9.3000000000000013E-2</v>
      </c>
      <c r="AF34" s="27">
        <f t="shared" si="26"/>
        <v>0.73191000000000006</v>
      </c>
      <c r="AG34" s="27">
        <f t="shared" si="27"/>
        <v>1.4638200000000001</v>
      </c>
      <c r="AH34" s="27">
        <f t="shared" si="31"/>
        <v>47.738</v>
      </c>
      <c r="AI34" s="27">
        <f t="shared" si="28"/>
        <v>69.879839160000003</v>
      </c>
      <c r="AJ34" s="27">
        <f t="shared" si="33"/>
        <v>5.0000000000000001E-3</v>
      </c>
      <c r="AK34" s="27">
        <f t="shared" si="29"/>
        <v>7.3191000000000011E-3</v>
      </c>
      <c r="AM34" s="25">
        <v>7</v>
      </c>
      <c r="AN34" s="27">
        <v>2</v>
      </c>
      <c r="AO34" s="27">
        <v>5.49</v>
      </c>
      <c r="AP34" s="27">
        <f t="shared" si="32"/>
        <v>10.98</v>
      </c>
    </row>
    <row r="35" spans="1:44" s="27" customFormat="1">
      <c r="A35" s="25"/>
      <c r="E35" s="25"/>
      <c r="AB35" s="25">
        <v>9</v>
      </c>
      <c r="AC35" s="27" t="s">
        <v>223</v>
      </c>
      <c r="AE35" s="27">
        <f t="shared" si="25"/>
        <v>9.3000000000000013E-2</v>
      </c>
      <c r="AF35" s="27">
        <f t="shared" si="26"/>
        <v>0.73191000000000006</v>
      </c>
      <c r="AG35" s="27">
        <f t="shared" si="27"/>
        <v>1.4638200000000001</v>
      </c>
      <c r="AH35" s="27">
        <v>53.27</v>
      </c>
      <c r="AI35" s="27">
        <f t="shared" si="28"/>
        <v>77.977691400000012</v>
      </c>
      <c r="AJ35" s="27">
        <f t="shared" si="33"/>
        <v>5.0000000000000001E-3</v>
      </c>
      <c r="AK35" s="27">
        <f t="shared" si="29"/>
        <v>7.3191000000000011E-3</v>
      </c>
      <c r="AM35" s="25">
        <v>8</v>
      </c>
      <c r="AN35" s="27">
        <v>4</v>
      </c>
      <c r="AO35" s="27">
        <v>5.5</v>
      </c>
      <c r="AP35" s="27">
        <f t="shared" si="32"/>
        <v>22</v>
      </c>
    </row>
    <row r="36" spans="1:44" s="27" customFormat="1">
      <c r="A36" s="25">
        <v>23</v>
      </c>
      <c r="B36" s="27" t="s">
        <v>262</v>
      </c>
      <c r="E36" s="25"/>
      <c r="G36" s="27">
        <v>14.15</v>
      </c>
      <c r="H36" s="27">
        <v>8.9999999999999993E-3</v>
      </c>
      <c r="I36" s="27">
        <f t="shared" ref="I36" si="34">G36*H36</f>
        <v>0.12734999999999999</v>
      </c>
      <c r="J36" s="27">
        <v>7.87</v>
      </c>
      <c r="K36" s="27">
        <f t="shared" ref="K36" si="35">J36*I36</f>
        <v>1.0022445</v>
      </c>
      <c r="L36" s="27">
        <f t="shared" ref="L36:L39" si="36">K36</f>
        <v>1.0022445</v>
      </c>
      <c r="M36" s="27">
        <v>0</v>
      </c>
      <c r="N36" s="27">
        <f t="shared" ref="N36:N39" si="37">L36*M36</f>
        <v>0</v>
      </c>
      <c r="O36" s="27">
        <v>4.12</v>
      </c>
      <c r="P36" s="27">
        <f t="shared" ref="P36:P39" si="38">L36*O36</f>
        <v>4.12924734</v>
      </c>
      <c r="AB36" s="25">
        <v>10</v>
      </c>
      <c r="AC36" s="27" t="s">
        <v>223</v>
      </c>
      <c r="AE36" s="27">
        <f t="shared" si="25"/>
        <v>9.3000000000000013E-2</v>
      </c>
      <c r="AF36" s="27">
        <f t="shared" si="26"/>
        <v>0.73191000000000006</v>
      </c>
      <c r="AG36" s="27">
        <f t="shared" si="27"/>
        <v>1.4638200000000001</v>
      </c>
      <c r="AH36" s="27">
        <v>10.135</v>
      </c>
      <c r="AI36" s="27">
        <f t="shared" si="28"/>
        <v>14.835815700000001</v>
      </c>
      <c r="AJ36" s="27">
        <f t="shared" si="33"/>
        <v>5.0000000000000001E-3</v>
      </c>
      <c r="AK36" s="27">
        <f t="shared" si="29"/>
        <v>7.3191000000000011E-3</v>
      </c>
      <c r="AM36" s="25">
        <v>9</v>
      </c>
      <c r="AN36" s="27">
        <v>2</v>
      </c>
      <c r="AO36" s="27">
        <v>5.5</v>
      </c>
      <c r="AP36" s="27">
        <f t="shared" si="32"/>
        <v>11</v>
      </c>
    </row>
    <row r="37" spans="1:44" s="27" customFormat="1">
      <c r="A37" s="25"/>
      <c r="E37" s="25"/>
      <c r="AB37" s="25">
        <v>11</v>
      </c>
      <c r="AC37" s="27" t="s">
        <v>223</v>
      </c>
      <c r="AE37" s="27">
        <f t="shared" si="25"/>
        <v>9.3000000000000013E-2</v>
      </c>
      <c r="AF37" s="27">
        <f t="shared" si="26"/>
        <v>0.73191000000000006</v>
      </c>
      <c r="AG37" s="27">
        <f t="shared" si="27"/>
        <v>1.4638200000000001</v>
      </c>
      <c r="AH37" s="27">
        <f>AH36+6</f>
        <v>16.134999999999998</v>
      </c>
      <c r="AI37" s="27">
        <f t="shared" si="28"/>
        <v>23.618735699999998</v>
      </c>
      <c r="AJ37" s="27">
        <f t="shared" si="33"/>
        <v>5.0000000000000001E-3</v>
      </c>
      <c r="AK37" s="27">
        <f t="shared" si="29"/>
        <v>7.3191000000000011E-3</v>
      </c>
      <c r="AM37" s="25">
        <v>10</v>
      </c>
      <c r="AN37" s="27">
        <v>4</v>
      </c>
      <c r="AO37" s="27">
        <v>5.5</v>
      </c>
      <c r="AP37" s="27">
        <f t="shared" si="32"/>
        <v>22</v>
      </c>
    </row>
    <row r="38" spans="1:44" s="27" customFormat="1">
      <c r="A38" s="25">
        <v>24</v>
      </c>
      <c r="B38" s="23" t="s">
        <v>224</v>
      </c>
      <c r="D38" s="30"/>
      <c r="E38" s="25">
        <v>102</v>
      </c>
      <c r="K38" s="27">
        <f>[1]Sheet2!E179+[1]Sheet2!E205</f>
        <v>10.441765200000001</v>
      </c>
      <c r="L38" s="27">
        <f t="shared" si="36"/>
        <v>10.441765200000001</v>
      </c>
      <c r="M38" s="27">
        <f>([1]Sheet2!G205+[1]Sheet2!G179)/'[1]Steel Weight'!K38</f>
        <v>20.776179287846844</v>
      </c>
      <c r="N38" s="27">
        <f t="shared" si="37"/>
        <v>216.93998587679997</v>
      </c>
      <c r="O38" s="27">
        <f>[1]Sheet2!N185</f>
        <v>5.9973120177036705</v>
      </c>
      <c r="P38" s="27">
        <f t="shared" si="38"/>
        <v>62.622523919999978</v>
      </c>
      <c r="AB38" s="25">
        <v>12</v>
      </c>
      <c r="AC38" s="27" t="s">
        <v>223</v>
      </c>
      <c r="AE38" s="27">
        <f t="shared" si="25"/>
        <v>9.3000000000000013E-2</v>
      </c>
      <c r="AF38" s="27">
        <f t="shared" si="26"/>
        <v>0.73191000000000006</v>
      </c>
      <c r="AG38" s="27">
        <f t="shared" si="27"/>
        <v>1.4638200000000001</v>
      </c>
      <c r="AH38" s="27">
        <f t="shared" ref="AH38:AH44" si="39">AH37+6</f>
        <v>22.134999999999998</v>
      </c>
      <c r="AI38" s="27">
        <f t="shared" si="28"/>
        <v>32.401655699999999</v>
      </c>
      <c r="AJ38" s="27">
        <f t="shared" si="33"/>
        <v>5.0000000000000001E-3</v>
      </c>
      <c r="AK38" s="27">
        <f t="shared" si="29"/>
        <v>7.3191000000000011E-3</v>
      </c>
      <c r="AM38" s="25">
        <v>11</v>
      </c>
      <c r="AN38" s="27">
        <v>2</v>
      </c>
      <c r="AO38" s="27">
        <v>5.5</v>
      </c>
      <c r="AP38" s="27">
        <f t="shared" si="32"/>
        <v>11</v>
      </c>
    </row>
    <row r="39" spans="1:44" s="27" customFormat="1">
      <c r="A39" s="25">
        <v>25</v>
      </c>
      <c r="B39" s="23" t="s">
        <v>225</v>
      </c>
      <c r="D39" s="29"/>
      <c r="E39" s="25"/>
      <c r="G39" s="27">
        <v>9.3000000000000007</v>
      </c>
      <c r="H39" s="27">
        <v>979.48</v>
      </c>
      <c r="K39" s="27">
        <f>H39*G39/1000</f>
        <v>9.1091639999999998</v>
      </c>
      <c r="L39" s="27">
        <f t="shared" si="36"/>
        <v>9.1091639999999998</v>
      </c>
      <c r="M39" s="27">
        <v>31.5</v>
      </c>
      <c r="N39" s="27">
        <f t="shared" si="37"/>
        <v>286.93866600000001</v>
      </c>
      <c r="O39" s="27">
        <v>5</v>
      </c>
      <c r="P39" s="27">
        <f t="shared" si="38"/>
        <v>45.545819999999999</v>
      </c>
      <c r="AB39" s="25">
        <v>13</v>
      </c>
      <c r="AC39" s="27" t="s">
        <v>223</v>
      </c>
      <c r="AE39" s="27">
        <f t="shared" si="25"/>
        <v>9.3000000000000013E-2</v>
      </c>
      <c r="AF39" s="27">
        <f t="shared" si="26"/>
        <v>0.73191000000000006</v>
      </c>
      <c r="AG39" s="27">
        <f t="shared" si="27"/>
        <v>1.4638200000000001</v>
      </c>
      <c r="AH39" s="27">
        <f t="shared" si="39"/>
        <v>28.134999999999998</v>
      </c>
      <c r="AI39" s="27">
        <f t="shared" si="28"/>
        <v>41.184575700000003</v>
      </c>
      <c r="AJ39" s="27">
        <f t="shared" si="33"/>
        <v>5.0000000000000001E-3</v>
      </c>
      <c r="AK39" s="27">
        <f t="shared" si="29"/>
        <v>7.3191000000000011E-3</v>
      </c>
      <c r="AM39" s="25">
        <v>12</v>
      </c>
      <c r="AN39" s="27">
        <v>4</v>
      </c>
      <c r="AO39" s="27">
        <v>5.5</v>
      </c>
      <c r="AP39" s="27">
        <f t="shared" si="32"/>
        <v>22</v>
      </c>
    </row>
    <row r="40" spans="1:44" s="27" customFormat="1">
      <c r="A40" s="25">
        <v>26</v>
      </c>
      <c r="B40" s="23" t="s">
        <v>225</v>
      </c>
      <c r="D40" s="29"/>
      <c r="E40" s="25"/>
      <c r="G40" s="27">
        <v>9.3000000000000007</v>
      </c>
      <c r="H40" s="27">
        <v>215.73</v>
      </c>
      <c r="K40" s="27">
        <f>H40*G40/1000</f>
        <v>2.0062889999999998</v>
      </c>
      <c r="L40" s="27">
        <f>K40</f>
        <v>2.0062889999999998</v>
      </c>
      <c r="M40" s="27">
        <v>6.63</v>
      </c>
      <c r="N40" s="27">
        <f>L40*M40</f>
        <v>13.301696069999998</v>
      </c>
      <c r="O40" s="27">
        <v>7.32</v>
      </c>
      <c r="P40" s="27">
        <f>L40*O40</f>
        <v>14.686035479999999</v>
      </c>
      <c r="AB40" s="25">
        <v>14</v>
      </c>
      <c r="AC40" s="27" t="s">
        <v>223</v>
      </c>
      <c r="AE40" s="27">
        <f t="shared" si="25"/>
        <v>9.3000000000000013E-2</v>
      </c>
      <c r="AF40" s="27">
        <f t="shared" si="26"/>
        <v>0.73191000000000006</v>
      </c>
      <c r="AG40" s="27">
        <f t="shared" si="27"/>
        <v>1.4638200000000001</v>
      </c>
      <c r="AH40" s="27">
        <f t="shared" si="39"/>
        <v>34.134999999999998</v>
      </c>
      <c r="AI40" s="27">
        <f t="shared" si="28"/>
        <v>49.967495700000001</v>
      </c>
      <c r="AJ40" s="27">
        <f t="shared" si="33"/>
        <v>5.0000000000000001E-3</v>
      </c>
      <c r="AK40" s="27">
        <f t="shared" si="29"/>
        <v>7.3191000000000011E-3</v>
      </c>
      <c r="AM40" s="25">
        <v>13</v>
      </c>
      <c r="AN40" s="27">
        <v>2</v>
      </c>
      <c r="AO40" s="27">
        <v>5.5</v>
      </c>
      <c r="AP40" s="27">
        <f t="shared" si="32"/>
        <v>11</v>
      </c>
    </row>
    <row r="41" spans="1:44" s="27" customFormat="1">
      <c r="A41" s="25"/>
      <c r="B41" s="23"/>
      <c r="D41" s="29"/>
      <c r="E41" s="25"/>
      <c r="G41" s="27">
        <v>9.3000000000000007</v>
      </c>
      <c r="H41" s="27">
        <v>83.2</v>
      </c>
      <c r="K41" s="27">
        <f>H41*G41/1000</f>
        <v>0.77376000000000011</v>
      </c>
      <c r="L41" s="27">
        <f>K41</f>
        <v>0.77376000000000011</v>
      </c>
      <c r="M41" s="27">
        <v>8</v>
      </c>
      <c r="N41" s="27">
        <f>L41*M41</f>
        <v>6.1900800000000009</v>
      </c>
      <c r="O41" s="27">
        <v>9.52</v>
      </c>
      <c r="P41" s="27">
        <f>L41*O41</f>
        <v>7.3661952000000008</v>
      </c>
      <c r="AB41" s="25">
        <v>15</v>
      </c>
      <c r="AC41" s="27" t="s">
        <v>223</v>
      </c>
      <c r="AE41" s="27">
        <f t="shared" si="25"/>
        <v>9.3000000000000013E-2</v>
      </c>
      <c r="AF41" s="27">
        <f t="shared" si="26"/>
        <v>0.73191000000000006</v>
      </c>
      <c r="AG41" s="27">
        <f t="shared" si="27"/>
        <v>1.4638200000000001</v>
      </c>
      <c r="AH41" s="27">
        <f t="shared" si="39"/>
        <v>40.134999999999998</v>
      </c>
      <c r="AI41" s="27">
        <f t="shared" si="28"/>
        <v>58.750415700000005</v>
      </c>
      <c r="AJ41" s="27">
        <f t="shared" si="33"/>
        <v>5.0000000000000001E-3</v>
      </c>
      <c r="AK41" s="27">
        <f t="shared" si="29"/>
        <v>7.3191000000000011E-3</v>
      </c>
      <c r="AM41" s="25">
        <v>14</v>
      </c>
      <c r="AN41" s="27">
        <v>4</v>
      </c>
      <c r="AO41" s="27">
        <v>5.5</v>
      </c>
      <c r="AP41" s="27">
        <f t="shared" si="32"/>
        <v>22</v>
      </c>
    </row>
    <row r="42" spans="1:44" s="27" customFormat="1">
      <c r="A42" s="25">
        <v>27</v>
      </c>
      <c r="B42" s="23" t="s">
        <v>256</v>
      </c>
      <c r="D42" s="29"/>
      <c r="E42" s="25"/>
      <c r="G42" s="27">
        <f>1.21*0.009</f>
        <v>1.0889999999999999E-2</v>
      </c>
      <c r="H42" s="27">
        <v>9</v>
      </c>
      <c r="I42" s="27">
        <f>H42*G42</f>
        <v>9.8009999999999986E-2</v>
      </c>
      <c r="J42" s="27">
        <v>7.87</v>
      </c>
      <c r="L42" s="27">
        <f>J42*I42*4</f>
        <v>3.0853547999999997</v>
      </c>
      <c r="M42" s="27">
        <f>3.88+4.5</f>
        <v>8.379999999999999</v>
      </c>
      <c r="N42" s="27">
        <f>L42*M42</f>
        <v>25.855273223999994</v>
      </c>
      <c r="O42" s="27">
        <f>1.21/2</f>
        <v>0.60499999999999998</v>
      </c>
      <c r="P42" s="27">
        <f>L42*O42</f>
        <v>1.8666396539999999</v>
      </c>
      <c r="AB42" s="25">
        <v>16</v>
      </c>
      <c r="AC42" s="27" t="s">
        <v>223</v>
      </c>
      <c r="AE42" s="27">
        <f t="shared" si="25"/>
        <v>9.3000000000000013E-2</v>
      </c>
      <c r="AF42" s="27">
        <f t="shared" si="26"/>
        <v>0.73191000000000006</v>
      </c>
      <c r="AG42" s="27">
        <f t="shared" si="27"/>
        <v>1.4638200000000001</v>
      </c>
      <c r="AH42" s="27">
        <f t="shared" si="39"/>
        <v>46.134999999999998</v>
      </c>
      <c r="AI42" s="27">
        <f t="shared" si="28"/>
        <v>67.533335700000009</v>
      </c>
      <c r="AJ42" s="27">
        <f t="shared" si="33"/>
        <v>5.0000000000000001E-3</v>
      </c>
      <c r="AK42" s="27">
        <f t="shared" si="29"/>
        <v>7.3191000000000011E-3</v>
      </c>
      <c r="AM42" s="25">
        <v>15</v>
      </c>
      <c r="AN42" s="27">
        <v>2</v>
      </c>
      <c r="AO42" s="27">
        <v>5.49</v>
      </c>
      <c r="AP42" s="27">
        <f t="shared" si="32"/>
        <v>10.98</v>
      </c>
      <c r="AR42" s="27">
        <f>(AR54*AS57+AG46*AG51)/(AG46+AR54)</f>
        <v>0.47633336274314853</v>
      </c>
    </row>
    <row r="43" spans="1:44" s="27" customFormat="1">
      <c r="A43" s="25">
        <v>28</v>
      </c>
      <c r="B43" s="43" t="s">
        <v>226</v>
      </c>
      <c r="E43" s="25"/>
      <c r="G43" s="27">
        <f>0.26*0.023</f>
        <v>5.9800000000000001E-3</v>
      </c>
      <c r="H43" s="27">
        <v>4.4000000000000004</v>
      </c>
      <c r="I43" s="27">
        <f>H43*G43</f>
        <v>2.6312000000000002E-2</v>
      </c>
      <c r="J43" s="27">
        <v>7.87</v>
      </c>
      <c r="L43" s="27">
        <f>J43*I43*4</f>
        <v>0.82830176000000011</v>
      </c>
      <c r="M43" s="27">
        <v>10.130000000000001</v>
      </c>
      <c r="N43" s="27">
        <f>L43*M43</f>
        <v>8.3906968288000012</v>
      </c>
      <c r="O43" s="27">
        <v>1.21</v>
      </c>
      <c r="P43" s="27">
        <f>L43*O43</f>
        <v>1.0022451296000001</v>
      </c>
      <c r="AB43" s="25">
        <v>17</v>
      </c>
      <c r="AC43" s="27" t="s">
        <v>223</v>
      </c>
      <c r="AE43" s="27">
        <f t="shared" si="25"/>
        <v>9.3000000000000013E-2</v>
      </c>
      <c r="AF43" s="27">
        <f t="shared" si="26"/>
        <v>0.73191000000000006</v>
      </c>
      <c r="AG43" s="27">
        <f t="shared" si="27"/>
        <v>1.4638200000000001</v>
      </c>
      <c r="AH43" s="27">
        <f t="shared" si="39"/>
        <v>52.134999999999998</v>
      </c>
      <c r="AI43" s="27">
        <f t="shared" si="28"/>
        <v>76.316255699999999</v>
      </c>
      <c r="AJ43" s="27">
        <f t="shared" si="33"/>
        <v>5.0000000000000001E-3</v>
      </c>
      <c r="AK43" s="27">
        <f t="shared" si="29"/>
        <v>7.3191000000000011E-3</v>
      </c>
      <c r="AM43" s="25">
        <v>16</v>
      </c>
      <c r="AN43" s="27">
        <v>4</v>
      </c>
      <c r="AO43" s="27">
        <v>5.35</v>
      </c>
      <c r="AP43" s="27">
        <f t="shared" si="32"/>
        <v>21.4</v>
      </c>
    </row>
    <row r="44" spans="1:44" s="27" customFormat="1">
      <c r="A44" s="25"/>
      <c r="B44" s="43"/>
      <c r="E44" s="25"/>
      <c r="AB44" s="25">
        <v>18</v>
      </c>
      <c r="AC44" s="27" t="s">
        <v>227</v>
      </c>
      <c r="AE44" s="27">
        <f t="shared" si="25"/>
        <v>9.3000000000000013E-2</v>
      </c>
      <c r="AF44" s="27">
        <f t="shared" si="26"/>
        <v>0.73191000000000006</v>
      </c>
      <c r="AG44" s="27">
        <f t="shared" si="27"/>
        <v>1.4638200000000001</v>
      </c>
      <c r="AH44" s="27">
        <f t="shared" si="39"/>
        <v>58.134999999999998</v>
      </c>
      <c r="AI44" s="27">
        <f t="shared" si="28"/>
        <v>85.099175700000004</v>
      </c>
      <c r="AJ44" s="27">
        <f t="shared" si="33"/>
        <v>5.0000000000000001E-3</v>
      </c>
      <c r="AK44" s="27">
        <f t="shared" si="29"/>
        <v>7.3191000000000011E-3</v>
      </c>
      <c r="AM44" s="25">
        <v>17</v>
      </c>
      <c r="AN44" s="27">
        <v>2</v>
      </c>
      <c r="AO44" s="27">
        <v>4.93</v>
      </c>
      <c r="AP44" s="27">
        <f t="shared" si="32"/>
        <v>9.86</v>
      </c>
    </row>
    <row r="45" spans="1:44" s="27" customFormat="1" ht="18" customHeight="1">
      <c r="A45" s="37">
        <v>29</v>
      </c>
      <c r="B45" s="27" t="s">
        <v>228</v>
      </c>
      <c r="E45" s="25"/>
      <c r="G45" s="27">
        <f>10.5*7.27</f>
        <v>76.334999999999994</v>
      </c>
      <c r="H45" s="27">
        <v>8.0000000000000002E-3</v>
      </c>
      <c r="I45" s="27">
        <f>G45*H45</f>
        <v>0.61068</v>
      </c>
      <c r="J45" s="27">
        <v>7.87</v>
      </c>
      <c r="L45" s="28">
        <f>J45*I45</f>
        <v>4.8060516</v>
      </c>
      <c r="M45" s="28">
        <v>21.11</v>
      </c>
      <c r="N45" s="28">
        <f>M45*L45</f>
        <v>101.45574927599999</v>
      </c>
      <c r="O45" s="28">
        <v>5</v>
      </c>
      <c r="P45" s="28">
        <f>O45*L45</f>
        <v>24.030258</v>
      </c>
      <c r="AB45" s="25"/>
      <c r="AM45" s="25">
        <v>18</v>
      </c>
      <c r="AN45" s="27">
        <v>4</v>
      </c>
      <c r="AO45" s="27">
        <v>4.09</v>
      </c>
      <c r="AP45" s="27">
        <f t="shared" si="32"/>
        <v>16.36</v>
      </c>
    </row>
    <row r="46" spans="1:44" s="27" customFormat="1">
      <c r="A46" s="37"/>
      <c r="B46" s="27" t="s">
        <v>229</v>
      </c>
      <c r="E46" s="25"/>
      <c r="G46" s="27">
        <f t="shared" ref="G46:G47" si="40">10.5*7.27</f>
        <v>76.334999999999994</v>
      </c>
      <c r="H46" s="27">
        <v>8.0000000000000002E-3</v>
      </c>
      <c r="I46" s="27">
        <f t="shared" ref="I46:I47" si="41">G46*H46</f>
        <v>0.61068</v>
      </c>
      <c r="J46" s="27">
        <v>7.87</v>
      </c>
      <c r="L46" s="28"/>
      <c r="M46" s="28"/>
      <c r="N46" s="28"/>
      <c r="O46" s="28"/>
      <c r="P46" s="28"/>
      <c r="AB46" s="25"/>
      <c r="AG46" s="27">
        <f>SUM(AG27:AG44)</f>
        <v>26.348759999999992</v>
      </c>
      <c r="AI46" s="27">
        <f>SUM(AI27:AI44)</f>
        <v>840.80210598000019</v>
      </c>
      <c r="AK46" s="27">
        <f>SUM(AK27:AK44)</f>
        <v>3.8112017520000023</v>
      </c>
      <c r="AM46" s="25">
        <v>19</v>
      </c>
      <c r="AN46" s="27">
        <v>2</v>
      </c>
      <c r="AO46" s="27">
        <v>2.92</v>
      </c>
      <c r="AP46" s="27">
        <f t="shared" si="32"/>
        <v>5.84</v>
      </c>
    </row>
    <row r="47" spans="1:44" s="27" customFormat="1">
      <c r="A47" s="25"/>
      <c r="B47" s="27" t="s">
        <v>230</v>
      </c>
      <c r="E47" s="25"/>
      <c r="G47" s="27">
        <f t="shared" si="40"/>
        <v>76.334999999999994</v>
      </c>
      <c r="H47" s="27">
        <v>8.0000000000000002E-3</v>
      </c>
      <c r="I47" s="27">
        <f t="shared" si="41"/>
        <v>0.61068</v>
      </c>
      <c r="J47" s="27">
        <v>7.87</v>
      </c>
      <c r="L47" s="27">
        <f>J46*I46</f>
        <v>4.8060516</v>
      </c>
      <c r="M47" s="27">
        <v>37.47</v>
      </c>
      <c r="N47" s="27">
        <f>M47*L47</f>
        <v>180.08275345199999</v>
      </c>
      <c r="O47" s="27">
        <v>5</v>
      </c>
      <c r="P47" s="27">
        <f>O47*L47</f>
        <v>24.030258</v>
      </c>
      <c r="AB47" s="25"/>
      <c r="AM47" s="25"/>
    </row>
    <row r="48" spans="1:44" s="27" customFormat="1">
      <c r="A48" s="25"/>
      <c r="E48" s="25"/>
      <c r="L48" s="27">
        <f>J47*I47</f>
        <v>4.8060516</v>
      </c>
      <c r="M48" s="27">
        <v>52.66</v>
      </c>
      <c r="N48" s="27">
        <f>M48*L48</f>
        <v>253.08667725599997</v>
      </c>
      <c r="O48" s="27">
        <v>5</v>
      </c>
      <c r="P48" s="27">
        <f>O48*L48</f>
        <v>24.030258</v>
      </c>
      <c r="AB48" s="25"/>
      <c r="AM48" s="25"/>
    </row>
    <row r="49" spans="1:45" s="27" customFormat="1">
      <c r="A49" s="37"/>
      <c r="B49" s="11" t="s">
        <v>267</v>
      </c>
      <c r="E49" s="25"/>
      <c r="AB49" s="25"/>
      <c r="AM49" s="25">
        <v>20</v>
      </c>
      <c r="AN49" s="27">
        <v>4</v>
      </c>
      <c r="AO49" s="27">
        <v>1.5249999999999999</v>
      </c>
      <c r="AP49" s="27">
        <f t="shared" si="32"/>
        <v>6.1</v>
      </c>
    </row>
    <row r="50" spans="1:45" s="27" customFormat="1">
      <c r="A50" s="37"/>
      <c r="B50" s="27" t="s">
        <v>231</v>
      </c>
      <c r="E50" s="25"/>
      <c r="G50" s="27">
        <f>3.36*5.02*2</f>
        <v>33.734399999999994</v>
      </c>
      <c r="H50" s="27">
        <v>8.9999999999999993E-3</v>
      </c>
      <c r="I50" s="27">
        <f>G50*H50</f>
        <v>0.30360959999999992</v>
      </c>
      <c r="J50" s="27">
        <v>7.87</v>
      </c>
      <c r="K50" s="27">
        <f>I50*J50</f>
        <v>2.3894075519999993</v>
      </c>
      <c r="L50" s="27">
        <f>K50</f>
        <v>2.3894075519999993</v>
      </c>
      <c r="M50" s="27">
        <v>3.88</v>
      </c>
      <c r="N50" s="27">
        <f>L50*M50</f>
        <v>9.2709013017599968</v>
      </c>
      <c r="O50" s="27">
        <v>3.45</v>
      </c>
      <c r="P50" s="27">
        <f>O50*L50</f>
        <v>8.2434560543999975</v>
      </c>
      <c r="AB50" s="25"/>
      <c r="AF50" s="49" t="s">
        <v>4</v>
      </c>
      <c r="AG50" s="27">
        <f>AI46/AG46</f>
        <v>31.910500000000017</v>
      </c>
      <c r="AH50" s="27" t="s">
        <v>178</v>
      </c>
      <c r="AM50" s="25">
        <v>21</v>
      </c>
      <c r="AN50" s="27">
        <v>1</v>
      </c>
      <c r="AO50" s="27">
        <v>0</v>
      </c>
      <c r="AP50" s="27">
        <f t="shared" si="32"/>
        <v>0</v>
      </c>
    </row>
    <row r="51" spans="1:45" s="27" customFormat="1">
      <c r="A51" s="37"/>
      <c r="B51" s="27" t="s">
        <v>232</v>
      </c>
      <c r="D51" s="29" t="s">
        <v>263</v>
      </c>
      <c r="E51" s="25"/>
      <c r="G51" s="27">
        <f>0.001106</f>
        <v>1.106E-3</v>
      </c>
      <c r="H51" s="27">
        <f>8*3.36</f>
        <v>26.88</v>
      </c>
      <c r="I51" s="27">
        <f>G51*H51</f>
        <v>2.972928E-2</v>
      </c>
      <c r="J51" s="27">
        <v>7.87</v>
      </c>
      <c r="K51" s="27">
        <f>I51*J51</f>
        <v>0.2339694336</v>
      </c>
      <c r="L51" s="27">
        <f>K51</f>
        <v>0.2339694336</v>
      </c>
      <c r="M51" s="27">
        <v>3.88</v>
      </c>
      <c r="N51" s="27">
        <f>L51*M51</f>
        <v>0.907801402368</v>
      </c>
      <c r="O51" s="27">
        <v>3.45</v>
      </c>
      <c r="P51" s="27">
        <f>O51*L51</f>
        <v>0.80719454592000006</v>
      </c>
      <c r="AB51" s="25"/>
      <c r="AF51" s="49" t="s">
        <v>5</v>
      </c>
      <c r="AG51" s="27">
        <f>AK46/AG46</f>
        <v>0.14464444444444458</v>
      </c>
      <c r="AH51" s="27" t="s">
        <v>178</v>
      </c>
    </row>
    <row r="52" spans="1:45" s="27" customFormat="1">
      <c r="A52" s="37"/>
      <c r="B52" s="27" t="s">
        <v>233</v>
      </c>
      <c r="D52" s="29" t="s">
        <v>264</v>
      </c>
      <c r="E52" s="25"/>
      <c r="G52" s="27">
        <f>(65*6.5+(365-6.5)*6.5)*10^-6</f>
        <v>2.75275E-3</v>
      </c>
      <c r="H52" s="27">
        <f>5.02*2</f>
        <v>10.039999999999999</v>
      </c>
      <c r="I52" s="27">
        <f t="shared" ref="I52" si="42">G52*H52</f>
        <v>2.7637609999999996E-2</v>
      </c>
      <c r="J52" s="27">
        <v>7.87</v>
      </c>
      <c r="K52" s="27">
        <f t="shared" ref="K52" si="43">I52*J52</f>
        <v>0.21750799069999999</v>
      </c>
      <c r="L52" s="27">
        <f t="shared" ref="L52" si="44">K52</f>
        <v>0.21750799069999999</v>
      </c>
      <c r="M52" s="27">
        <v>3.88</v>
      </c>
      <c r="N52" s="27">
        <f t="shared" ref="N52" si="45">L52*M52</f>
        <v>0.84393100391599996</v>
      </c>
      <c r="O52" s="27">
        <v>3.45</v>
      </c>
      <c r="P52" s="27">
        <f t="shared" ref="P52" si="46">O52*L52</f>
        <v>0.75040256791500004</v>
      </c>
      <c r="AB52" s="25"/>
      <c r="AP52" s="27">
        <f>SUM(AP28:AP50)</f>
        <v>288.17400000000004</v>
      </c>
    </row>
    <row r="53" spans="1:45" s="27" customFormat="1">
      <c r="A53" s="25"/>
      <c r="D53" s="45"/>
      <c r="E53" s="25"/>
      <c r="AB53" s="25"/>
      <c r="AP53" s="27">
        <f>(2/3)*AP52*3.325</f>
        <v>638.78570000000013</v>
      </c>
      <c r="AR53" s="27">
        <f>AP53*0.008*7.87</f>
        <v>40.217947672000008</v>
      </c>
    </row>
    <row r="54" spans="1:45" s="27" customFormat="1">
      <c r="A54" s="25"/>
      <c r="D54" s="29"/>
      <c r="E54" s="25"/>
      <c r="AA54" s="13" t="s">
        <v>285</v>
      </c>
      <c r="AB54" s="25"/>
      <c r="AR54" s="27">
        <f>AR53-AG68</f>
        <v>23.388739672000007</v>
      </c>
      <c r="AS54" s="27" t="s">
        <v>184</v>
      </c>
    </row>
    <row r="55" spans="1:45" s="27" customFormat="1">
      <c r="A55" s="25"/>
      <c r="B55" s="11" t="s">
        <v>266</v>
      </c>
      <c r="D55" s="29"/>
      <c r="E55" s="25"/>
      <c r="AB55" s="25"/>
    </row>
    <row r="56" spans="1:45" s="27" customFormat="1">
      <c r="A56" s="37"/>
      <c r="B56" s="27" t="s">
        <v>231</v>
      </c>
      <c r="D56" s="29"/>
      <c r="E56" s="25"/>
      <c r="G56" s="27">
        <v>80.3</v>
      </c>
      <c r="H56" s="27">
        <v>8.9999999999999993E-3</v>
      </c>
      <c r="I56" s="27">
        <f>G56*H56</f>
        <v>0.7226999999999999</v>
      </c>
      <c r="J56" s="27">
        <v>7.87</v>
      </c>
      <c r="K56" s="27">
        <f>I56*J56</f>
        <v>5.6876489999999995</v>
      </c>
      <c r="L56" s="27">
        <f>K56</f>
        <v>5.6876489999999995</v>
      </c>
      <c r="M56" s="27">
        <v>12.88</v>
      </c>
      <c r="N56" s="27">
        <f>L56*M56</f>
        <v>73.256919119999992</v>
      </c>
      <c r="O56" s="27">
        <f>3.65</f>
        <v>3.65</v>
      </c>
      <c r="P56" s="27">
        <f>O56*L56</f>
        <v>20.759918849999998</v>
      </c>
      <c r="AB56" s="25">
        <v>1</v>
      </c>
      <c r="AE56" s="27">
        <f>6*1.8*0.009</f>
        <v>9.7199999999999995E-2</v>
      </c>
      <c r="AF56" s="27">
        <f>AE56*7.87</f>
        <v>0.76496399999999998</v>
      </c>
      <c r="AG56" s="27">
        <f>AF56*2</f>
        <v>1.529928</v>
      </c>
      <c r="AH56" s="27">
        <v>3</v>
      </c>
      <c r="AI56" s="27">
        <f>AH56*AG56</f>
        <v>4.5897839999999999</v>
      </c>
      <c r="AJ56" s="27">
        <v>0.7</v>
      </c>
      <c r="AK56" s="27">
        <f>AJ56*AG56</f>
        <v>1.0709495999999998</v>
      </c>
      <c r="AR56" s="49" t="s">
        <v>4</v>
      </c>
      <c r="AS56" s="27">
        <f>AG50</f>
        <v>31.910500000000017</v>
      </c>
    </row>
    <row r="57" spans="1:45" s="27" customFormat="1">
      <c r="A57" s="37"/>
      <c r="B57" s="27" t="s">
        <v>232</v>
      </c>
      <c r="D57" s="29" t="s">
        <v>234</v>
      </c>
      <c r="E57" s="25"/>
      <c r="G57" s="27">
        <v>1.1360000000000001E-3</v>
      </c>
      <c r="H57" s="27">
        <v>131.4</v>
      </c>
      <c r="I57" s="27">
        <f t="shared" ref="I57:I76" si="47">G57*H57</f>
        <v>0.14927040000000003</v>
      </c>
      <c r="J57" s="27">
        <v>7.87</v>
      </c>
      <c r="K57" s="27">
        <f t="shared" ref="K57:K76" si="48">I57*J57</f>
        <v>1.1747580480000002</v>
      </c>
      <c r="L57" s="27">
        <f t="shared" ref="L57:L76" si="49">K57</f>
        <v>1.1747580480000002</v>
      </c>
      <c r="M57" s="27">
        <v>12.88</v>
      </c>
      <c r="N57" s="27">
        <f t="shared" ref="N57:N76" si="50">L57*M57</f>
        <v>15.130883658240004</v>
      </c>
      <c r="O57" s="27">
        <f t="shared" ref="O57:O58" si="51">3.65</f>
        <v>3.65</v>
      </c>
      <c r="P57" s="27">
        <f t="shared" ref="P57:P76" si="52">O57*L57</f>
        <v>4.2878668752000006</v>
      </c>
      <c r="AB57" s="25">
        <v>2</v>
      </c>
      <c r="AE57" s="27">
        <f t="shared" ref="AE57:AE66" si="53">6*1.8*0.009</f>
        <v>9.7199999999999995E-2</v>
      </c>
      <c r="AF57" s="27">
        <f t="shared" ref="AF57:AF66" si="54">AE57*7.87</f>
        <v>0.76496399999999998</v>
      </c>
      <c r="AG57" s="27">
        <f t="shared" ref="AG57:AG66" si="55">AF57*2</f>
        <v>1.529928</v>
      </c>
      <c r="AH57" s="27">
        <f>AH56+6</f>
        <v>9</v>
      </c>
      <c r="AI57" s="27">
        <f t="shared" ref="AI57:AI66" si="56">AH57*AG57</f>
        <v>13.769352</v>
      </c>
      <c r="AJ57" s="27">
        <v>0.626</v>
      </c>
      <c r="AK57" s="27">
        <f t="shared" ref="AK57:AK66" si="57">AJ57*AG57</f>
        <v>0.95773492799999993</v>
      </c>
      <c r="AR57" s="49" t="s">
        <v>5</v>
      </c>
      <c r="AS57" s="27">
        <f>0.85</f>
        <v>0.85</v>
      </c>
    </row>
    <row r="58" spans="1:45" s="27" customFormat="1">
      <c r="A58" s="37"/>
      <c r="B58" s="27" t="s">
        <v>233</v>
      </c>
      <c r="D58" s="29" t="s">
        <v>264</v>
      </c>
      <c r="E58" s="25"/>
      <c r="G58" s="27">
        <f>(65*6.5+(365-6.5)*6.5)*10^-6</f>
        <v>2.75275E-3</v>
      </c>
      <c r="H58" s="27">
        <f>10*4</f>
        <v>40</v>
      </c>
      <c r="I58" s="27">
        <f t="shared" si="47"/>
        <v>0.11011</v>
      </c>
      <c r="J58" s="27">
        <v>7.87</v>
      </c>
      <c r="K58" s="27">
        <f t="shared" si="48"/>
        <v>0.86656569999999999</v>
      </c>
      <c r="L58" s="27">
        <f t="shared" si="49"/>
        <v>0.86656569999999999</v>
      </c>
      <c r="M58" s="27">
        <v>12.88</v>
      </c>
      <c r="N58" s="27">
        <f t="shared" si="50"/>
        <v>11.161366216000001</v>
      </c>
      <c r="O58" s="27">
        <f t="shared" si="51"/>
        <v>3.65</v>
      </c>
      <c r="P58" s="27">
        <f t="shared" si="52"/>
        <v>3.1629648050000001</v>
      </c>
      <c r="AB58" s="25">
        <v>3</v>
      </c>
      <c r="AE58" s="27">
        <f t="shared" si="53"/>
        <v>9.7199999999999995E-2</v>
      </c>
      <c r="AF58" s="27">
        <f t="shared" si="54"/>
        <v>0.76496399999999998</v>
      </c>
      <c r="AG58" s="27">
        <f t="shared" si="55"/>
        <v>1.529928</v>
      </c>
      <c r="AH58" s="27">
        <f t="shared" ref="AH58:AH66" si="58">AH57+6</f>
        <v>15</v>
      </c>
      <c r="AI58" s="27">
        <f t="shared" si="56"/>
        <v>22.948920000000001</v>
      </c>
      <c r="AJ58" s="27">
        <v>0.626</v>
      </c>
      <c r="AK58" s="27">
        <f t="shared" si="57"/>
        <v>0.95773492799999993</v>
      </c>
    </row>
    <row r="59" spans="1:45" s="27" customFormat="1">
      <c r="A59" s="25"/>
      <c r="D59" s="45"/>
      <c r="E59" s="25"/>
      <c r="AB59" s="25">
        <v>4</v>
      </c>
      <c r="AE59" s="27">
        <f t="shared" si="53"/>
        <v>9.7199999999999995E-2</v>
      </c>
      <c r="AF59" s="27">
        <f t="shared" si="54"/>
        <v>0.76496399999999998</v>
      </c>
      <c r="AG59" s="27">
        <f t="shared" si="55"/>
        <v>1.529928</v>
      </c>
      <c r="AH59" s="27">
        <f t="shared" si="58"/>
        <v>21</v>
      </c>
      <c r="AI59" s="27">
        <f t="shared" si="56"/>
        <v>32.128487999999997</v>
      </c>
      <c r="AJ59" s="27">
        <v>0.626</v>
      </c>
      <c r="AK59" s="27">
        <f t="shared" si="57"/>
        <v>0.95773492799999993</v>
      </c>
    </row>
    <row r="60" spans="1:45" s="27" customFormat="1">
      <c r="A60" s="25"/>
      <c r="D60" s="29"/>
      <c r="E60" s="25"/>
      <c r="AB60" s="25">
        <v>5</v>
      </c>
      <c r="AE60" s="27">
        <f t="shared" si="53"/>
        <v>9.7199999999999995E-2</v>
      </c>
      <c r="AF60" s="27">
        <f t="shared" si="54"/>
        <v>0.76496399999999998</v>
      </c>
      <c r="AG60" s="27">
        <f t="shared" si="55"/>
        <v>1.529928</v>
      </c>
      <c r="AH60" s="27">
        <f t="shared" si="58"/>
        <v>27</v>
      </c>
      <c r="AI60" s="27">
        <f t="shared" si="56"/>
        <v>41.308056000000001</v>
      </c>
      <c r="AJ60" s="27">
        <v>0.626</v>
      </c>
      <c r="AK60" s="27">
        <f t="shared" si="57"/>
        <v>0.95773492799999993</v>
      </c>
    </row>
    <row r="61" spans="1:45" s="27" customFormat="1">
      <c r="A61" s="37"/>
      <c r="B61" s="11" t="s">
        <v>268</v>
      </c>
      <c r="D61" s="29"/>
      <c r="E61" s="25"/>
      <c r="AB61" s="25">
        <v>6</v>
      </c>
      <c r="AE61" s="27">
        <f t="shared" si="53"/>
        <v>9.7199999999999995E-2</v>
      </c>
      <c r="AF61" s="27">
        <f t="shared" si="54"/>
        <v>0.76496399999999998</v>
      </c>
      <c r="AG61" s="27">
        <f t="shared" si="55"/>
        <v>1.529928</v>
      </c>
      <c r="AH61" s="27">
        <f t="shared" si="58"/>
        <v>33</v>
      </c>
      <c r="AI61" s="27">
        <f t="shared" si="56"/>
        <v>50.487623999999997</v>
      </c>
      <c r="AJ61" s="27">
        <v>0.626</v>
      </c>
      <c r="AK61" s="27">
        <f t="shared" si="57"/>
        <v>0.95773492799999993</v>
      </c>
    </row>
    <row r="62" spans="1:45" s="27" customFormat="1">
      <c r="A62" s="37"/>
      <c r="B62" s="27" t="s">
        <v>231</v>
      </c>
      <c r="D62" s="29"/>
      <c r="E62" s="25"/>
      <c r="G62" s="27">
        <f>5*11</f>
        <v>55</v>
      </c>
      <c r="H62" s="27">
        <v>8.9999999999999993E-3</v>
      </c>
      <c r="I62" s="27">
        <f t="shared" si="47"/>
        <v>0.49499999999999994</v>
      </c>
      <c r="J62" s="27">
        <v>7.87</v>
      </c>
      <c r="K62" s="27">
        <f t="shared" si="48"/>
        <v>3.8956499999999994</v>
      </c>
      <c r="L62" s="27">
        <f t="shared" si="49"/>
        <v>3.8956499999999994</v>
      </c>
      <c r="M62" s="27">
        <v>29.31</v>
      </c>
      <c r="N62" s="27">
        <f t="shared" si="50"/>
        <v>114.18150149999998</v>
      </c>
      <c r="O62" s="27">
        <v>2.2639999999999998</v>
      </c>
      <c r="P62" s="27">
        <f t="shared" si="52"/>
        <v>8.8197515999999982</v>
      </c>
      <c r="AB62" s="25">
        <v>7</v>
      </c>
      <c r="AE62" s="27">
        <f t="shared" si="53"/>
        <v>9.7199999999999995E-2</v>
      </c>
      <c r="AF62" s="27">
        <f t="shared" si="54"/>
        <v>0.76496399999999998</v>
      </c>
      <c r="AG62" s="27">
        <f t="shared" si="55"/>
        <v>1.529928</v>
      </c>
      <c r="AH62" s="27">
        <f t="shared" si="58"/>
        <v>39</v>
      </c>
      <c r="AI62" s="27">
        <f t="shared" si="56"/>
        <v>59.667192</v>
      </c>
      <c r="AJ62" s="27">
        <v>0.626</v>
      </c>
      <c r="AK62" s="27">
        <f t="shared" si="57"/>
        <v>0.95773492799999993</v>
      </c>
    </row>
    <row r="63" spans="1:45" s="27" customFormat="1">
      <c r="A63" s="25"/>
      <c r="B63" s="27" t="s">
        <v>232</v>
      </c>
      <c r="D63" s="29" t="s">
        <v>234</v>
      </c>
      <c r="E63" s="25"/>
      <c r="G63" s="27">
        <v>1.1360000000000001E-3</v>
      </c>
      <c r="H63" s="27">
        <f>18*5</f>
        <v>90</v>
      </c>
      <c r="I63" s="27">
        <f t="shared" si="47"/>
        <v>0.10224000000000001</v>
      </c>
      <c r="J63" s="27">
        <v>7.87</v>
      </c>
      <c r="K63" s="27">
        <f t="shared" si="48"/>
        <v>0.80462880000000014</v>
      </c>
      <c r="L63" s="27">
        <f t="shared" si="49"/>
        <v>0.80462880000000014</v>
      </c>
      <c r="M63" s="27">
        <v>29.31</v>
      </c>
      <c r="N63" s="27">
        <f t="shared" si="50"/>
        <v>23.583670128000005</v>
      </c>
      <c r="O63" s="27">
        <v>2.4279999999999999</v>
      </c>
      <c r="P63" s="27">
        <f t="shared" si="52"/>
        <v>1.9536387264000004</v>
      </c>
      <c r="AB63" s="25">
        <v>8</v>
      </c>
      <c r="AE63" s="27">
        <f t="shared" si="53"/>
        <v>9.7199999999999995E-2</v>
      </c>
      <c r="AF63" s="27">
        <f t="shared" si="54"/>
        <v>0.76496399999999998</v>
      </c>
      <c r="AG63" s="27">
        <f t="shared" si="55"/>
        <v>1.529928</v>
      </c>
      <c r="AH63" s="27">
        <f t="shared" si="58"/>
        <v>45</v>
      </c>
      <c r="AI63" s="27">
        <f t="shared" si="56"/>
        <v>68.846760000000003</v>
      </c>
      <c r="AJ63" s="27">
        <v>0.626</v>
      </c>
      <c r="AK63" s="27">
        <f t="shared" si="57"/>
        <v>0.95773492799999993</v>
      </c>
    </row>
    <row r="64" spans="1:45" s="27" customFormat="1">
      <c r="A64" s="25"/>
      <c r="B64" s="27" t="s">
        <v>233</v>
      </c>
      <c r="D64" s="29" t="s">
        <v>264</v>
      </c>
      <c r="E64" s="25"/>
      <c r="G64" s="27">
        <f>(65*6.5+(365-6.5)*6.5)*10^-6</f>
        <v>2.75275E-3</v>
      </c>
      <c r="H64" s="27">
        <f>11*2</f>
        <v>22</v>
      </c>
      <c r="I64" s="27">
        <f t="shared" si="47"/>
        <v>6.0560500000000003E-2</v>
      </c>
      <c r="J64" s="27">
        <v>7.87</v>
      </c>
      <c r="K64" s="27">
        <f t="shared" si="48"/>
        <v>0.47661113500000002</v>
      </c>
      <c r="L64" s="27">
        <f t="shared" si="49"/>
        <v>0.47661113500000002</v>
      </c>
      <c r="M64" s="27">
        <v>29.31</v>
      </c>
      <c r="N64" s="27">
        <f t="shared" si="50"/>
        <v>13.969472366850001</v>
      </c>
      <c r="O64" s="27">
        <v>2.4279999999999999</v>
      </c>
      <c r="P64" s="27">
        <f t="shared" si="52"/>
        <v>1.1572118357800001</v>
      </c>
      <c r="AB64" s="25">
        <v>9</v>
      </c>
      <c r="AE64" s="27">
        <f t="shared" si="53"/>
        <v>9.7199999999999995E-2</v>
      </c>
      <c r="AF64" s="27">
        <f t="shared" si="54"/>
        <v>0.76496399999999998</v>
      </c>
      <c r="AG64" s="27">
        <f t="shared" si="55"/>
        <v>1.529928</v>
      </c>
      <c r="AH64" s="27">
        <f t="shared" si="58"/>
        <v>51</v>
      </c>
      <c r="AI64" s="27">
        <f t="shared" si="56"/>
        <v>78.026327999999992</v>
      </c>
      <c r="AJ64" s="27">
        <v>0.626</v>
      </c>
      <c r="AK64" s="27">
        <f t="shared" si="57"/>
        <v>0.95773492799999993</v>
      </c>
    </row>
    <row r="65" spans="1:37" s="27" customFormat="1">
      <c r="A65" s="25"/>
      <c r="D65" s="45"/>
      <c r="E65" s="25"/>
      <c r="AB65" s="25">
        <v>10</v>
      </c>
      <c r="AE65" s="27">
        <f t="shared" si="53"/>
        <v>9.7199999999999995E-2</v>
      </c>
      <c r="AF65" s="27">
        <f t="shared" si="54"/>
        <v>0.76496399999999998</v>
      </c>
      <c r="AG65" s="27">
        <f t="shared" si="55"/>
        <v>1.529928</v>
      </c>
      <c r="AH65" s="27">
        <f t="shared" si="58"/>
        <v>57</v>
      </c>
      <c r="AI65" s="27">
        <f t="shared" si="56"/>
        <v>87.205895999999996</v>
      </c>
      <c r="AJ65" s="27">
        <v>0.626</v>
      </c>
      <c r="AK65" s="27">
        <f t="shared" si="57"/>
        <v>0.95773492799999993</v>
      </c>
    </row>
    <row r="66" spans="1:37" s="27" customFormat="1">
      <c r="A66" s="25"/>
      <c r="D66" s="29"/>
      <c r="E66" s="25"/>
      <c r="AB66" s="25">
        <v>11</v>
      </c>
      <c r="AE66" s="27">
        <f t="shared" si="53"/>
        <v>9.7199999999999995E-2</v>
      </c>
      <c r="AF66" s="27">
        <f t="shared" si="54"/>
        <v>0.76496399999999998</v>
      </c>
      <c r="AG66" s="27">
        <f t="shared" si="55"/>
        <v>1.529928</v>
      </c>
      <c r="AH66" s="27">
        <f t="shared" si="58"/>
        <v>63</v>
      </c>
      <c r="AI66" s="27">
        <f t="shared" si="56"/>
        <v>96.385463999999999</v>
      </c>
      <c r="AJ66" s="27">
        <v>0.626</v>
      </c>
      <c r="AK66" s="27">
        <f t="shared" si="57"/>
        <v>0.95773492799999993</v>
      </c>
    </row>
    <row r="67" spans="1:37" s="27" customFormat="1">
      <c r="A67" s="25"/>
      <c r="B67" s="11" t="s">
        <v>269</v>
      </c>
      <c r="D67" s="29"/>
      <c r="E67" s="25"/>
      <c r="AB67" s="25"/>
    </row>
    <row r="68" spans="1:37" s="27" customFormat="1">
      <c r="A68" s="25"/>
      <c r="B68" s="27" t="s">
        <v>231</v>
      </c>
      <c r="D68" s="29"/>
      <c r="E68" s="25"/>
      <c r="G68" s="27">
        <v>55</v>
      </c>
      <c r="H68" s="27">
        <v>8.9999999999999993E-3</v>
      </c>
      <c r="I68" s="27">
        <f t="shared" si="47"/>
        <v>0.49499999999999994</v>
      </c>
      <c r="J68" s="27">
        <v>7.87</v>
      </c>
      <c r="K68" s="27">
        <f t="shared" si="48"/>
        <v>3.8956499999999994</v>
      </c>
      <c r="L68" s="27">
        <f t="shared" si="49"/>
        <v>3.8956499999999994</v>
      </c>
      <c r="M68" s="27">
        <v>45.84</v>
      </c>
      <c r="N68" s="27">
        <f t="shared" si="50"/>
        <v>178.576596</v>
      </c>
      <c r="O68" s="27">
        <v>2.2639999999999998</v>
      </c>
      <c r="P68" s="27">
        <f t="shared" si="52"/>
        <v>8.8197515999999982</v>
      </c>
      <c r="AB68" s="25"/>
      <c r="AG68" s="27">
        <f>SUM(AG56:AG66)</f>
        <v>16.829208000000001</v>
      </c>
      <c r="AI68" s="27">
        <f>SUM(AI56:AI66)</f>
        <v>555.36386399999992</v>
      </c>
      <c r="AK68" s="27">
        <f>SUM(AK56:AK66)</f>
        <v>10.64829888</v>
      </c>
    </row>
    <row r="69" spans="1:37" s="27" customFormat="1">
      <c r="A69" s="25"/>
      <c r="B69" s="27" t="s">
        <v>232</v>
      </c>
      <c r="D69" s="29" t="s">
        <v>234</v>
      </c>
      <c r="E69" s="25"/>
      <c r="G69" s="27">
        <v>1.1360000000000001E-3</v>
      </c>
      <c r="H69" s="27">
        <f>18*5</f>
        <v>90</v>
      </c>
      <c r="I69" s="27">
        <f t="shared" si="47"/>
        <v>0.10224000000000001</v>
      </c>
      <c r="J69" s="27">
        <v>7.87</v>
      </c>
      <c r="K69" s="27">
        <f t="shared" si="48"/>
        <v>0.80462880000000014</v>
      </c>
      <c r="L69" s="27">
        <f t="shared" si="49"/>
        <v>0.80462880000000014</v>
      </c>
      <c r="M69" s="27">
        <v>45.84</v>
      </c>
      <c r="N69" s="27">
        <f t="shared" si="50"/>
        <v>36.884184192000006</v>
      </c>
      <c r="O69" s="27">
        <v>2.4279999999999999</v>
      </c>
      <c r="P69" s="27">
        <f t="shared" si="52"/>
        <v>1.9536387264000004</v>
      </c>
      <c r="AB69" s="25"/>
    </row>
    <row r="70" spans="1:37" s="27" customFormat="1">
      <c r="A70" s="37">
        <v>40</v>
      </c>
      <c r="B70" s="27" t="s">
        <v>233</v>
      </c>
      <c r="D70" s="29" t="s">
        <v>264</v>
      </c>
      <c r="E70" s="25"/>
      <c r="G70" s="27">
        <f>(65*6.5+(365-6.5)*6.5)*10^-6</f>
        <v>2.75275E-3</v>
      </c>
      <c r="H70" s="27">
        <v>22</v>
      </c>
      <c r="I70" s="27">
        <f t="shared" si="47"/>
        <v>6.0560500000000003E-2</v>
      </c>
      <c r="J70" s="27">
        <v>7.87</v>
      </c>
      <c r="K70" s="27">
        <f t="shared" si="48"/>
        <v>0.47661113500000002</v>
      </c>
      <c r="L70" s="27">
        <f t="shared" si="49"/>
        <v>0.47661113500000002</v>
      </c>
      <c r="M70" s="27">
        <v>45.84</v>
      </c>
      <c r="N70" s="27">
        <f t="shared" si="50"/>
        <v>21.847854428400002</v>
      </c>
      <c r="O70" s="27">
        <v>2.1440000000000001</v>
      </c>
      <c r="P70" s="27">
        <f t="shared" si="52"/>
        <v>1.02185427344</v>
      </c>
      <c r="AB70" s="25"/>
    </row>
    <row r="71" spans="1:37" s="27" customFormat="1">
      <c r="A71" s="37"/>
      <c r="D71" s="45"/>
      <c r="E71" s="25"/>
      <c r="AB71" s="25"/>
      <c r="AF71" s="49" t="s">
        <v>4</v>
      </c>
      <c r="AG71" s="27">
        <f>AI68/AG68</f>
        <v>32.999999999999993</v>
      </c>
      <c r="AH71" s="27" t="s">
        <v>178</v>
      </c>
    </row>
    <row r="72" spans="1:37" s="27" customFormat="1">
      <c r="A72" s="37"/>
      <c r="D72" s="29"/>
      <c r="E72" s="25"/>
      <c r="AB72" s="25"/>
      <c r="AF72" s="49" t="s">
        <v>5</v>
      </c>
      <c r="AG72" s="27">
        <f>AK68/AG68</f>
        <v>0.63272727272727269</v>
      </c>
      <c r="AH72" s="27" t="s">
        <v>178</v>
      </c>
    </row>
    <row r="73" spans="1:37" s="27" customFormat="1">
      <c r="A73" s="37"/>
      <c r="B73" s="11" t="s">
        <v>270</v>
      </c>
      <c r="D73" s="29"/>
      <c r="E73" s="25"/>
      <c r="AB73" s="25"/>
    </row>
    <row r="74" spans="1:37" s="27" customFormat="1">
      <c r="A74" s="37"/>
      <c r="B74" s="27" t="s">
        <v>231</v>
      </c>
      <c r="D74" s="29"/>
      <c r="E74" s="25"/>
      <c r="G74" s="27">
        <f>3.15*2*5</f>
        <v>31.5</v>
      </c>
      <c r="H74" s="27">
        <v>0.01</v>
      </c>
      <c r="I74" s="27">
        <f t="shared" si="47"/>
        <v>0.315</v>
      </c>
      <c r="J74" s="27">
        <v>7.87</v>
      </c>
      <c r="K74" s="27">
        <f t="shared" si="48"/>
        <v>2.47905</v>
      </c>
      <c r="L74" s="27">
        <f t="shared" si="49"/>
        <v>2.47905</v>
      </c>
      <c r="M74" s="27">
        <v>22.917000000000002</v>
      </c>
      <c r="N74" s="27">
        <f t="shared" si="50"/>
        <v>56.812388850000005</v>
      </c>
      <c r="O74" s="27">
        <v>2.9089999999999998</v>
      </c>
      <c r="P74" s="27">
        <f t="shared" si="52"/>
        <v>7.2115564499999998</v>
      </c>
      <c r="AB74" s="25"/>
    </row>
    <row r="75" spans="1:37" s="27" customFormat="1">
      <c r="A75" s="37"/>
      <c r="B75" s="27" t="s">
        <v>232</v>
      </c>
      <c r="D75" s="29" t="s">
        <v>263</v>
      </c>
      <c r="E75" s="25"/>
      <c r="G75" s="27">
        <v>1.1360000000000001E-3</v>
      </c>
      <c r="H75" s="27">
        <f>6*7.06</f>
        <v>42.36</v>
      </c>
      <c r="I75" s="27">
        <f t="shared" si="47"/>
        <v>4.8120960000000004E-2</v>
      </c>
      <c r="J75" s="27">
        <v>7.87</v>
      </c>
      <c r="K75" s="27">
        <f t="shared" si="48"/>
        <v>0.37871195520000006</v>
      </c>
      <c r="L75" s="27">
        <f t="shared" si="49"/>
        <v>0.37871195520000006</v>
      </c>
      <c r="M75" s="27">
        <v>22.917000000000002</v>
      </c>
      <c r="N75" s="27">
        <f t="shared" si="50"/>
        <v>8.6789418773184028</v>
      </c>
      <c r="O75" s="27">
        <v>3.0430000000000001</v>
      </c>
      <c r="P75" s="27">
        <f t="shared" si="52"/>
        <v>1.1524204796736002</v>
      </c>
      <c r="AA75" s="13" t="s">
        <v>235</v>
      </c>
      <c r="AB75" s="25"/>
    </row>
    <row r="76" spans="1:37" s="27" customFormat="1">
      <c r="A76" s="37"/>
      <c r="B76" s="27" t="s">
        <v>233</v>
      </c>
      <c r="D76" s="29" t="s">
        <v>265</v>
      </c>
      <c r="E76" s="25"/>
      <c r="G76" s="27">
        <f>(65*6.5+(395-6.5)*6.5)*10^-6</f>
        <v>2.9477499999999998E-3</v>
      </c>
      <c r="H76" s="27">
        <v>16.5</v>
      </c>
      <c r="I76" s="27">
        <f t="shared" si="47"/>
        <v>4.8637874999999997E-2</v>
      </c>
      <c r="J76" s="27">
        <v>7.87</v>
      </c>
      <c r="K76" s="27">
        <f t="shared" si="48"/>
        <v>0.38278007624999999</v>
      </c>
      <c r="L76" s="27">
        <f t="shared" si="49"/>
        <v>0.38278007624999999</v>
      </c>
      <c r="M76" s="27">
        <v>22.917000000000002</v>
      </c>
      <c r="N76" s="27">
        <f t="shared" si="50"/>
        <v>8.7721710074212496</v>
      </c>
      <c r="O76" s="27">
        <v>2.14</v>
      </c>
      <c r="P76" s="27">
        <f t="shared" si="52"/>
        <v>0.81914936317499998</v>
      </c>
      <c r="AB76" s="25">
        <v>1</v>
      </c>
      <c r="AE76" s="27">
        <f>6*2*0.009</f>
        <v>0.10799999999999998</v>
      </c>
      <c r="AF76" s="27">
        <f>AE76*7.87</f>
        <v>0.84995999999999994</v>
      </c>
      <c r="AG76" s="27">
        <f>AF76*2</f>
        <v>1.6999199999999999</v>
      </c>
      <c r="AH76" s="27">
        <v>3</v>
      </c>
      <c r="AI76" s="27">
        <f>AH76*AG76</f>
        <v>5.0997599999999998</v>
      </c>
      <c r="AJ76" s="27">
        <v>2</v>
      </c>
      <c r="AK76" s="27">
        <f>AJ76*AG76</f>
        <v>3.3998399999999998</v>
      </c>
    </row>
    <row r="77" spans="1:37" s="27" customFormat="1">
      <c r="A77" s="37"/>
      <c r="E77" s="25"/>
      <c r="AB77" s="25">
        <v>2</v>
      </c>
      <c r="AE77" s="27">
        <f t="shared" ref="AE77:AE99" si="59">6*2*0.009</f>
        <v>0.10799999999999998</v>
      </c>
      <c r="AF77" s="27">
        <f t="shared" ref="AF77:AF100" si="60">AE77*7.87</f>
        <v>0.84995999999999994</v>
      </c>
      <c r="AG77" s="27">
        <f t="shared" ref="AG77:AG100" si="61">AF77*2</f>
        <v>1.6999199999999999</v>
      </c>
      <c r="AH77" s="27">
        <f>AH76+6</f>
        <v>9</v>
      </c>
      <c r="AI77" s="27">
        <f t="shared" ref="AI77:AI100" si="62">AH77*AG77</f>
        <v>15.29928</v>
      </c>
      <c r="AJ77" s="27">
        <v>2</v>
      </c>
      <c r="AK77" s="27">
        <f t="shared" ref="AK77:AK100" si="63">AJ77*AG77</f>
        <v>3.3998399999999998</v>
      </c>
    </row>
    <row r="78" spans="1:37" s="27" customFormat="1">
      <c r="A78" s="37"/>
      <c r="E78" s="25"/>
      <c r="L78" s="27">
        <v>582.67999999999995</v>
      </c>
      <c r="N78" s="27">
        <f>SUM(N2:N76)</f>
        <v>13386.847140003058</v>
      </c>
      <c r="P78" s="27">
        <f>SUM(P2:P76)</f>
        <v>1181.4952603791394</v>
      </c>
      <c r="AB78" s="25">
        <v>3</v>
      </c>
      <c r="AE78" s="27">
        <f t="shared" si="59"/>
        <v>0.10799999999999998</v>
      </c>
      <c r="AF78" s="27">
        <f t="shared" si="60"/>
        <v>0.84995999999999994</v>
      </c>
      <c r="AG78" s="27">
        <f t="shared" si="61"/>
        <v>1.6999199999999999</v>
      </c>
      <c r="AH78" s="27">
        <f t="shared" ref="AH78:AH86" si="64">AH77+6</f>
        <v>15</v>
      </c>
      <c r="AI78" s="27">
        <f t="shared" si="62"/>
        <v>25.498799999999999</v>
      </c>
      <c r="AJ78" s="27">
        <v>2</v>
      </c>
      <c r="AK78" s="27">
        <f t="shared" si="63"/>
        <v>3.3998399999999998</v>
      </c>
    </row>
    <row r="79" spans="1:37" s="27" customFormat="1">
      <c r="A79" s="37"/>
      <c r="E79" s="25"/>
      <c r="AB79" s="25">
        <v>4</v>
      </c>
      <c r="AE79" s="27">
        <f t="shared" si="59"/>
        <v>0.10799999999999998</v>
      </c>
      <c r="AF79" s="27">
        <f t="shared" si="60"/>
        <v>0.84995999999999994</v>
      </c>
      <c r="AG79" s="27">
        <f t="shared" si="61"/>
        <v>1.6999199999999999</v>
      </c>
      <c r="AH79" s="27">
        <f t="shared" si="64"/>
        <v>21</v>
      </c>
      <c r="AI79" s="27">
        <f t="shared" si="62"/>
        <v>35.698319999999995</v>
      </c>
      <c r="AJ79" s="27">
        <v>2</v>
      </c>
      <c r="AK79" s="27">
        <f t="shared" si="63"/>
        <v>3.3998399999999998</v>
      </c>
    </row>
    <row r="80" spans="1:37" s="27" customFormat="1">
      <c r="A80" s="37"/>
      <c r="E80" s="25"/>
      <c r="AB80" s="25">
        <v>5</v>
      </c>
      <c r="AE80" s="27">
        <f t="shared" si="59"/>
        <v>0.10799999999999998</v>
      </c>
      <c r="AF80" s="27">
        <f t="shared" si="60"/>
        <v>0.84995999999999994</v>
      </c>
      <c r="AG80" s="27">
        <f t="shared" si="61"/>
        <v>1.6999199999999999</v>
      </c>
      <c r="AH80" s="27">
        <f t="shared" si="64"/>
        <v>27</v>
      </c>
      <c r="AI80" s="27">
        <f t="shared" si="62"/>
        <v>45.897839999999995</v>
      </c>
      <c r="AJ80" s="27">
        <v>2</v>
      </c>
      <c r="AK80" s="27">
        <f t="shared" si="63"/>
        <v>3.3998399999999998</v>
      </c>
    </row>
    <row r="81" spans="1:37" s="27" customFormat="1">
      <c r="A81" s="37"/>
      <c r="E81" s="25"/>
      <c r="AB81" s="25">
        <v>6</v>
      </c>
      <c r="AE81" s="27">
        <f t="shared" si="59"/>
        <v>0.10799999999999998</v>
      </c>
      <c r="AF81" s="27">
        <f t="shared" si="60"/>
        <v>0.84995999999999994</v>
      </c>
      <c r="AG81" s="27">
        <f t="shared" si="61"/>
        <v>1.6999199999999999</v>
      </c>
      <c r="AH81" s="27">
        <f t="shared" si="64"/>
        <v>33</v>
      </c>
      <c r="AI81" s="27">
        <f t="shared" si="62"/>
        <v>56.097359999999995</v>
      </c>
      <c r="AJ81" s="27">
        <v>2</v>
      </c>
      <c r="AK81" s="27">
        <f t="shared" si="63"/>
        <v>3.3998399999999998</v>
      </c>
    </row>
    <row r="82" spans="1:37" s="27" customFormat="1">
      <c r="A82" s="37"/>
      <c r="E82" s="25"/>
      <c r="AB82" s="25">
        <v>7</v>
      </c>
      <c r="AE82" s="27">
        <f t="shared" si="59"/>
        <v>0.10799999999999998</v>
      </c>
      <c r="AF82" s="27">
        <f t="shared" si="60"/>
        <v>0.84995999999999994</v>
      </c>
      <c r="AG82" s="27">
        <f t="shared" si="61"/>
        <v>1.6999199999999999</v>
      </c>
      <c r="AH82" s="27">
        <f t="shared" si="64"/>
        <v>39</v>
      </c>
      <c r="AI82" s="27">
        <f t="shared" si="62"/>
        <v>66.296880000000002</v>
      </c>
      <c r="AJ82" s="27">
        <v>2</v>
      </c>
      <c r="AK82" s="27">
        <f t="shared" si="63"/>
        <v>3.3998399999999998</v>
      </c>
    </row>
    <row r="83" spans="1:37" s="27" customFormat="1">
      <c r="A83" s="37"/>
      <c r="E83" s="25"/>
      <c r="AB83" s="25">
        <v>8</v>
      </c>
      <c r="AE83" s="27">
        <f t="shared" si="59"/>
        <v>0.10799999999999998</v>
      </c>
      <c r="AF83" s="27">
        <f t="shared" si="60"/>
        <v>0.84995999999999994</v>
      </c>
      <c r="AG83" s="27">
        <f t="shared" si="61"/>
        <v>1.6999199999999999</v>
      </c>
      <c r="AH83" s="27">
        <f t="shared" si="64"/>
        <v>45</v>
      </c>
      <c r="AI83" s="27">
        <f t="shared" si="62"/>
        <v>76.496399999999994</v>
      </c>
      <c r="AJ83" s="27">
        <v>2</v>
      </c>
      <c r="AK83" s="27">
        <f t="shared" si="63"/>
        <v>3.3998399999999998</v>
      </c>
    </row>
    <row r="84" spans="1:37" s="27" customFormat="1">
      <c r="A84" s="37"/>
      <c r="E84" s="25"/>
      <c r="G84" s="32" t="s">
        <v>236</v>
      </c>
      <c r="H84" s="32"/>
      <c r="J84" s="31">
        <v>640.95000000000005</v>
      </c>
      <c r="K84" s="28" t="s">
        <v>184</v>
      </c>
      <c r="L84" s="47" t="s">
        <v>409</v>
      </c>
      <c r="M84" s="47"/>
      <c r="AB84" s="25">
        <v>9</v>
      </c>
      <c r="AE84" s="27">
        <f t="shared" si="59"/>
        <v>0.10799999999999998</v>
      </c>
      <c r="AF84" s="27">
        <f t="shared" si="60"/>
        <v>0.84995999999999994</v>
      </c>
      <c r="AG84" s="27">
        <f t="shared" si="61"/>
        <v>1.6999199999999999</v>
      </c>
      <c r="AH84" s="27">
        <f t="shared" si="64"/>
        <v>51</v>
      </c>
      <c r="AI84" s="27">
        <f t="shared" si="62"/>
        <v>86.695919999999987</v>
      </c>
      <c r="AJ84" s="27">
        <v>2</v>
      </c>
      <c r="AK84" s="27">
        <f t="shared" si="63"/>
        <v>3.3998399999999998</v>
      </c>
    </row>
    <row r="85" spans="1:37" s="27" customFormat="1">
      <c r="A85" s="37"/>
      <c r="E85" s="25"/>
      <c r="G85" s="32"/>
      <c r="H85" s="32"/>
      <c r="J85" s="31"/>
      <c r="K85" s="28"/>
      <c r="L85" s="47"/>
      <c r="M85" s="47"/>
      <c r="AB85" s="25">
        <v>10</v>
      </c>
      <c r="AE85" s="27">
        <f t="shared" si="59"/>
        <v>0.10799999999999998</v>
      </c>
      <c r="AF85" s="27">
        <f t="shared" si="60"/>
        <v>0.84995999999999994</v>
      </c>
      <c r="AG85" s="27">
        <f t="shared" si="61"/>
        <v>1.6999199999999999</v>
      </c>
      <c r="AH85" s="27">
        <f t="shared" si="64"/>
        <v>57</v>
      </c>
      <c r="AI85" s="27">
        <f t="shared" si="62"/>
        <v>96.895439999999994</v>
      </c>
      <c r="AJ85" s="27">
        <v>2</v>
      </c>
      <c r="AK85" s="27">
        <f t="shared" si="63"/>
        <v>3.3998399999999998</v>
      </c>
    </row>
    <row r="86" spans="1:37" s="27" customFormat="1">
      <c r="A86" s="37"/>
      <c r="E86" s="25"/>
      <c r="G86" s="46" t="s">
        <v>274</v>
      </c>
      <c r="H86" s="46"/>
      <c r="J86" s="28">
        <f>N78/L78</f>
        <v>22.974612377296388</v>
      </c>
      <c r="K86" s="28" t="s">
        <v>178</v>
      </c>
      <c r="AB86" s="25">
        <v>11</v>
      </c>
      <c r="AE86" s="27">
        <f t="shared" si="59"/>
        <v>0.10799999999999998</v>
      </c>
      <c r="AF86" s="27">
        <f t="shared" si="60"/>
        <v>0.84995999999999994</v>
      </c>
      <c r="AG86" s="27">
        <f t="shared" si="61"/>
        <v>1.6999199999999999</v>
      </c>
      <c r="AH86" s="27">
        <f t="shared" si="64"/>
        <v>63</v>
      </c>
      <c r="AI86" s="27">
        <f t="shared" si="62"/>
        <v>107.09495999999999</v>
      </c>
      <c r="AJ86" s="27">
        <v>2</v>
      </c>
      <c r="AK86" s="27">
        <f t="shared" si="63"/>
        <v>3.3998399999999998</v>
      </c>
    </row>
    <row r="87" spans="1:37" s="27" customFormat="1">
      <c r="A87" s="37"/>
      <c r="E87" s="25"/>
      <c r="G87" s="46"/>
      <c r="H87" s="46"/>
      <c r="J87" s="28"/>
      <c r="K87" s="28"/>
      <c r="AB87" s="25">
        <v>12</v>
      </c>
      <c r="AE87" s="27">
        <f t="shared" si="59"/>
        <v>0.10799999999999998</v>
      </c>
      <c r="AF87" s="27">
        <f t="shared" si="60"/>
        <v>0.84995999999999994</v>
      </c>
      <c r="AG87" s="27">
        <f t="shared" si="61"/>
        <v>1.6999199999999999</v>
      </c>
      <c r="AH87" s="27">
        <v>64.31</v>
      </c>
      <c r="AI87" s="27">
        <f t="shared" si="62"/>
        <v>109.3218552</v>
      </c>
      <c r="AJ87" s="27">
        <v>2</v>
      </c>
      <c r="AK87" s="27">
        <f t="shared" si="63"/>
        <v>3.3998399999999998</v>
      </c>
    </row>
    <row r="88" spans="1:37" s="27" customFormat="1">
      <c r="A88" s="37"/>
      <c r="E88" s="25"/>
      <c r="G88" s="32" t="s">
        <v>275</v>
      </c>
      <c r="H88" s="32"/>
      <c r="J88" s="28">
        <f>P78/J84</f>
        <v>1.843350121505795</v>
      </c>
      <c r="K88" s="28" t="s">
        <v>178</v>
      </c>
      <c r="AB88" s="25">
        <v>13</v>
      </c>
      <c r="AE88" s="27">
        <f t="shared" si="59"/>
        <v>0.10799999999999998</v>
      </c>
      <c r="AF88" s="27">
        <f t="shared" si="60"/>
        <v>0.84995999999999994</v>
      </c>
      <c r="AG88" s="27">
        <f t="shared" si="61"/>
        <v>1.6999199999999999</v>
      </c>
      <c r="AH88" s="27">
        <v>3</v>
      </c>
      <c r="AI88" s="27">
        <f t="shared" si="62"/>
        <v>5.0997599999999998</v>
      </c>
      <c r="AJ88" s="27">
        <v>4</v>
      </c>
      <c r="AK88" s="27">
        <f t="shared" si="63"/>
        <v>6.7996799999999995</v>
      </c>
    </row>
    <row r="89" spans="1:37" s="27" customFormat="1">
      <c r="A89" s="37"/>
      <c r="E89" s="25"/>
      <c r="G89" s="32"/>
      <c r="H89" s="32"/>
      <c r="J89" s="28"/>
      <c r="K89" s="28"/>
      <c r="AB89" s="25">
        <v>14</v>
      </c>
      <c r="AE89" s="27">
        <f t="shared" si="59"/>
        <v>0.10799999999999998</v>
      </c>
      <c r="AF89" s="27">
        <f t="shared" si="60"/>
        <v>0.84995999999999994</v>
      </c>
      <c r="AG89" s="27">
        <f t="shared" si="61"/>
        <v>1.6999199999999999</v>
      </c>
      <c r="AH89" s="27">
        <f>AH88+6</f>
        <v>9</v>
      </c>
      <c r="AI89" s="27">
        <f t="shared" si="62"/>
        <v>15.29928</v>
      </c>
      <c r="AJ89" s="27">
        <v>4</v>
      </c>
      <c r="AK89" s="27">
        <f t="shared" si="63"/>
        <v>6.7996799999999995</v>
      </c>
    </row>
    <row r="90" spans="1:37" s="27" customFormat="1">
      <c r="A90" s="37"/>
      <c r="E90" s="25"/>
      <c r="AB90" s="25">
        <v>15</v>
      </c>
      <c r="AE90" s="27">
        <f t="shared" si="59"/>
        <v>0.10799999999999998</v>
      </c>
      <c r="AF90" s="27">
        <f t="shared" si="60"/>
        <v>0.84995999999999994</v>
      </c>
      <c r="AG90" s="27">
        <f t="shared" si="61"/>
        <v>1.6999199999999999</v>
      </c>
      <c r="AH90" s="27">
        <f t="shared" ref="AH90:AH98" si="65">AH89+6</f>
        <v>15</v>
      </c>
      <c r="AI90" s="27">
        <f t="shared" si="62"/>
        <v>25.498799999999999</v>
      </c>
      <c r="AJ90" s="27">
        <v>4</v>
      </c>
      <c r="AK90" s="27">
        <f t="shared" si="63"/>
        <v>6.7996799999999995</v>
      </c>
    </row>
    <row r="91" spans="1:37" s="27" customFormat="1">
      <c r="A91" s="37"/>
      <c r="E91" s="25"/>
      <c r="AB91" s="25">
        <v>16</v>
      </c>
      <c r="AE91" s="27">
        <f t="shared" si="59"/>
        <v>0.10799999999999998</v>
      </c>
      <c r="AF91" s="27">
        <f t="shared" si="60"/>
        <v>0.84995999999999994</v>
      </c>
      <c r="AG91" s="27">
        <f t="shared" si="61"/>
        <v>1.6999199999999999</v>
      </c>
      <c r="AH91" s="27">
        <f t="shared" si="65"/>
        <v>21</v>
      </c>
      <c r="AI91" s="27">
        <f t="shared" si="62"/>
        <v>35.698319999999995</v>
      </c>
      <c r="AJ91" s="27">
        <v>4</v>
      </c>
      <c r="AK91" s="27">
        <f t="shared" si="63"/>
        <v>6.7996799999999995</v>
      </c>
    </row>
    <row r="92" spans="1:37" s="27" customFormat="1">
      <c r="A92" s="37"/>
      <c r="E92" s="25"/>
      <c r="AB92" s="25">
        <v>17</v>
      </c>
      <c r="AE92" s="27">
        <f t="shared" si="59"/>
        <v>0.10799999999999998</v>
      </c>
      <c r="AF92" s="27">
        <f t="shared" si="60"/>
        <v>0.84995999999999994</v>
      </c>
      <c r="AG92" s="27">
        <f t="shared" si="61"/>
        <v>1.6999199999999999</v>
      </c>
      <c r="AH92" s="27">
        <f t="shared" si="65"/>
        <v>27</v>
      </c>
      <c r="AI92" s="27">
        <f t="shared" si="62"/>
        <v>45.897839999999995</v>
      </c>
      <c r="AJ92" s="27">
        <v>4</v>
      </c>
      <c r="AK92" s="27">
        <f t="shared" si="63"/>
        <v>6.7996799999999995</v>
      </c>
    </row>
    <row r="93" spans="1:37" s="27" customFormat="1">
      <c r="A93" s="37"/>
      <c r="E93" s="25"/>
      <c r="AB93" s="25">
        <v>18</v>
      </c>
      <c r="AE93" s="27">
        <f t="shared" si="59"/>
        <v>0.10799999999999998</v>
      </c>
      <c r="AF93" s="27">
        <f t="shared" si="60"/>
        <v>0.84995999999999994</v>
      </c>
      <c r="AG93" s="27">
        <f t="shared" si="61"/>
        <v>1.6999199999999999</v>
      </c>
      <c r="AH93" s="27">
        <f t="shared" si="65"/>
        <v>33</v>
      </c>
      <c r="AI93" s="27">
        <f t="shared" si="62"/>
        <v>56.097359999999995</v>
      </c>
      <c r="AJ93" s="27">
        <v>4</v>
      </c>
      <c r="AK93" s="27">
        <f t="shared" si="63"/>
        <v>6.7996799999999995</v>
      </c>
    </row>
    <row r="94" spans="1:37" s="27" customFormat="1">
      <c r="A94" s="37"/>
      <c r="E94" s="25"/>
      <c r="AB94" s="25">
        <v>19</v>
      </c>
      <c r="AE94" s="27">
        <f t="shared" si="59"/>
        <v>0.10799999999999998</v>
      </c>
      <c r="AF94" s="27">
        <f t="shared" si="60"/>
        <v>0.84995999999999994</v>
      </c>
      <c r="AG94" s="27">
        <f t="shared" si="61"/>
        <v>1.6999199999999999</v>
      </c>
      <c r="AH94" s="27">
        <f t="shared" si="65"/>
        <v>39</v>
      </c>
      <c r="AI94" s="27">
        <f t="shared" si="62"/>
        <v>66.296880000000002</v>
      </c>
      <c r="AJ94" s="27">
        <v>4</v>
      </c>
      <c r="AK94" s="27">
        <f t="shared" si="63"/>
        <v>6.7996799999999995</v>
      </c>
    </row>
    <row r="95" spans="1:37" s="27" customFormat="1">
      <c r="A95" s="37"/>
      <c r="E95" s="25"/>
      <c r="AB95" s="25">
        <v>20</v>
      </c>
      <c r="AE95" s="27">
        <f t="shared" si="59"/>
        <v>0.10799999999999998</v>
      </c>
      <c r="AF95" s="27">
        <f t="shared" si="60"/>
        <v>0.84995999999999994</v>
      </c>
      <c r="AG95" s="27">
        <f t="shared" si="61"/>
        <v>1.6999199999999999</v>
      </c>
      <c r="AH95" s="27">
        <f t="shared" si="65"/>
        <v>45</v>
      </c>
      <c r="AI95" s="27">
        <f t="shared" si="62"/>
        <v>76.496399999999994</v>
      </c>
      <c r="AJ95" s="27">
        <v>4</v>
      </c>
      <c r="AK95" s="27">
        <f t="shared" si="63"/>
        <v>6.7996799999999995</v>
      </c>
    </row>
    <row r="96" spans="1:37" s="27" customFormat="1">
      <c r="A96" s="37"/>
      <c r="E96" s="25"/>
      <c r="AB96" s="25">
        <v>21</v>
      </c>
      <c r="AE96" s="27">
        <f t="shared" si="59"/>
        <v>0.10799999999999998</v>
      </c>
      <c r="AF96" s="27">
        <f t="shared" si="60"/>
        <v>0.84995999999999994</v>
      </c>
      <c r="AG96" s="27">
        <f t="shared" si="61"/>
        <v>1.6999199999999999</v>
      </c>
      <c r="AH96" s="27">
        <f t="shared" si="65"/>
        <v>51</v>
      </c>
      <c r="AI96" s="27">
        <f t="shared" si="62"/>
        <v>86.695919999999987</v>
      </c>
      <c r="AJ96" s="27">
        <v>4</v>
      </c>
      <c r="AK96" s="27">
        <f t="shared" si="63"/>
        <v>6.7996799999999995</v>
      </c>
    </row>
    <row r="97" spans="1:37" s="27" customFormat="1">
      <c r="A97" s="37"/>
      <c r="E97" s="25"/>
      <c r="AB97" s="25">
        <v>22</v>
      </c>
      <c r="AE97" s="27">
        <f t="shared" si="59"/>
        <v>0.10799999999999998</v>
      </c>
      <c r="AF97" s="27">
        <f t="shared" si="60"/>
        <v>0.84995999999999994</v>
      </c>
      <c r="AG97" s="27">
        <f t="shared" si="61"/>
        <v>1.6999199999999999</v>
      </c>
      <c r="AH97" s="27">
        <f t="shared" si="65"/>
        <v>57</v>
      </c>
      <c r="AI97" s="27">
        <f t="shared" si="62"/>
        <v>96.895439999999994</v>
      </c>
      <c r="AJ97" s="27">
        <v>4</v>
      </c>
      <c r="AK97" s="27">
        <f t="shared" si="63"/>
        <v>6.7996799999999995</v>
      </c>
    </row>
    <row r="98" spans="1:37" s="27" customFormat="1">
      <c r="A98" s="37"/>
      <c r="D98" s="23"/>
      <c r="E98" s="25"/>
      <c r="AB98" s="25">
        <v>23</v>
      </c>
      <c r="AE98" s="27">
        <f t="shared" si="59"/>
        <v>0.10799999999999998</v>
      </c>
      <c r="AF98" s="27">
        <f t="shared" si="60"/>
        <v>0.84995999999999994</v>
      </c>
      <c r="AG98" s="27">
        <f t="shared" si="61"/>
        <v>1.6999199999999999</v>
      </c>
      <c r="AH98" s="27">
        <f t="shared" si="65"/>
        <v>63</v>
      </c>
      <c r="AI98" s="27">
        <f t="shared" si="62"/>
        <v>107.09495999999999</v>
      </c>
      <c r="AJ98" s="27">
        <v>4</v>
      </c>
      <c r="AK98" s="27">
        <f t="shared" si="63"/>
        <v>6.7996799999999995</v>
      </c>
    </row>
    <row r="99" spans="1:37" s="27" customFormat="1">
      <c r="A99" s="25"/>
      <c r="E99" s="25"/>
      <c r="AB99" s="25">
        <v>24</v>
      </c>
      <c r="AE99" s="27">
        <f t="shared" si="59"/>
        <v>0.10799999999999998</v>
      </c>
      <c r="AF99" s="27">
        <f t="shared" si="60"/>
        <v>0.84995999999999994</v>
      </c>
      <c r="AG99" s="27">
        <f t="shared" si="61"/>
        <v>1.6999199999999999</v>
      </c>
      <c r="AH99" s="27">
        <v>64.31</v>
      </c>
      <c r="AI99" s="27">
        <f t="shared" si="62"/>
        <v>109.3218552</v>
      </c>
      <c r="AJ99" s="27">
        <v>4</v>
      </c>
      <c r="AK99" s="27">
        <f t="shared" si="63"/>
        <v>6.7996799999999995</v>
      </c>
    </row>
    <row r="100" spans="1:37" s="27" customFormat="1">
      <c r="A100" s="25"/>
      <c r="B100" s="32"/>
      <c r="E100" s="25"/>
      <c r="AB100" s="25">
        <v>25</v>
      </c>
      <c r="AE100" s="27">
        <f>6*0.85*0.009</f>
        <v>4.5899999999999996E-2</v>
      </c>
      <c r="AF100" s="27">
        <f t="shared" si="60"/>
        <v>0.36123299999999997</v>
      </c>
      <c r="AG100" s="27">
        <f t="shared" si="61"/>
        <v>0.72246599999999994</v>
      </c>
      <c r="AH100" s="27">
        <v>64.33</v>
      </c>
      <c r="AI100" s="27">
        <f t="shared" si="62"/>
        <v>46.476237779999998</v>
      </c>
      <c r="AJ100" s="27">
        <v>4</v>
      </c>
      <c r="AK100" s="27">
        <f t="shared" si="63"/>
        <v>2.8898639999999998</v>
      </c>
    </row>
    <row r="101" spans="1:37" s="27" customFormat="1">
      <c r="A101" s="25"/>
      <c r="B101" s="32"/>
      <c r="E101" s="25"/>
      <c r="AB101" s="25"/>
    </row>
    <row r="102" spans="1:37" s="27" customFormat="1">
      <c r="A102" s="25"/>
      <c r="E102" s="25"/>
      <c r="AB102" s="25"/>
      <c r="AG102" s="27">
        <f>SUM(AG76:AG100)</f>
        <v>41.520545999999982</v>
      </c>
      <c r="AI102" s="27">
        <f>SUM(AI76:AI100)</f>
        <v>1499.2618681799995</v>
      </c>
      <c r="AK102" s="27">
        <f>SUM(AK76:AK100)</f>
        <v>125.28410399999997</v>
      </c>
    </row>
    <row r="103" spans="1:37" s="27" customFormat="1">
      <c r="A103" s="25"/>
      <c r="E103" s="25"/>
      <c r="AB103" s="25"/>
    </row>
    <row r="104" spans="1:37" s="27" customFormat="1">
      <c r="A104" s="25"/>
      <c r="E104" s="25"/>
      <c r="AB104" s="25"/>
    </row>
    <row r="105" spans="1:37" s="27" customFormat="1">
      <c r="A105" s="37"/>
      <c r="E105" s="25"/>
      <c r="AB105" s="25"/>
      <c r="AG105" s="49" t="s">
        <v>4</v>
      </c>
      <c r="AH105" s="27">
        <f>AI102/AG102</f>
        <v>36.108915046059373</v>
      </c>
    </row>
    <row r="106" spans="1:37" s="27" customFormat="1">
      <c r="A106" s="37"/>
      <c r="E106" s="25"/>
      <c r="AB106" s="25"/>
      <c r="AG106" s="49" t="s">
        <v>5</v>
      </c>
      <c r="AH106" s="27">
        <f>AK102/AG102</f>
        <v>3.0174002047082915</v>
      </c>
    </row>
    <row r="107" spans="1:37" s="27" customFormat="1">
      <c r="A107" s="25"/>
      <c r="E107" s="25"/>
      <c r="AB107" s="25"/>
    </row>
    <row r="108" spans="1:37" s="27" customFormat="1">
      <c r="A108" s="25"/>
      <c r="E108" s="25"/>
      <c r="AB108" s="25"/>
    </row>
    <row r="109" spans="1:37" s="27" customFormat="1">
      <c r="A109" s="25"/>
      <c r="B109" s="32"/>
      <c r="E109" s="25"/>
      <c r="AB109" s="25"/>
    </row>
    <row r="110" spans="1:37" s="27" customFormat="1">
      <c r="A110" s="25"/>
      <c r="B110" s="32"/>
      <c r="E110" s="25"/>
      <c r="AB110" s="25"/>
    </row>
    <row r="111" spans="1:37" s="27" customFormat="1">
      <c r="A111" s="25"/>
      <c r="E111" s="25"/>
      <c r="AB111" s="25"/>
    </row>
    <row r="112" spans="1:37" s="27" customFormat="1">
      <c r="A112" s="25"/>
      <c r="E112" s="25"/>
      <c r="AB112" s="25"/>
    </row>
    <row r="113" spans="1:36" s="27" customFormat="1">
      <c r="A113" s="25"/>
      <c r="E113" s="25"/>
      <c r="AB113" s="25"/>
    </row>
    <row r="114" spans="1:36" s="27" customFormat="1">
      <c r="A114" s="25"/>
      <c r="E114" s="25"/>
      <c r="AB114" s="52" t="s">
        <v>237</v>
      </c>
    </row>
    <row r="115" spans="1:36" s="27" customFormat="1">
      <c r="A115" s="25"/>
      <c r="E115" s="25"/>
      <c r="AB115" s="25"/>
    </row>
    <row r="116" spans="1:36" s="27" customFormat="1">
      <c r="A116" s="25"/>
      <c r="E116" s="25"/>
      <c r="AB116" s="25" t="s">
        <v>238</v>
      </c>
      <c r="AC116" s="27">
        <v>10.98</v>
      </c>
      <c r="AH116" s="27" t="s">
        <v>287</v>
      </c>
      <c r="AI116" s="27" t="s">
        <v>288</v>
      </c>
      <c r="AJ116" s="27" t="s">
        <v>289</v>
      </c>
    </row>
    <row r="117" spans="1:36" s="27" customFormat="1">
      <c r="A117" s="25"/>
      <c r="B117" s="33"/>
      <c r="C117" s="34"/>
      <c r="E117" s="25"/>
      <c r="AB117" s="25" t="s">
        <v>239</v>
      </c>
      <c r="AC117" s="27">
        <v>7.2750000000000004</v>
      </c>
      <c r="AF117" s="27">
        <v>1</v>
      </c>
      <c r="AG117" s="27">
        <f>20.51/14</f>
        <v>1.4650000000000001</v>
      </c>
      <c r="AH117" s="27">
        <v>1</v>
      </c>
      <c r="AI117" s="27">
        <v>5.5</v>
      </c>
      <c r="AJ117" s="27">
        <f>AI117*AH117</f>
        <v>5.5</v>
      </c>
    </row>
    <row r="118" spans="1:36" s="27" customFormat="1">
      <c r="A118" s="25"/>
      <c r="B118" s="33"/>
      <c r="C118" s="34"/>
      <c r="E118" s="25"/>
      <c r="AB118" s="25"/>
      <c r="AF118" s="27">
        <v>2</v>
      </c>
      <c r="AG118" s="27">
        <f t="shared" ref="AG118:AG131" si="66">20.51/10</f>
        <v>2.0510000000000002</v>
      </c>
      <c r="AH118" s="27">
        <v>4</v>
      </c>
      <c r="AI118" s="27">
        <v>5.49</v>
      </c>
      <c r="AJ118" s="27">
        <f>AI118*AH118</f>
        <v>21.96</v>
      </c>
    </row>
    <row r="119" spans="1:36" s="27" customFormat="1">
      <c r="A119" s="25"/>
      <c r="B119" s="33"/>
      <c r="C119" s="34"/>
      <c r="E119" s="25"/>
      <c r="AA119" s="27" t="s">
        <v>286</v>
      </c>
      <c r="AB119" s="25" t="s">
        <v>240</v>
      </c>
      <c r="AC119" s="27">
        <f>AC116*AC117</f>
        <v>79.879500000000007</v>
      </c>
      <c r="AF119" s="27">
        <v>3</v>
      </c>
      <c r="AG119" s="27">
        <f t="shared" si="66"/>
        <v>2.0510000000000002</v>
      </c>
      <c r="AH119" s="27">
        <v>2</v>
      </c>
      <c r="AI119" s="27">
        <v>5.4269999999999996</v>
      </c>
      <c r="AJ119" s="27">
        <f t="shared" ref="AJ119:AJ131" si="67">AI119*AH119</f>
        <v>10.853999999999999</v>
      </c>
    </row>
    <row r="120" spans="1:36" s="27" customFormat="1">
      <c r="A120" s="25"/>
      <c r="B120" s="33"/>
      <c r="C120" s="34"/>
      <c r="E120" s="25"/>
      <c r="AB120" s="25"/>
      <c r="AC120" s="27">
        <f>AC119*3</f>
        <v>239.63850000000002</v>
      </c>
      <c r="AF120" s="27">
        <v>4</v>
      </c>
      <c r="AG120" s="27">
        <f t="shared" si="66"/>
        <v>2.0510000000000002</v>
      </c>
      <c r="AH120" s="27">
        <v>4</v>
      </c>
      <c r="AI120" s="27">
        <v>5.3579999999999997</v>
      </c>
      <c r="AJ120" s="27">
        <f t="shared" si="67"/>
        <v>21.431999999999999</v>
      </c>
    </row>
    <row r="121" spans="1:36" s="27" customFormat="1">
      <c r="A121" s="25"/>
      <c r="B121" s="33"/>
      <c r="C121" s="34"/>
      <c r="E121" s="25"/>
      <c r="AB121" s="25"/>
      <c r="AF121" s="27">
        <v>5</v>
      </c>
      <c r="AG121" s="27">
        <f t="shared" si="66"/>
        <v>2.0510000000000002</v>
      </c>
      <c r="AH121" s="27">
        <v>2</v>
      </c>
      <c r="AI121" s="27">
        <v>5.2480000000000002</v>
      </c>
      <c r="AJ121" s="27">
        <f t="shared" si="67"/>
        <v>10.496</v>
      </c>
    </row>
    <row r="122" spans="1:36" s="27" customFormat="1">
      <c r="A122" s="25"/>
      <c r="E122" s="25"/>
      <c r="AB122" s="25" t="s">
        <v>241</v>
      </c>
      <c r="AC122" s="27">
        <v>16.422699999999999</v>
      </c>
      <c r="AF122" s="27">
        <v>6</v>
      </c>
      <c r="AG122" s="27">
        <f t="shared" si="66"/>
        <v>2.0510000000000002</v>
      </c>
      <c r="AH122" s="27">
        <v>4</v>
      </c>
      <c r="AI122" s="27">
        <v>5.0880000000000001</v>
      </c>
      <c r="AJ122" s="27">
        <f t="shared" si="67"/>
        <v>20.352</v>
      </c>
    </row>
    <row r="123" spans="1:36" s="27" customFormat="1">
      <c r="A123" s="25"/>
      <c r="E123" s="25"/>
      <c r="AB123" s="25" t="s">
        <v>242</v>
      </c>
      <c r="AC123" s="27">
        <v>11</v>
      </c>
      <c r="AF123" s="27">
        <v>7</v>
      </c>
      <c r="AG123" s="27">
        <f t="shared" si="66"/>
        <v>2.0510000000000002</v>
      </c>
      <c r="AH123" s="27">
        <v>2</v>
      </c>
      <c r="AI123" s="27">
        <v>5.0880000000000001</v>
      </c>
      <c r="AJ123" s="27">
        <f t="shared" si="67"/>
        <v>10.176</v>
      </c>
    </row>
    <row r="124" spans="1:36" s="27" customFormat="1">
      <c r="A124" s="25"/>
      <c r="B124" s="33"/>
      <c r="C124" s="34"/>
      <c r="E124" s="25"/>
      <c r="L124" s="11"/>
      <c r="N124" s="11"/>
      <c r="O124" s="11"/>
      <c r="P124" s="11"/>
      <c r="AB124" s="25"/>
      <c r="AC124" s="27">
        <f>AC122*AC123</f>
        <v>180.6497</v>
      </c>
      <c r="AF124" s="27">
        <v>8</v>
      </c>
      <c r="AG124" s="27">
        <f t="shared" si="66"/>
        <v>2.0510000000000002</v>
      </c>
      <c r="AH124" s="27">
        <v>4</v>
      </c>
      <c r="AI124" s="27">
        <v>4.88</v>
      </c>
      <c r="AJ124" s="27">
        <f t="shared" si="67"/>
        <v>19.52</v>
      </c>
    </row>
    <row r="125" spans="1:36" s="27" customFormat="1">
      <c r="A125" s="25"/>
      <c r="B125" s="35"/>
      <c r="C125" s="36"/>
      <c r="E125" s="25"/>
      <c r="AB125" s="25"/>
      <c r="AF125" s="27">
        <v>9</v>
      </c>
      <c r="AG125" s="27">
        <f t="shared" si="66"/>
        <v>2.0510000000000002</v>
      </c>
      <c r="AH125" s="27">
        <v>2</v>
      </c>
      <c r="AI125" s="27">
        <v>4.6459999999999999</v>
      </c>
      <c r="AJ125" s="27">
        <f t="shared" si="67"/>
        <v>9.2919999999999998</v>
      </c>
    </row>
    <row r="126" spans="1:36" s="27" customFormat="1">
      <c r="A126" s="25"/>
      <c r="E126" s="25"/>
      <c r="AB126" s="25" t="s">
        <v>243</v>
      </c>
      <c r="AC126" s="27">
        <f>AC124*2</f>
        <v>361.29939999999999</v>
      </c>
      <c r="AF126" s="27">
        <v>10</v>
      </c>
      <c r="AG126" s="27">
        <f t="shared" si="66"/>
        <v>2.0510000000000002</v>
      </c>
      <c r="AH126" s="27">
        <v>4</v>
      </c>
      <c r="AI126" s="27">
        <v>4.3521999999999998</v>
      </c>
      <c r="AJ126" s="27">
        <f t="shared" si="67"/>
        <v>17.408799999999999</v>
      </c>
    </row>
    <row r="127" spans="1:36" s="27" customFormat="1">
      <c r="A127" s="25"/>
      <c r="E127" s="25"/>
      <c r="AB127" s="25"/>
      <c r="AF127" s="27">
        <v>11</v>
      </c>
      <c r="AG127" s="27">
        <f t="shared" si="66"/>
        <v>2.0510000000000002</v>
      </c>
      <c r="AH127" s="27">
        <v>2</v>
      </c>
      <c r="AI127" s="27">
        <v>3.9369999999999998</v>
      </c>
      <c r="AJ127" s="27">
        <f t="shared" si="67"/>
        <v>7.8739999999999997</v>
      </c>
    </row>
    <row r="128" spans="1:36" s="27" customFormat="1">
      <c r="A128" s="25"/>
      <c r="E128" s="25"/>
      <c r="AB128" s="25"/>
      <c r="AF128" s="27">
        <v>12</v>
      </c>
      <c r="AG128" s="27">
        <f t="shared" si="66"/>
        <v>2.0510000000000002</v>
      </c>
      <c r="AH128" s="27">
        <v>4</v>
      </c>
      <c r="AI128" s="27">
        <v>3.3079000000000001</v>
      </c>
      <c r="AJ128" s="27">
        <f t="shared" si="67"/>
        <v>13.2316</v>
      </c>
    </row>
    <row r="129" spans="1:36" s="27" customFormat="1">
      <c r="A129" s="25"/>
      <c r="E129" s="25"/>
      <c r="AB129" s="25"/>
      <c r="AF129" s="27">
        <v>13</v>
      </c>
      <c r="AG129" s="27">
        <f t="shared" si="66"/>
        <v>2.0510000000000002</v>
      </c>
      <c r="AH129" s="27">
        <v>2</v>
      </c>
      <c r="AI129" s="27">
        <v>2.5211000000000001</v>
      </c>
      <c r="AJ129" s="27">
        <f t="shared" si="67"/>
        <v>5.0422000000000002</v>
      </c>
    </row>
    <row r="130" spans="1:36" s="27" customFormat="1">
      <c r="A130" s="25"/>
      <c r="E130" s="25"/>
      <c r="AB130" s="25"/>
      <c r="AF130" s="27">
        <v>14</v>
      </c>
      <c r="AG130" s="27">
        <f t="shared" si="66"/>
        <v>2.0510000000000002</v>
      </c>
      <c r="AH130" s="27">
        <v>4</v>
      </c>
      <c r="AI130" s="27">
        <v>1.1579999999999999</v>
      </c>
      <c r="AJ130" s="27">
        <f t="shared" si="67"/>
        <v>4.6319999999999997</v>
      </c>
    </row>
    <row r="131" spans="1:36" s="27" customFormat="1">
      <c r="A131" s="25"/>
      <c r="E131" s="25"/>
      <c r="AB131" s="25"/>
      <c r="AF131" s="27">
        <v>15</v>
      </c>
      <c r="AG131" s="27">
        <f t="shared" si="66"/>
        <v>2.0510000000000002</v>
      </c>
      <c r="AH131" s="27">
        <v>1</v>
      </c>
      <c r="AI131" s="27">
        <v>0</v>
      </c>
      <c r="AJ131" s="27">
        <f t="shared" si="67"/>
        <v>0</v>
      </c>
    </row>
    <row r="132" spans="1:36" s="27" customFormat="1">
      <c r="A132" s="25"/>
      <c r="E132" s="25"/>
      <c r="AB132" s="25"/>
    </row>
    <row r="133" spans="1:36" s="27" customFormat="1">
      <c r="A133" s="25"/>
      <c r="E133" s="25"/>
      <c r="AB133" s="25"/>
      <c r="AJ133" s="27">
        <f>SUM(AJ117:AJ131)</f>
        <v>177.77059999999997</v>
      </c>
    </row>
    <row r="134" spans="1:36" s="27" customFormat="1">
      <c r="A134" s="25"/>
      <c r="E134" s="25"/>
      <c r="AB134" s="25"/>
    </row>
    <row r="135" spans="1:36" s="27" customFormat="1">
      <c r="A135" s="25"/>
      <c r="E135" s="25"/>
      <c r="AB135" s="25"/>
      <c r="AI135" s="27" t="s">
        <v>244</v>
      </c>
      <c r="AJ135" s="27">
        <f>(2/3)*1.465*AJ133</f>
        <v>173.62261933333332</v>
      </c>
    </row>
    <row r="136" spans="1:36" s="27" customFormat="1">
      <c r="A136" s="25"/>
      <c r="E136" s="25"/>
      <c r="AB136" s="25"/>
    </row>
    <row r="137" spans="1:36" s="27" customFormat="1">
      <c r="A137" s="25"/>
      <c r="E137" s="25"/>
      <c r="AB137" s="25"/>
    </row>
    <row r="138" spans="1:36" s="27" customFormat="1">
      <c r="A138" s="25"/>
      <c r="E138" s="25"/>
      <c r="AB138" s="25"/>
    </row>
    <row r="139" spans="1:36" s="27" customFormat="1">
      <c r="A139" s="25"/>
      <c r="E139" s="25"/>
      <c r="AB139" s="25"/>
    </row>
    <row r="140" spans="1:36" s="27" customFormat="1">
      <c r="A140" s="25"/>
      <c r="E140" s="25"/>
      <c r="AB140" s="25"/>
      <c r="AF140" s="27">
        <v>1</v>
      </c>
      <c r="AG140" s="27">
        <f>12.884/10</f>
        <v>1.2884</v>
      </c>
      <c r="AH140" s="27">
        <v>1</v>
      </c>
      <c r="AI140" s="27">
        <v>4.0190000000000001</v>
      </c>
      <c r="AJ140" s="27">
        <f>AI140*AH140</f>
        <v>4.0190000000000001</v>
      </c>
    </row>
    <row r="141" spans="1:36" s="27" customFormat="1">
      <c r="A141" s="25"/>
      <c r="E141" s="25"/>
      <c r="AB141" s="25"/>
      <c r="AF141" s="27">
        <v>2</v>
      </c>
      <c r="AH141" s="27">
        <v>4</v>
      </c>
      <c r="AI141" s="27">
        <v>4.4080000000000004</v>
      </c>
      <c r="AJ141" s="27">
        <f t="shared" ref="AJ141:AJ150" si="68">AI141*AH141</f>
        <v>17.632000000000001</v>
      </c>
    </row>
    <row r="142" spans="1:36" s="27" customFormat="1">
      <c r="A142" s="25"/>
      <c r="E142" s="25"/>
      <c r="AB142" s="25"/>
      <c r="AF142" s="27">
        <v>3</v>
      </c>
      <c r="AH142" s="27">
        <v>2</v>
      </c>
      <c r="AI142" s="27">
        <v>4.7539999999999996</v>
      </c>
      <c r="AJ142" s="27">
        <f t="shared" si="68"/>
        <v>9.5079999999999991</v>
      </c>
    </row>
    <row r="143" spans="1:36" s="27" customFormat="1">
      <c r="A143" s="25"/>
      <c r="E143" s="25"/>
      <c r="AB143" s="25"/>
      <c r="AF143" s="27">
        <v>4</v>
      </c>
      <c r="AH143" s="27">
        <v>4</v>
      </c>
      <c r="AI143" s="27">
        <v>5.0179999999999998</v>
      </c>
      <c r="AJ143" s="27">
        <f t="shared" si="68"/>
        <v>20.071999999999999</v>
      </c>
    </row>
    <row r="144" spans="1:36" s="27" customFormat="1">
      <c r="A144" s="25"/>
      <c r="E144" s="25"/>
      <c r="AB144" s="25"/>
      <c r="AF144" s="27">
        <v>5</v>
      </c>
      <c r="AH144" s="27">
        <v>2</v>
      </c>
      <c r="AI144" s="27">
        <v>5.194</v>
      </c>
      <c r="AJ144" s="27">
        <f t="shared" si="68"/>
        <v>10.388</v>
      </c>
    </row>
    <row r="145" spans="1:36" s="27" customFormat="1">
      <c r="A145" s="25"/>
      <c r="E145" s="25"/>
      <c r="AB145" s="25"/>
      <c r="AF145" s="27">
        <v>6</v>
      </c>
      <c r="AH145" s="27">
        <v>4</v>
      </c>
      <c r="AI145" s="27">
        <v>5.3109999999999999</v>
      </c>
      <c r="AJ145" s="27">
        <f t="shared" si="68"/>
        <v>21.244</v>
      </c>
    </row>
    <row r="146" spans="1:36" s="27" customFormat="1">
      <c r="A146" s="25"/>
      <c r="E146" s="25"/>
      <c r="AB146" s="25"/>
      <c r="AF146" s="27">
        <v>7</v>
      </c>
      <c r="AH146" s="27">
        <v>2</v>
      </c>
      <c r="AI146" s="27">
        <v>5.39</v>
      </c>
      <c r="AJ146" s="27">
        <f t="shared" si="68"/>
        <v>10.78</v>
      </c>
    </row>
    <row r="147" spans="1:36" s="27" customFormat="1">
      <c r="A147" s="25"/>
      <c r="E147" s="25"/>
      <c r="AB147" s="25"/>
      <c r="AF147" s="27">
        <v>8</v>
      </c>
      <c r="AH147" s="27">
        <v>4</v>
      </c>
      <c r="AI147" s="27">
        <v>5.44</v>
      </c>
      <c r="AJ147" s="27">
        <f t="shared" si="68"/>
        <v>21.76</v>
      </c>
    </row>
    <row r="148" spans="1:36" s="27" customFormat="1">
      <c r="A148" s="25"/>
      <c r="E148" s="25"/>
      <c r="AB148" s="25"/>
      <c r="AF148" s="27">
        <v>9</v>
      </c>
      <c r="AH148" s="27">
        <v>2</v>
      </c>
      <c r="AI148" s="27">
        <v>5.47</v>
      </c>
      <c r="AJ148" s="27">
        <f t="shared" si="68"/>
        <v>10.94</v>
      </c>
    </row>
    <row r="149" spans="1:36" s="27" customFormat="1">
      <c r="A149" s="25"/>
      <c r="E149" s="25"/>
      <c r="AB149" s="25"/>
      <c r="AF149" s="27">
        <v>10</v>
      </c>
      <c r="AH149" s="27">
        <v>4</v>
      </c>
      <c r="AI149" s="27">
        <v>5.49</v>
      </c>
      <c r="AJ149" s="27">
        <f t="shared" si="68"/>
        <v>21.96</v>
      </c>
    </row>
    <row r="150" spans="1:36" s="27" customFormat="1">
      <c r="A150" s="25"/>
      <c r="E150" s="25"/>
      <c r="AB150" s="25"/>
      <c r="AF150" s="27">
        <v>11</v>
      </c>
      <c r="AH150" s="27">
        <v>1</v>
      </c>
      <c r="AI150" s="27">
        <v>5.5</v>
      </c>
      <c r="AJ150" s="27">
        <f t="shared" si="68"/>
        <v>5.5</v>
      </c>
    </row>
    <row r="151" spans="1:36" s="27" customFormat="1">
      <c r="A151" s="25"/>
      <c r="E151" s="25"/>
      <c r="AB151" s="25"/>
    </row>
    <row r="152" spans="1:36" s="27" customFormat="1">
      <c r="A152" s="25"/>
      <c r="E152" s="25"/>
      <c r="AB152" s="25"/>
      <c r="AJ152" s="27">
        <f>SUM(AJ140:AJ150)</f>
        <v>153.803</v>
      </c>
    </row>
    <row r="153" spans="1:36" s="27" customFormat="1">
      <c r="A153" s="25"/>
      <c r="E153" s="25"/>
      <c r="AB153" s="25"/>
    </row>
    <row r="154" spans="1:36" s="27" customFormat="1">
      <c r="A154" s="25"/>
      <c r="E154" s="25"/>
      <c r="AB154" s="25"/>
      <c r="AI154" s="27" t="s">
        <v>245</v>
      </c>
      <c r="AJ154" s="27">
        <f>(2/3)*AJ152*1.2884</f>
        <v>132.10652346666666</v>
      </c>
    </row>
    <row r="155" spans="1:36" s="27" customFormat="1">
      <c r="A155" s="25"/>
      <c r="E155" s="25"/>
      <c r="AB155" s="25"/>
    </row>
    <row r="156" spans="1:36" s="27" customFormat="1">
      <c r="A156" s="25"/>
      <c r="E156" s="25"/>
      <c r="AB156" s="25"/>
    </row>
    <row r="157" spans="1:36" s="27" customFormat="1">
      <c r="A157" s="25"/>
      <c r="E157" s="25"/>
      <c r="AB157" s="25"/>
    </row>
    <row r="158" spans="1:36" s="27" customFormat="1">
      <c r="A158" s="25"/>
      <c r="E158" s="25"/>
      <c r="AB158" s="25"/>
      <c r="AF158" s="27" t="s">
        <v>290</v>
      </c>
      <c r="AH158" s="27">
        <f>AJ154+AJ135+AC126-AC120</f>
        <v>427.39004279999995</v>
      </c>
      <c r="AI158" s="27" t="s">
        <v>246</v>
      </c>
    </row>
    <row r="159" spans="1:36" s="27" customFormat="1">
      <c r="A159" s="25"/>
      <c r="E159" s="25"/>
      <c r="AB159" s="25"/>
    </row>
    <row r="160" spans="1:36" s="27" customFormat="1">
      <c r="A160" s="25"/>
      <c r="E160" s="25"/>
      <c r="AB160" s="25"/>
    </row>
    <row r="161" spans="1:37" s="27" customFormat="1">
      <c r="A161" s="25"/>
      <c r="E161" s="25"/>
      <c r="AB161" s="25"/>
      <c r="AF161" s="27" t="s">
        <v>245</v>
      </c>
      <c r="AG161" s="27">
        <f>AJ154*0.008*7.87</f>
        <v>8.3174267174613323</v>
      </c>
      <c r="AH161" s="27">
        <v>7.7</v>
      </c>
      <c r="AI161" s="27">
        <f>AG161*AH161</f>
        <v>64.044185724452262</v>
      </c>
      <c r="AJ161" s="27">
        <v>5</v>
      </c>
      <c r="AK161" s="27">
        <f>AJ161*AG161</f>
        <v>41.58713358730666</v>
      </c>
    </row>
    <row r="162" spans="1:37" s="27" customFormat="1">
      <c r="A162" s="25"/>
      <c r="E162" s="25"/>
      <c r="AB162" s="25"/>
    </row>
    <row r="163" spans="1:37" s="27" customFormat="1">
      <c r="A163" s="25"/>
      <c r="E163" s="25"/>
      <c r="AB163" s="25"/>
      <c r="AF163" s="27" t="s">
        <v>247</v>
      </c>
      <c r="AG163" s="27">
        <f>(AC124-AC120/3)*7.87*0.008</f>
        <v>6.3444917920000004</v>
      </c>
      <c r="AH163" s="27">
        <v>21.15</v>
      </c>
      <c r="AI163" s="27">
        <f>AG163*AH163</f>
        <v>134.1860014008</v>
      </c>
      <c r="AJ163" s="27">
        <v>5</v>
      </c>
      <c r="AK163" s="27">
        <f>AJ163*AG163</f>
        <v>31.722458960000001</v>
      </c>
    </row>
    <row r="164" spans="1:37" s="27" customFormat="1">
      <c r="A164" s="25"/>
      <c r="E164" s="25"/>
      <c r="AB164" s="25"/>
    </row>
    <row r="165" spans="1:37" s="27" customFormat="1">
      <c r="A165" s="25"/>
      <c r="E165" s="25"/>
      <c r="AB165" s="25"/>
      <c r="AF165" s="27" t="s">
        <v>248</v>
      </c>
      <c r="AG165" s="27">
        <f>(AC126/2-AC120/3)*0.008*7.87</f>
        <v>6.3444917919999995</v>
      </c>
      <c r="AH165" s="27">
        <v>37.520000000000003</v>
      </c>
      <c r="AI165" s="27">
        <f>AG165*AH165</f>
        <v>238.04533203584</v>
      </c>
      <c r="AJ165" s="27">
        <v>5</v>
      </c>
      <c r="AK165" s="27">
        <f>AJ165*AG165</f>
        <v>31.722458959999997</v>
      </c>
    </row>
    <row r="166" spans="1:37" s="27" customFormat="1">
      <c r="A166" s="25"/>
      <c r="E166" s="25"/>
      <c r="AB166" s="25"/>
    </row>
    <row r="167" spans="1:37" s="27" customFormat="1">
      <c r="A167" s="25"/>
      <c r="E167" s="25"/>
      <c r="AB167" s="25"/>
      <c r="AF167" s="27" t="s">
        <v>244</v>
      </c>
      <c r="AG167" s="27">
        <f>(AJ135-AC119)*7.87*0.008</f>
        <v>5.9020667932266653</v>
      </c>
      <c r="AH167" s="27">
        <v>54.02</v>
      </c>
      <c r="AI167" s="27">
        <f>AG167*AH167</f>
        <v>318.82964817010446</v>
      </c>
      <c r="AJ167" s="27">
        <v>5</v>
      </c>
      <c r="AK167" s="27">
        <f>AJ167*AG167</f>
        <v>29.510333966133327</v>
      </c>
    </row>
    <row r="168" spans="1:37" s="27" customFormat="1">
      <c r="A168" s="25"/>
      <c r="E168" s="25"/>
      <c r="AB168" s="25"/>
    </row>
    <row r="169" spans="1:37" s="27" customFormat="1">
      <c r="A169" s="25"/>
      <c r="E169" s="25"/>
      <c r="AB169" s="25"/>
      <c r="AG169" s="27">
        <f>SUM(AG161:AG167)</f>
        <v>26.908477094687999</v>
      </c>
      <c r="AI169" s="27">
        <f>SUM(AI161:AI167)</f>
        <v>755.10516733119675</v>
      </c>
      <c r="AK169" s="27">
        <f>SUM(AK161:AK167)</f>
        <v>134.54238547343999</v>
      </c>
    </row>
    <row r="170" spans="1:37" s="27" customFormat="1">
      <c r="A170" s="25"/>
      <c r="E170" s="25"/>
      <c r="AB170" s="25"/>
    </row>
    <row r="171" spans="1:37" s="27" customFormat="1">
      <c r="A171" s="25"/>
      <c r="E171" s="25"/>
      <c r="AB171" s="25"/>
    </row>
    <row r="172" spans="1:37" s="27" customFormat="1">
      <c r="A172" s="25"/>
      <c r="E172" s="25"/>
      <c r="AB172" s="25"/>
      <c r="AG172" s="49" t="s">
        <v>4</v>
      </c>
      <c r="AH172" s="27">
        <f>AI169/AG169</f>
        <v>28.061980790442504</v>
      </c>
      <c r="AI172" s="27" t="s">
        <v>178</v>
      </c>
    </row>
    <row r="173" spans="1:37" s="27" customFormat="1">
      <c r="A173" s="25"/>
      <c r="E173" s="25"/>
      <c r="AB173" s="25"/>
      <c r="AG173" s="49" t="s">
        <v>5</v>
      </c>
      <c r="AH173" s="27">
        <f>AK169/AG169</f>
        <v>5</v>
      </c>
      <c r="AI173" s="27" t="s">
        <v>178</v>
      </c>
    </row>
    <row r="174" spans="1:37" s="27" customFormat="1">
      <c r="A174" s="25"/>
      <c r="E174" s="25"/>
      <c r="AB174" s="25"/>
    </row>
    <row r="175" spans="1:37" s="27" customFormat="1">
      <c r="A175" s="25"/>
      <c r="E175" s="25"/>
      <c r="W175" s="27" t="s">
        <v>247</v>
      </c>
      <c r="X175" s="27">
        <f>(AJ135*0.4)*0.008*7.87</f>
        <v>4.3725120452906667</v>
      </c>
      <c r="Y175" s="27">
        <f>58.6</f>
        <v>58.6</v>
      </c>
      <c r="AB175" s="25"/>
      <c r="AE175" s="27" t="s">
        <v>251</v>
      </c>
    </row>
    <row r="176" spans="1:37" s="27" customFormat="1">
      <c r="A176" s="25"/>
      <c r="E176" s="25"/>
      <c r="AB176" s="25"/>
      <c r="AF176" s="27" t="s">
        <v>291</v>
      </c>
      <c r="AG176" s="27">
        <f>AC178*7.87*0.008</f>
        <v>8.758146717461333</v>
      </c>
      <c r="AH176" s="27">
        <v>7.7</v>
      </c>
      <c r="AI176" s="27">
        <f>AG176*AH176</f>
        <v>67.437729724452268</v>
      </c>
      <c r="AJ176" s="27">
        <v>7.36</v>
      </c>
      <c r="AK176" s="27">
        <f>AJ176*AG176</f>
        <v>64.45995984051541</v>
      </c>
    </row>
    <row r="177" spans="1:37" s="27" customFormat="1">
      <c r="A177" s="25"/>
      <c r="E177" s="25"/>
      <c r="AB177" s="25"/>
      <c r="AF177" s="27" t="s">
        <v>292</v>
      </c>
      <c r="AG177" s="27">
        <f>AC179*0.009*7.87</f>
        <v>4.4260023743999986</v>
      </c>
      <c r="AH177" s="27">
        <v>7.3</v>
      </c>
      <c r="AI177" s="27">
        <f t="shared" ref="AI177:AI179" si="69">AG177*AH177</f>
        <v>32.309817333119987</v>
      </c>
      <c r="AJ177" s="27">
        <v>6.1630000000000003</v>
      </c>
      <c r="AK177" s="27">
        <f t="shared" ref="AK177:AK179" si="70">AJ177*AG177</f>
        <v>27.277452633427192</v>
      </c>
    </row>
    <row r="178" spans="1:37" s="27" customFormat="1">
      <c r="A178" s="25"/>
      <c r="E178" s="25"/>
      <c r="AB178" s="27" t="s">
        <v>291</v>
      </c>
      <c r="AC178" s="27">
        <f>AJ154+7</f>
        <v>139.10652346666666</v>
      </c>
      <c r="AF178" s="27" t="s">
        <v>293</v>
      </c>
      <c r="AG178" s="27">
        <f>AC180*0.009*7.87</f>
        <v>1.3474982520000001</v>
      </c>
      <c r="AH178" s="27">
        <v>0</v>
      </c>
      <c r="AI178" s="27">
        <f t="shared" si="69"/>
        <v>0</v>
      </c>
      <c r="AJ178" s="27">
        <v>6.1630000000000003</v>
      </c>
      <c r="AK178" s="27">
        <f t="shared" si="70"/>
        <v>8.3046317270759999</v>
      </c>
    </row>
    <row r="179" spans="1:37" s="27" customFormat="1">
      <c r="A179" s="25"/>
      <c r="E179" s="25"/>
      <c r="AB179" s="27" t="s">
        <v>292</v>
      </c>
      <c r="AC179" s="27">
        <f>13.04*2.396*2</f>
        <v>62.48767999999999</v>
      </c>
      <c r="AF179" s="27" t="s">
        <v>294</v>
      </c>
      <c r="AG179" s="27">
        <f>AC181*0.009*7.87</f>
        <v>1.8671992109999997</v>
      </c>
      <c r="AH179" s="27">
        <f>13.27</f>
        <v>13.27</v>
      </c>
      <c r="AI179" s="27">
        <f t="shared" si="69"/>
        <v>24.777733529969996</v>
      </c>
      <c r="AJ179" s="27">
        <v>6.1630000000000003</v>
      </c>
      <c r="AK179" s="27">
        <f t="shared" si="70"/>
        <v>11.507548737392998</v>
      </c>
    </row>
    <row r="180" spans="1:37" s="27" customFormat="1">
      <c r="A180" s="25"/>
      <c r="E180" s="25"/>
      <c r="AB180" s="27" t="s">
        <v>293</v>
      </c>
      <c r="AC180" s="27">
        <f>7.96*2.39</f>
        <v>19.0244</v>
      </c>
    </row>
    <row r="181" spans="1:37" s="27" customFormat="1">
      <c r="A181" s="25"/>
      <c r="E181" s="25"/>
      <c r="AB181" s="27" t="s">
        <v>294</v>
      </c>
      <c r="AC181" s="27">
        <f>11.03*2.39</f>
        <v>26.361699999999999</v>
      </c>
      <c r="AG181" s="27">
        <f>SUM(AG176:AG179)</f>
        <v>16.398846554861333</v>
      </c>
      <c r="AI181" s="27">
        <f>SUM(AI176:AI179)</f>
        <v>124.52528058754226</v>
      </c>
      <c r="AK181" s="27">
        <f>SUM(AK176:AK179)</f>
        <v>111.54959293841159</v>
      </c>
    </row>
    <row r="182" spans="1:37" s="27" customFormat="1">
      <c r="A182" s="25"/>
      <c r="E182" s="25"/>
      <c r="AB182" s="25"/>
    </row>
    <row r="183" spans="1:37" s="27" customFormat="1">
      <c r="A183" s="25"/>
      <c r="E183" s="25"/>
      <c r="AB183" s="25"/>
      <c r="AF183" s="49" t="s">
        <v>4</v>
      </c>
      <c r="AG183" s="27">
        <f>AI181/AG181</f>
        <v>7.593538982815077</v>
      </c>
      <c r="AH183" s="27" t="s">
        <v>178</v>
      </c>
    </row>
    <row r="184" spans="1:37" s="27" customFormat="1">
      <c r="A184" s="25"/>
      <c r="E184" s="25"/>
      <c r="AB184" s="25"/>
      <c r="AF184" s="49" t="s">
        <v>5</v>
      </c>
      <c r="AG184" s="27">
        <f>AK181/AG181</f>
        <v>6.8022828657631065</v>
      </c>
      <c r="AH184" s="27" t="s">
        <v>178</v>
      </c>
    </row>
    <row r="185" spans="1:37" s="27" customFormat="1">
      <c r="A185" s="25"/>
      <c r="E185" s="25"/>
      <c r="AB185" s="25"/>
    </row>
    <row r="186" spans="1:37" s="27" customFormat="1">
      <c r="A186" s="25"/>
      <c r="E186" s="25"/>
      <c r="AB186" s="25"/>
      <c r="AD186" s="28" t="s">
        <v>255</v>
      </c>
      <c r="AE186" s="28"/>
    </row>
    <row r="187" spans="1:37" s="27" customFormat="1">
      <c r="A187" s="25"/>
      <c r="E187" s="25"/>
      <c r="AB187" s="25"/>
    </row>
    <row r="188" spans="1:37" s="27" customFormat="1">
      <c r="A188" s="25"/>
      <c r="E188" s="25"/>
      <c r="AB188" s="25"/>
    </row>
    <row r="189" spans="1:37" s="27" customFormat="1">
      <c r="A189" s="25"/>
      <c r="E189" s="25"/>
      <c r="AB189" s="25"/>
      <c r="AF189" s="27" t="s">
        <v>291</v>
      </c>
      <c r="AG189" s="27">
        <f>5.19*6.76*2*0.008*7.87</f>
        <v>4.4178276480000003</v>
      </c>
      <c r="AH189" s="27">
        <v>8.83</v>
      </c>
      <c r="AI189" s="27">
        <f>AH189*AG189</f>
        <v>39.00941813184</v>
      </c>
      <c r="AJ189" s="27">
        <v>9.52</v>
      </c>
      <c r="AK189" s="27">
        <f>AJ189*AG189</f>
        <v>42.057719208960002</v>
      </c>
    </row>
    <row r="190" spans="1:37" s="27" customFormat="1">
      <c r="A190" s="25"/>
      <c r="E190" s="25"/>
      <c r="AB190" s="25"/>
      <c r="AF190" s="27" t="s">
        <v>292</v>
      </c>
      <c r="AG190" s="27">
        <f>6.76*2.205*2*0.009*7.87</f>
        <v>2.1115556279999996</v>
      </c>
      <c r="AH190" s="27">
        <v>8.83</v>
      </c>
      <c r="AI190" s="27">
        <f t="shared" ref="AI190:AI192" si="71">AH190*AG190</f>
        <v>18.645036195239996</v>
      </c>
      <c r="AJ190" s="27">
        <v>8.4600000000000009</v>
      </c>
      <c r="AK190" s="27">
        <f t="shared" ref="AK190:AK192" si="72">AJ190*AG190</f>
        <v>17.86376061288</v>
      </c>
    </row>
    <row r="191" spans="1:37" s="27" customFormat="1">
      <c r="A191" s="25"/>
      <c r="E191" s="25"/>
      <c r="AB191" s="25"/>
      <c r="AF191" s="27" t="s">
        <v>293</v>
      </c>
      <c r="AG191" s="27">
        <f>5.19*2.205*2*0.008*7.87</f>
        <v>1.4410221840000002</v>
      </c>
      <c r="AH191" s="27">
        <v>6.25</v>
      </c>
      <c r="AI191" s="27">
        <f t="shared" si="71"/>
        <v>9.0063886500000017</v>
      </c>
      <c r="AJ191" s="27">
        <v>8.4600000000000009</v>
      </c>
      <c r="AK191" s="27">
        <f t="shared" si="72"/>
        <v>12.191047676640002</v>
      </c>
    </row>
    <row r="192" spans="1:37" s="27" customFormat="1">
      <c r="A192" s="25"/>
      <c r="E192" s="25"/>
      <c r="AB192" s="25"/>
      <c r="AF192" s="27" t="s">
        <v>294</v>
      </c>
      <c r="AG192" s="27">
        <f>11.03*2.205*0.009*7.87</f>
        <v>1.7226670544999998</v>
      </c>
      <c r="AH192" s="27">
        <v>13.27</v>
      </c>
      <c r="AI192" s="27">
        <f t="shared" si="71"/>
        <v>22.859791813214997</v>
      </c>
      <c r="AJ192" s="27">
        <v>8.4600000000000009</v>
      </c>
      <c r="AK192" s="27">
        <f t="shared" si="72"/>
        <v>14.573763281069999</v>
      </c>
    </row>
    <row r="193" spans="1:37" s="27" customFormat="1">
      <c r="A193" s="25"/>
      <c r="E193" s="25"/>
      <c r="AB193" s="25"/>
    </row>
    <row r="194" spans="1:37" s="27" customFormat="1">
      <c r="A194" s="25"/>
      <c r="E194" s="25"/>
      <c r="AB194" s="25"/>
      <c r="AG194" s="27">
        <f>SUM(AG189:AG192)</f>
        <v>9.6930725145000007</v>
      </c>
      <c r="AH194" s="27" t="s">
        <v>184</v>
      </c>
      <c r="AI194" s="27">
        <f>SUM(AI189:AI192)</f>
        <v>89.520634790294991</v>
      </c>
      <c r="AK194" s="27">
        <f>SUM(AK189:AK192)</f>
        <v>86.686290779550006</v>
      </c>
    </row>
    <row r="195" spans="1:37" s="27" customFormat="1">
      <c r="A195" s="25"/>
      <c r="E195" s="25"/>
      <c r="AB195" s="25"/>
    </row>
    <row r="196" spans="1:37" s="27" customFormat="1">
      <c r="A196" s="25"/>
      <c r="E196" s="25"/>
      <c r="AB196" s="25"/>
      <c r="AG196" s="49" t="s">
        <v>4</v>
      </c>
      <c r="AH196" s="27">
        <f>AI194/AG194</f>
        <v>9.2355271928874814</v>
      </c>
    </row>
    <row r="197" spans="1:37" s="27" customFormat="1">
      <c r="A197" s="25"/>
      <c r="E197" s="25"/>
      <c r="AB197" s="25"/>
      <c r="AG197" s="49" t="s">
        <v>5</v>
      </c>
      <c r="AH197" s="27">
        <f>AK194/AG194</f>
        <v>8.9431179483981769</v>
      </c>
    </row>
    <row r="198" spans="1:37" s="27" customFormat="1">
      <c r="A198" s="25"/>
      <c r="E198" s="25"/>
      <c r="AB198" s="25"/>
      <c r="AD198" s="28" t="s">
        <v>252</v>
      </c>
      <c r="AE198" s="28"/>
    </row>
    <row r="199" spans="1:37" s="27" customFormat="1">
      <c r="A199" s="25"/>
      <c r="E199" s="25"/>
      <c r="AB199" s="25"/>
    </row>
    <row r="200" spans="1:37" s="27" customFormat="1">
      <c r="A200" s="25"/>
      <c r="E200" s="25"/>
      <c r="AB200" s="25"/>
      <c r="AF200" s="27" t="s">
        <v>291</v>
      </c>
      <c r="AG200" s="27">
        <f>2.8294*2.9375*2*0.008*7.87</f>
        <v>1.046566766</v>
      </c>
      <c r="AH200" s="27">
        <v>11.43</v>
      </c>
      <c r="AI200" s="27">
        <f>AH200*AG200</f>
        <v>11.962258135379999</v>
      </c>
      <c r="AJ200" s="27">
        <f>AH189+2</f>
        <v>10.83</v>
      </c>
      <c r="AK200" s="27">
        <f>AJ200*AG200</f>
        <v>11.334318075780001</v>
      </c>
    </row>
    <row r="201" spans="1:37" s="27" customFormat="1">
      <c r="A201" s="25"/>
      <c r="E201" s="25"/>
      <c r="AB201" s="25"/>
      <c r="AF201" s="27" t="s">
        <v>292</v>
      </c>
      <c r="AG201" s="27">
        <f>2.828*2*2*0.009*7.87</f>
        <v>0.80122895999999988</v>
      </c>
      <c r="AH201" s="27">
        <v>11.43</v>
      </c>
      <c r="AI201" s="27">
        <f t="shared" ref="AI201:AI203" si="73">AH201*AG201</f>
        <v>9.1580470127999991</v>
      </c>
      <c r="AJ201" s="27">
        <v>10.457000000000001</v>
      </c>
      <c r="AK201" s="27">
        <f t="shared" ref="AK201:AK203" si="74">AJ201*AG201</f>
        <v>8.37845123472</v>
      </c>
    </row>
    <row r="202" spans="1:37" s="27" customFormat="1">
      <c r="A202" s="25"/>
      <c r="E202" s="25"/>
      <c r="AB202" s="25"/>
      <c r="AF202" s="27" t="s">
        <v>293</v>
      </c>
      <c r="AG202" s="27">
        <f>2.937*2*2*0.009*7.87</f>
        <v>0.83211083999999991</v>
      </c>
      <c r="AH202" s="27">
        <v>10</v>
      </c>
      <c r="AI202" s="27">
        <f t="shared" si="73"/>
        <v>8.3211084</v>
      </c>
      <c r="AJ202" s="27">
        <v>10.457000000000001</v>
      </c>
      <c r="AK202" s="27">
        <f t="shared" si="74"/>
        <v>8.701383053879999</v>
      </c>
    </row>
    <row r="203" spans="1:37" s="27" customFormat="1">
      <c r="A203" s="25"/>
      <c r="E203" s="25"/>
      <c r="AB203" s="25"/>
      <c r="AF203" s="27" t="s">
        <v>294</v>
      </c>
      <c r="AG203" s="27">
        <f>3.25*2*2*0.009*7.87</f>
        <v>0.92079</v>
      </c>
      <c r="AH203" s="27">
        <v>13.27</v>
      </c>
      <c r="AI203" s="27">
        <f t="shared" si="73"/>
        <v>12.2188833</v>
      </c>
      <c r="AJ203" s="27">
        <v>10.457000000000001</v>
      </c>
      <c r="AK203" s="27">
        <f t="shared" si="74"/>
        <v>9.6287010300000002</v>
      </c>
    </row>
    <row r="204" spans="1:37" s="27" customFormat="1">
      <c r="A204" s="25"/>
      <c r="E204" s="25"/>
      <c r="AB204" s="25"/>
    </row>
    <row r="205" spans="1:37" s="27" customFormat="1">
      <c r="A205" s="25"/>
      <c r="E205" s="25"/>
      <c r="AB205" s="25"/>
      <c r="AG205" s="27">
        <f>SUM(AG200:AG203)</f>
        <v>3.6006965659999999</v>
      </c>
      <c r="AI205" s="27">
        <f>SUM(AI200:AI203)</f>
        <v>41.660296848179996</v>
      </c>
      <c r="AK205" s="27">
        <f>SUM(AK200:AK203)</f>
        <v>38.042853394380003</v>
      </c>
    </row>
    <row r="206" spans="1:37" s="27" customFormat="1">
      <c r="A206" s="25"/>
      <c r="E206" s="25"/>
      <c r="AB206" s="25"/>
    </row>
    <row r="207" spans="1:37" s="27" customFormat="1">
      <c r="A207" s="25"/>
      <c r="E207" s="25"/>
      <c r="AB207" s="25"/>
      <c r="AH207" s="49" t="s">
        <v>4</v>
      </c>
      <c r="AI207" s="27">
        <f>AI205/AG205</f>
        <v>11.570065981555414</v>
      </c>
    </row>
    <row r="208" spans="1:37" s="27" customFormat="1">
      <c r="A208" s="25"/>
      <c r="E208" s="25"/>
      <c r="AB208" s="25"/>
      <c r="AH208" s="49" t="s">
        <v>5</v>
      </c>
      <c r="AI208" s="27">
        <f>AK205/AG205</f>
        <v>10.565414968204795</v>
      </c>
    </row>
    <row r="209" spans="1:37" s="27" customFormat="1">
      <c r="A209" s="25"/>
      <c r="E209" s="25"/>
      <c r="AB209" s="25"/>
      <c r="AC209" s="27" t="s">
        <v>295</v>
      </c>
    </row>
    <row r="210" spans="1:37" s="27" customFormat="1">
      <c r="A210" s="25"/>
      <c r="E210" s="25"/>
      <c r="AB210" s="25"/>
    </row>
    <row r="211" spans="1:37" s="27" customFormat="1">
      <c r="A211" s="25"/>
      <c r="E211" s="25"/>
      <c r="AB211" s="25"/>
      <c r="AC211" s="27" t="s">
        <v>296</v>
      </c>
      <c r="AD211" s="27">
        <f>1.902*14.5*2</f>
        <v>55.157999999999994</v>
      </c>
      <c r="AG211" s="27">
        <f>AD211*0.008*7.87</f>
        <v>3.4727476799999999</v>
      </c>
      <c r="AH211" s="27">
        <v>21.14</v>
      </c>
      <c r="AI211" s="27">
        <f>AH211*AG211</f>
        <v>73.413885955200001</v>
      </c>
      <c r="AJ211" s="27">
        <v>0.81499999999999995</v>
      </c>
      <c r="AK211" s="27">
        <f>AJ211*AG211</f>
        <v>2.8302893591999996</v>
      </c>
    </row>
    <row r="212" spans="1:37" s="27" customFormat="1">
      <c r="A212" s="25"/>
      <c r="E212" s="25"/>
      <c r="AB212" s="25"/>
      <c r="AD212" s="27">
        <f>9*1.902</f>
        <v>17.117999999999999</v>
      </c>
      <c r="AG212" s="27">
        <f t="shared" ref="AG212:AG219" si="75">AD212*0.008*7.87</f>
        <v>1.0777492799999999</v>
      </c>
      <c r="AH212" s="27">
        <v>13.27</v>
      </c>
      <c r="AI212" s="27">
        <f t="shared" ref="AI212:AI219" si="76">AH212*AG212</f>
        <v>14.301732945599998</v>
      </c>
      <c r="AJ212" s="27">
        <v>0.81499999999999995</v>
      </c>
      <c r="AK212" s="27">
        <f t="shared" ref="AK212:AK219" si="77">AJ212*AG212</f>
        <v>0.87836566319999987</v>
      </c>
    </row>
    <row r="213" spans="1:37" s="27" customFormat="1">
      <c r="A213" s="25"/>
      <c r="E213" s="25"/>
      <c r="AB213" s="25"/>
      <c r="AD213" s="27">
        <f>9*1.902</f>
        <v>17.117999999999999</v>
      </c>
      <c r="AG213" s="27">
        <f t="shared" si="75"/>
        <v>1.0777492799999999</v>
      </c>
      <c r="AH213" s="27">
        <v>29</v>
      </c>
      <c r="AI213" s="27">
        <f t="shared" si="76"/>
        <v>31.254729119999997</v>
      </c>
      <c r="AJ213" s="27">
        <v>0.81499999999999995</v>
      </c>
      <c r="AK213" s="27">
        <f t="shared" si="77"/>
        <v>0.87836566319999987</v>
      </c>
    </row>
    <row r="214" spans="1:37" s="27" customFormat="1">
      <c r="A214" s="25"/>
      <c r="E214" s="25"/>
      <c r="AB214" s="25"/>
      <c r="AC214" s="27" t="s">
        <v>297</v>
      </c>
      <c r="AD214" s="27">
        <f t="shared" ref="AD214:AD219" si="78">AD211</f>
        <v>55.157999999999994</v>
      </c>
      <c r="AG214" s="27">
        <f t="shared" si="75"/>
        <v>3.4727476799999999</v>
      </c>
      <c r="AH214" s="27">
        <v>37.51</v>
      </c>
      <c r="AI214" s="27">
        <f t="shared" si="76"/>
        <v>130.26276547679998</v>
      </c>
      <c r="AJ214" s="27">
        <v>0.81499999999999995</v>
      </c>
      <c r="AK214" s="27">
        <f t="shared" si="77"/>
        <v>2.8302893591999996</v>
      </c>
    </row>
    <row r="215" spans="1:37" s="27" customFormat="1">
      <c r="A215" s="25"/>
      <c r="E215" s="25"/>
      <c r="AB215" s="25"/>
      <c r="AD215" s="27">
        <f t="shared" si="78"/>
        <v>17.117999999999999</v>
      </c>
      <c r="AG215" s="27">
        <f t="shared" si="75"/>
        <v>1.0777492799999999</v>
      </c>
      <c r="AH215" s="27">
        <v>29.3</v>
      </c>
      <c r="AI215" s="27">
        <f t="shared" si="76"/>
        <v>31.578053903999997</v>
      </c>
      <c r="AJ215" s="27">
        <v>0.81499999999999995</v>
      </c>
      <c r="AK215" s="27">
        <f t="shared" si="77"/>
        <v>0.87836566319999987</v>
      </c>
    </row>
    <row r="216" spans="1:37" s="27" customFormat="1">
      <c r="A216" s="25"/>
      <c r="E216" s="25"/>
      <c r="AB216" s="25"/>
      <c r="AD216" s="27">
        <f t="shared" si="78"/>
        <v>17.117999999999999</v>
      </c>
      <c r="AG216" s="27">
        <f t="shared" si="75"/>
        <v>1.0777492799999999</v>
      </c>
      <c r="AH216" s="27">
        <v>45</v>
      </c>
      <c r="AI216" s="27">
        <f t="shared" si="76"/>
        <v>48.498717599999999</v>
      </c>
      <c r="AJ216" s="27">
        <v>0.81499999999999995</v>
      </c>
      <c r="AK216" s="27">
        <f t="shared" si="77"/>
        <v>0.87836566319999987</v>
      </c>
    </row>
    <row r="217" spans="1:37" s="27" customFormat="1">
      <c r="A217" s="25"/>
      <c r="E217" s="25"/>
      <c r="AB217" s="25"/>
      <c r="AC217" s="27" t="s">
        <v>298</v>
      </c>
      <c r="AD217" s="27">
        <f t="shared" si="78"/>
        <v>55.157999999999994</v>
      </c>
      <c r="AG217" s="27">
        <f t="shared" si="75"/>
        <v>3.4727476799999999</v>
      </c>
      <c r="AH217" s="27">
        <v>52.7</v>
      </c>
      <c r="AI217" s="27">
        <f t="shared" si="76"/>
        <v>183.013802736</v>
      </c>
      <c r="AJ217" s="27">
        <v>0.81499999999999995</v>
      </c>
      <c r="AK217" s="27">
        <f t="shared" si="77"/>
        <v>2.8302893591999996</v>
      </c>
    </row>
    <row r="218" spans="1:37" s="27" customFormat="1">
      <c r="A218" s="25"/>
      <c r="E218" s="25"/>
      <c r="AB218" s="25"/>
      <c r="AD218" s="27">
        <f t="shared" si="78"/>
        <v>17.117999999999999</v>
      </c>
      <c r="AG218" s="27">
        <f t="shared" si="75"/>
        <v>1.0777492799999999</v>
      </c>
      <c r="AH218" s="27">
        <v>45.3</v>
      </c>
      <c r="AI218" s="27">
        <f t="shared" si="76"/>
        <v>48.822042383999992</v>
      </c>
      <c r="AJ218" s="27">
        <v>0.81499999999999995</v>
      </c>
      <c r="AK218" s="27">
        <f t="shared" si="77"/>
        <v>0.87836566319999987</v>
      </c>
    </row>
    <row r="219" spans="1:37" s="27" customFormat="1">
      <c r="A219" s="25"/>
      <c r="E219" s="25"/>
      <c r="AB219" s="25"/>
      <c r="AD219" s="27">
        <f t="shared" si="78"/>
        <v>17.117999999999999</v>
      </c>
      <c r="AG219" s="27">
        <f t="shared" si="75"/>
        <v>1.0777492799999999</v>
      </c>
      <c r="AH219" s="27">
        <v>59</v>
      </c>
      <c r="AI219" s="27">
        <f t="shared" si="76"/>
        <v>63.587207519999993</v>
      </c>
      <c r="AJ219" s="27">
        <v>0.81499999999999995</v>
      </c>
      <c r="AK219" s="27">
        <f t="shared" si="77"/>
        <v>0.87836566319999987</v>
      </c>
    </row>
    <row r="220" spans="1:37" s="27" customFormat="1">
      <c r="A220" s="25"/>
      <c r="E220" s="25"/>
      <c r="AB220" s="25"/>
    </row>
    <row r="221" spans="1:37" s="27" customFormat="1">
      <c r="A221" s="25"/>
      <c r="E221" s="25"/>
      <c r="AB221" s="25"/>
      <c r="AG221" s="27">
        <f>SUM(AG211:AG219)</f>
        <v>16.884738719999998</v>
      </c>
      <c r="AI221" s="27">
        <f>SUM(AI211:AI219)</f>
        <v>624.73293764160007</v>
      </c>
      <c r="AK221" s="27">
        <f>SUM(AK211:AK219)</f>
        <v>13.7610620568</v>
      </c>
    </row>
    <row r="222" spans="1:37" s="27" customFormat="1">
      <c r="A222" s="25"/>
      <c r="E222" s="25"/>
      <c r="AB222" s="25"/>
    </row>
    <row r="223" spans="1:37" s="27" customFormat="1">
      <c r="A223" s="25"/>
      <c r="E223" s="25"/>
      <c r="AB223" s="25"/>
    </row>
    <row r="224" spans="1:37" s="27" customFormat="1">
      <c r="A224" s="25"/>
      <c r="E224" s="25"/>
      <c r="AB224" s="25"/>
      <c r="AG224" s="49" t="s">
        <v>4</v>
      </c>
      <c r="AH224" s="27">
        <f>AI221/AG221</f>
        <v>36.999858156028381</v>
      </c>
      <c r="AI224" s="27" t="s">
        <v>178</v>
      </c>
    </row>
    <row r="225" spans="1:37" s="27" customFormat="1">
      <c r="A225" s="25"/>
      <c r="E225" s="25"/>
      <c r="AB225" s="25"/>
      <c r="AG225" s="49" t="s">
        <v>5</v>
      </c>
      <c r="AH225" s="27">
        <f>AK221/AG221</f>
        <v>0.81500000000000006</v>
      </c>
      <c r="AI225" s="27" t="s">
        <v>178</v>
      </c>
    </row>
    <row r="226" spans="1:37" s="27" customFormat="1">
      <c r="A226" s="25"/>
      <c r="E226" s="25"/>
      <c r="AB226" s="25"/>
    </row>
    <row r="227" spans="1:37" s="27" customFormat="1">
      <c r="A227" s="25"/>
      <c r="E227" s="25"/>
      <c r="AB227" s="25" t="s">
        <v>249</v>
      </c>
    </row>
    <row r="228" spans="1:37" s="27" customFormat="1">
      <c r="A228" s="25"/>
      <c r="E228" s="25"/>
      <c r="AB228" s="25"/>
      <c r="AC228" s="27" t="s">
        <v>296</v>
      </c>
      <c r="AD228" s="27">
        <f>2.435*14.5*2</f>
        <v>70.614999999999995</v>
      </c>
      <c r="AG228" s="27">
        <f>AD228*0.008*7.87</f>
        <v>4.4459204000000003</v>
      </c>
      <c r="AH228" s="27">
        <v>21.14</v>
      </c>
      <c r="AI228" s="27">
        <f>AH228*AG228</f>
        <v>93.986757256000004</v>
      </c>
      <c r="AJ228" s="27">
        <v>4.4870000000000001</v>
      </c>
      <c r="AK228" s="27">
        <f>AG228*AJ228</f>
        <v>19.948844834800003</v>
      </c>
    </row>
    <row r="229" spans="1:37" s="27" customFormat="1">
      <c r="A229" s="25"/>
      <c r="E229" s="25"/>
      <c r="AB229" s="25"/>
      <c r="AD229" s="27">
        <f>2.435*9</f>
        <v>21.914999999999999</v>
      </c>
      <c r="AG229" s="27">
        <f t="shared" ref="AG229:AG236" si="79">AD229*0.008*7.87</f>
        <v>1.3797684000000001</v>
      </c>
      <c r="AH229" s="27">
        <v>13.27</v>
      </c>
      <c r="AI229" s="27">
        <f t="shared" ref="AI229:AI236" si="80">AH229*AG229</f>
        <v>18.309526668</v>
      </c>
      <c r="AJ229" s="27">
        <v>4.4870000000000001</v>
      </c>
      <c r="AK229" s="27">
        <f t="shared" ref="AK229:AK236" si="81">AG229*AJ229</f>
        <v>6.1910208108000004</v>
      </c>
    </row>
    <row r="230" spans="1:37" s="27" customFormat="1">
      <c r="A230" s="25"/>
      <c r="E230" s="25"/>
      <c r="AB230" s="25"/>
      <c r="AD230" s="27">
        <f>AD229</f>
        <v>21.914999999999999</v>
      </c>
      <c r="AG230" s="27">
        <f t="shared" si="79"/>
        <v>1.3797684000000001</v>
      </c>
      <c r="AH230" s="27">
        <v>29</v>
      </c>
      <c r="AI230" s="27">
        <f t="shared" si="80"/>
        <v>40.013283600000001</v>
      </c>
      <c r="AJ230" s="27">
        <v>4.4870000000000001</v>
      </c>
      <c r="AK230" s="27">
        <f t="shared" si="81"/>
        <v>6.1910208108000004</v>
      </c>
    </row>
    <row r="231" spans="1:37" s="27" customFormat="1">
      <c r="A231" s="25"/>
      <c r="E231" s="25"/>
      <c r="AB231" s="25"/>
      <c r="AC231" s="27" t="s">
        <v>297</v>
      </c>
      <c r="AD231" s="27">
        <f>2.435*14.5*2</f>
        <v>70.614999999999995</v>
      </c>
      <c r="AG231" s="27">
        <f t="shared" si="79"/>
        <v>4.4459204000000003</v>
      </c>
      <c r="AH231" s="27">
        <v>37.51</v>
      </c>
      <c r="AI231" s="27">
        <f t="shared" si="80"/>
        <v>166.76647420399999</v>
      </c>
      <c r="AJ231" s="27">
        <v>4.4870000000000001</v>
      </c>
      <c r="AK231" s="27">
        <f t="shared" si="81"/>
        <v>19.948844834800003</v>
      </c>
    </row>
    <row r="232" spans="1:37" s="27" customFormat="1">
      <c r="A232" s="25"/>
      <c r="E232" s="25"/>
      <c r="AB232" s="25"/>
      <c r="AD232" s="27">
        <f>2.435*9</f>
        <v>21.914999999999999</v>
      </c>
      <c r="AG232" s="27">
        <f t="shared" si="79"/>
        <v>1.3797684000000001</v>
      </c>
      <c r="AH232" s="27">
        <v>29.3</v>
      </c>
      <c r="AI232" s="27">
        <f t="shared" si="80"/>
        <v>40.427214120000002</v>
      </c>
      <c r="AJ232" s="27">
        <v>4.4870000000000001</v>
      </c>
      <c r="AK232" s="27">
        <f t="shared" si="81"/>
        <v>6.1910208108000004</v>
      </c>
    </row>
    <row r="233" spans="1:37" s="27" customFormat="1">
      <c r="A233" s="25"/>
      <c r="E233" s="25"/>
      <c r="AB233" s="25"/>
      <c r="AD233" s="27">
        <f>AD232</f>
        <v>21.914999999999999</v>
      </c>
      <c r="AG233" s="27">
        <f t="shared" si="79"/>
        <v>1.3797684000000001</v>
      </c>
      <c r="AH233" s="27">
        <v>45</v>
      </c>
      <c r="AI233" s="27">
        <f t="shared" si="80"/>
        <v>62.089578000000003</v>
      </c>
      <c r="AJ233" s="27">
        <v>4.4870000000000001</v>
      </c>
      <c r="AK233" s="27">
        <f t="shared" si="81"/>
        <v>6.1910208108000004</v>
      </c>
    </row>
    <row r="234" spans="1:37" s="27" customFormat="1">
      <c r="A234" s="25"/>
      <c r="E234" s="25"/>
      <c r="AB234" s="25"/>
      <c r="AC234" s="27" t="s">
        <v>298</v>
      </c>
      <c r="AD234" s="27">
        <f>2.435*14.5*2</f>
        <v>70.614999999999995</v>
      </c>
      <c r="AG234" s="27">
        <f t="shared" si="79"/>
        <v>4.4459204000000003</v>
      </c>
      <c r="AH234" s="27">
        <v>52.7</v>
      </c>
      <c r="AI234" s="27">
        <f t="shared" si="80"/>
        <v>234.30000508000003</v>
      </c>
      <c r="AJ234" s="27">
        <v>4.4870000000000001</v>
      </c>
      <c r="AK234" s="27">
        <f t="shared" si="81"/>
        <v>19.948844834800003</v>
      </c>
    </row>
    <row r="235" spans="1:37" s="27" customFormat="1">
      <c r="A235" s="25"/>
      <c r="E235" s="25"/>
      <c r="AB235" s="25"/>
      <c r="AD235" s="27">
        <f>2.435*9</f>
        <v>21.914999999999999</v>
      </c>
      <c r="AG235" s="27">
        <f t="shared" si="79"/>
        <v>1.3797684000000001</v>
      </c>
      <c r="AH235" s="27">
        <v>45.3</v>
      </c>
      <c r="AI235" s="27">
        <f t="shared" si="80"/>
        <v>62.503508520000004</v>
      </c>
      <c r="AJ235" s="27">
        <v>4.4870000000000001</v>
      </c>
      <c r="AK235" s="27">
        <f t="shared" si="81"/>
        <v>6.1910208108000004</v>
      </c>
    </row>
    <row r="236" spans="1:37" s="27" customFormat="1">
      <c r="A236" s="25"/>
      <c r="E236" s="25"/>
      <c r="AB236" s="25"/>
      <c r="AD236" s="27">
        <f>AD235</f>
        <v>21.914999999999999</v>
      </c>
      <c r="AG236" s="27">
        <f t="shared" si="79"/>
        <v>1.3797684000000001</v>
      </c>
      <c r="AH236" s="27">
        <v>59</v>
      </c>
      <c r="AI236" s="27">
        <f t="shared" si="80"/>
        <v>81.406335600000006</v>
      </c>
      <c r="AJ236" s="27">
        <v>4.4870000000000001</v>
      </c>
      <c r="AK236" s="27">
        <f t="shared" si="81"/>
        <v>6.1910208108000004</v>
      </c>
    </row>
    <row r="237" spans="1:37" s="27" customFormat="1">
      <c r="A237" s="25"/>
      <c r="E237" s="25"/>
      <c r="AB237" s="25"/>
    </row>
    <row r="238" spans="1:37" s="27" customFormat="1">
      <c r="A238" s="25"/>
      <c r="E238" s="25"/>
      <c r="AB238" s="25"/>
      <c r="AG238" s="27">
        <f>SUM(AG228:AG236)</f>
        <v>21.616371600000001</v>
      </c>
      <c r="AI238" s="27">
        <f>SUM(AI228:AI236)</f>
        <v>799.80268304800006</v>
      </c>
      <c r="AK238" s="27">
        <f>SUM(AK228:AK236)</f>
        <v>96.992659369199998</v>
      </c>
    </row>
    <row r="239" spans="1:37" s="27" customFormat="1">
      <c r="A239" s="25"/>
      <c r="E239" s="25"/>
      <c r="AB239" s="25"/>
    </row>
    <row r="240" spans="1:37" s="27" customFormat="1">
      <c r="A240" s="25"/>
      <c r="E240" s="25"/>
      <c r="AB240" s="25"/>
      <c r="AG240" s="49" t="s">
        <v>4</v>
      </c>
      <c r="AH240" s="27">
        <f>AI238/AG238</f>
        <v>36.999858156028367</v>
      </c>
      <c r="AI240" s="27" t="s">
        <v>178</v>
      </c>
    </row>
    <row r="241" spans="1:35" s="27" customFormat="1">
      <c r="A241" s="25"/>
      <c r="E241" s="25"/>
      <c r="AB241" s="25"/>
      <c r="AG241" s="49" t="s">
        <v>5</v>
      </c>
      <c r="AH241" s="27">
        <f>AK238/AG238</f>
        <v>4.4870000000000001</v>
      </c>
      <c r="AI241" s="27" t="s">
        <v>178</v>
      </c>
    </row>
    <row r="242" spans="1:35" s="27" customFormat="1">
      <c r="A242" s="25"/>
      <c r="E242" s="25"/>
      <c r="AB242" s="25"/>
    </row>
    <row r="243" spans="1:35" s="27" customFormat="1">
      <c r="A243" s="25"/>
      <c r="E243" s="25"/>
      <c r="AB243" s="25"/>
    </row>
    <row r="244" spans="1:35" s="27" customFormat="1">
      <c r="A244" s="25"/>
      <c r="E244" s="25"/>
      <c r="AB244" s="25"/>
    </row>
    <row r="245" spans="1:35" s="27" customFormat="1">
      <c r="A245" s="25"/>
      <c r="E245" s="25"/>
      <c r="AB245" s="25"/>
    </row>
    <row r="246" spans="1:35" s="27" customFormat="1">
      <c r="A246" s="25"/>
      <c r="E246" s="25"/>
      <c r="AB246" s="25"/>
      <c r="AE246" s="27">
        <f>AG238+AG221+AG205+AG194+AG181+AG169+AG102+AG68+AG46+AG19+AR54+[1]Sheet2!G298</f>
        <v>305.06122352204932</v>
      </c>
    </row>
    <row r="247" spans="1:35" s="27" customFormat="1">
      <c r="A247" s="25"/>
      <c r="E247" s="25"/>
      <c r="AB247" s="25"/>
    </row>
    <row r="248" spans="1:35" s="27" customFormat="1">
      <c r="A248" s="25"/>
      <c r="E248" s="25"/>
      <c r="AB248" s="25"/>
    </row>
    <row r="249" spans="1:35" s="27" customFormat="1">
      <c r="A249" s="25"/>
      <c r="E249" s="25"/>
      <c r="AB249" s="25"/>
    </row>
    <row r="250" spans="1:35" s="27" customFormat="1">
      <c r="A250" s="25"/>
      <c r="E250" s="25"/>
      <c r="AB250" s="25"/>
    </row>
    <row r="251" spans="1:35" s="27" customFormat="1">
      <c r="A251" s="25"/>
      <c r="E251" s="25"/>
      <c r="AB251" s="25"/>
    </row>
    <row r="252" spans="1:35" s="27" customFormat="1">
      <c r="A252" s="25"/>
      <c r="E252" s="25"/>
      <c r="AB252" s="25"/>
    </row>
    <row r="253" spans="1:35" s="27" customFormat="1">
      <c r="A253" s="25"/>
      <c r="E253" s="25"/>
      <c r="AB253" s="25"/>
    </row>
    <row r="254" spans="1:35" s="27" customFormat="1">
      <c r="A254" s="25"/>
      <c r="E254" s="25"/>
      <c r="AB254" s="25"/>
    </row>
    <row r="255" spans="1:35" s="27" customFormat="1">
      <c r="A255" s="25"/>
      <c r="E255" s="25"/>
      <c r="AB255" s="25"/>
    </row>
  </sheetData>
  <mergeCells count="48">
    <mergeCell ref="AD186:AE186"/>
    <mergeCell ref="AD198:AE198"/>
    <mergeCell ref="B100:B101"/>
    <mergeCell ref="A105:A106"/>
    <mergeCell ref="B109:B110"/>
    <mergeCell ref="L84:M85"/>
    <mergeCell ref="G86:H87"/>
    <mergeCell ref="J86:J87"/>
    <mergeCell ref="K86:K87"/>
    <mergeCell ref="G88:H89"/>
    <mergeCell ref="J88:J89"/>
    <mergeCell ref="K88:K89"/>
    <mergeCell ref="A56:A58"/>
    <mergeCell ref="A61:A62"/>
    <mergeCell ref="A70:A98"/>
    <mergeCell ref="G84:H85"/>
    <mergeCell ref="J84:J85"/>
    <mergeCell ref="K84:K85"/>
    <mergeCell ref="M45:M46"/>
    <mergeCell ref="N45:N46"/>
    <mergeCell ref="O45:O46"/>
    <mergeCell ref="P45:P46"/>
    <mergeCell ref="A49:A50"/>
    <mergeCell ref="A51:A52"/>
    <mergeCell ref="A12:A17"/>
    <mergeCell ref="A21:A22"/>
    <mergeCell ref="A26:A27"/>
    <mergeCell ref="B43:B44"/>
    <mergeCell ref="A45:A46"/>
    <mergeCell ref="L45:L46"/>
    <mergeCell ref="A7:A8"/>
    <mergeCell ref="L7:L8"/>
    <mergeCell ref="M7:M8"/>
    <mergeCell ref="N7:N8"/>
    <mergeCell ref="O7:O8"/>
    <mergeCell ref="P7:P8"/>
    <mergeCell ref="A5:A6"/>
    <mergeCell ref="L5:L6"/>
    <mergeCell ref="M5:M6"/>
    <mergeCell ref="N5:N6"/>
    <mergeCell ref="O5:O6"/>
    <mergeCell ref="P5:P6"/>
    <mergeCell ref="A3:A4"/>
    <mergeCell ref="L3:L4"/>
    <mergeCell ref="M3:M4"/>
    <mergeCell ref="N3:N4"/>
    <mergeCell ref="O3:O4"/>
    <mergeCell ref="P3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sqref="A1:B1"/>
    </sheetView>
  </sheetViews>
  <sheetFormatPr defaultRowHeight="14.5"/>
  <cols>
    <col min="1" max="1" width="20.453125" customWidth="1"/>
    <col min="2" max="2" width="22.36328125" customWidth="1"/>
    <col min="5" max="5" width="11.08984375" customWidth="1"/>
    <col min="7" max="7" width="13.7265625" customWidth="1"/>
    <col min="9" max="9" width="13.81640625" customWidth="1"/>
  </cols>
  <sheetData>
    <row r="1" spans="1:9" s="69" customFormat="1" ht="65.5" customHeight="1">
      <c r="A1" s="70" t="s">
        <v>257</v>
      </c>
      <c r="B1" s="71"/>
      <c r="C1" s="68" t="s">
        <v>258</v>
      </c>
      <c r="D1" s="67" t="s">
        <v>299</v>
      </c>
      <c r="E1" s="67" t="s">
        <v>261</v>
      </c>
      <c r="F1" s="67" t="s">
        <v>194</v>
      </c>
      <c r="G1" s="67" t="s">
        <v>347</v>
      </c>
      <c r="H1" s="67" t="s">
        <v>196</v>
      </c>
      <c r="I1" s="67" t="s">
        <v>197</v>
      </c>
    </row>
    <row r="2" spans="1:9" s="4" customFormat="1">
      <c r="A2" s="73"/>
      <c r="B2" s="73"/>
      <c r="C2" s="55"/>
    </row>
    <row r="3" spans="1:9" s="58" customFormat="1" ht="15" customHeight="1">
      <c r="A3" s="56" t="s">
        <v>300</v>
      </c>
      <c r="B3" s="56"/>
      <c r="C3" s="57">
        <v>1</v>
      </c>
      <c r="D3" s="58">
        <v>850</v>
      </c>
      <c r="E3" s="58">
        <f>D3/1000</f>
        <v>0.85</v>
      </c>
      <c r="F3" s="58">
        <v>10.11</v>
      </c>
      <c r="G3" s="58">
        <f>E3*F3</f>
        <v>8.5934999999999988</v>
      </c>
      <c r="H3" s="58">
        <v>7.31</v>
      </c>
      <c r="I3" s="58">
        <f>H3*E3</f>
        <v>6.2134999999999998</v>
      </c>
    </row>
    <row r="4" spans="1:9" s="58" customFormat="1" ht="15" customHeight="1">
      <c r="A4" s="56" t="s">
        <v>301</v>
      </c>
      <c r="B4" s="56"/>
      <c r="C4" s="57">
        <v>1</v>
      </c>
      <c r="D4" s="58">
        <v>50</v>
      </c>
      <c r="E4" s="58">
        <f t="shared" ref="E4:E15" si="0">D4/1000</f>
        <v>0.05</v>
      </c>
      <c r="F4" s="58">
        <v>11</v>
      </c>
      <c r="G4" s="58">
        <f t="shared" ref="G4:G76" si="1">E4*F4</f>
        <v>0.55000000000000004</v>
      </c>
      <c r="H4" s="58">
        <v>7.31</v>
      </c>
      <c r="I4" s="58">
        <f t="shared" ref="I4:I68" si="2">H4*E4</f>
        <v>0.36549999999999999</v>
      </c>
    </row>
    <row r="5" spans="1:9" s="58" customFormat="1" ht="15" customHeight="1">
      <c r="A5" s="56" t="s">
        <v>344</v>
      </c>
      <c r="B5" s="56"/>
      <c r="C5" s="57">
        <v>1</v>
      </c>
      <c r="D5" s="58">
        <v>50</v>
      </c>
      <c r="E5" s="58">
        <f t="shared" si="0"/>
        <v>0.05</v>
      </c>
      <c r="F5" s="58">
        <v>11</v>
      </c>
      <c r="G5" s="58">
        <f t="shared" si="1"/>
        <v>0.55000000000000004</v>
      </c>
      <c r="H5" s="58">
        <v>7.31</v>
      </c>
      <c r="I5" s="58">
        <f t="shared" si="2"/>
        <v>0.36549999999999999</v>
      </c>
    </row>
    <row r="6" spans="1:9" s="58" customFormat="1" ht="15" customHeight="1">
      <c r="A6" s="56" t="s">
        <v>302</v>
      </c>
      <c r="B6" s="56"/>
      <c r="C6" s="57">
        <v>2</v>
      </c>
      <c r="D6" s="58">
        <v>50</v>
      </c>
      <c r="E6" s="58">
        <f t="shared" si="0"/>
        <v>0.05</v>
      </c>
      <c r="F6" s="58">
        <v>9</v>
      </c>
      <c r="G6" s="58">
        <f t="shared" si="1"/>
        <v>0.45</v>
      </c>
      <c r="H6" s="58">
        <v>7.31</v>
      </c>
      <c r="I6" s="58">
        <f t="shared" si="2"/>
        <v>0.36549999999999999</v>
      </c>
    </row>
    <row r="7" spans="1:9" s="58" customFormat="1" ht="15" customHeight="1">
      <c r="A7" s="56" t="s">
        <v>303</v>
      </c>
      <c r="B7" s="56"/>
      <c r="C7" s="57">
        <v>1</v>
      </c>
      <c r="D7" s="58">
        <v>50</v>
      </c>
      <c r="E7" s="58">
        <f t="shared" si="0"/>
        <v>0.05</v>
      </c>
      <c r="F7" s="58">
        <v>10.5</v>
      </c>
      <c r="G7" s="58">
        <f t="shared" si="1"/>
        <v>0.52500000000000002</v>
      </c>
      <c r="H7" s="58">
        <v>7.31</v>
      </c>
      <c r="I7" s="58">
        <f t="shared" si="2"/>
        <v>0.36549999999999999</v>
      </c>
    </row>
    <row r="8" spans="1:9" s="58" customFormat="1" ht="15" customHeight="1">
      <c r="A8" s="56" t="s">
        <v>341</v>
      </c>
      <c r="B8" s="56"/>
      <c r="C8" s="57">
        <v>1</v>
      </c>
      <c r="D8" s="58">
        <v>15</v>
      </c>
      <c r="E8" s="58">
        <f t="shared" si="0"/>
        <v>1.4999999999999999E-2</v>
      </c>
      <c r="F8" s="58">
        <v>10.5</v>
      </c>
      <c r="G8" s="58">
        <f t="shared" si="1"/>
        <v>0.1575</v>
      </c>
      <c r="H8" s="58">
        <v>7.31</v>
      </c>
      <c r="I8" s="58">
        <f t="shared" si="2"/>
        <v>0.10964999999999998</v>
      </c>
    </row>
    <row r="9" spans="1:9" s="58" customFormat="1" ht="15" customHeight="1">
      <c r="A9" s="56" t="s">
        <v>304</v>
      </c>
      <c r="B9" s="56"/>
      <c r="C9" s="57">
        <v>1</v>
      </c>
      <c r="D9" s="58">
        <v>40</v>
      </c>
      <c r="E9" s="58">
        <f t="shared" si="0"/>
        <v>0.04</v>
      </c>
      <c r="F9" s="58">
        <v>10.5</v>
      </c>
      <c r="G9" s="58">
        <f t="shared" si="1"/>
        <v>0.42</v>
      </c>
      <c r="H9" s="58">
        <v>7.31</v>
      </c>
      <c r="I9" s="58">
        <f t="shared" si="2"/>
        <v>0.29239999999999999</v>
      </c>
    </row>
    <row r="10" spans="1:9" s="58" customFormat="1" ht="15" customHeight="1">
      <c r="A10" s="56" t="s">
        <v>342</v>
      </c>
      <c r="B10" s="56"/>
      <c r="C10" s="57">
        <v>1</v>
      </c>
      <c r="D10" s="58">
        <v>20</v>
      </c>
      <c r="E10" s="58">
        <f t="shared" si="0"/>
        <v>0.02</v>
      </c>
      <c r="F10" s="58">
        <v>10.5</v>
      </c>
      <c r="G10" s="58">
        <f t="shared" si="1"/>
        <v>0.21</v>
      </c>
      <c r="H10" s="58">
        <v>7.31</v>
      </c>
      <c r="I10" s="58">
        <f t="shared" si="2"/>
        <v>0.1462</v>
      </c>
    </row>
    <row r="11" spans="1:9" s="58" customFormat="1" ht="15" customHeight="1">
      <c r="A11" s="56" t="s">
        <v>343</v>
      </c>
      <c r="B11" s="56"/>
      <c r="C11" s="57">
        <v>2</v>
      </c>
      <c r="D11" s="58">
        <v>20</v>
      </c>
      <c r="E11" s="58">
        <f t="shared" si="0"/>
        <v>0.02</v>
      </c>
      <c r="F11" s="58">
        <v>11</v>
      </c>
      <c r="G11" s="58">
        <f t="shared" si="1"/>
        <v>0.22</v>
      </c>
      <c r="H11" s="58">
        <v>7.31</v>
      </c>
      <c r="I11" s="58">
        <f t="shared" si="2"/>
        <v>0.1462</v>
      </c>
    </row>
    <row r="12" spans="1:9" s="58" customFormat="1" ht="15" customHeight="1">
      <c r="A12" s="56" t="s">
        <v>305</v>
      </c>
      <c r="B12" s="56"/>
      <c r="C12" s="57">
        <v>1</v>
      </c>
      <c r="D12" s="58">
        <v>75</v>
      </c>
      <c r="E12" s="58">
        <f t="shared" si="0"/>
        <v>7.4999999999999997E-2</v>
      </c>
      <c r="F12" s="58">
        <v>11</v>
      </c>
      <c r="G12" s="58">
        <f t="shared" si="1"/>
        <v>0.82499999999999996</v>
      </c>
      <c r="H12" s="58">
        <v>7.31</v>
      </c>
      <c r="I12" s="58">
        <f t="shared" si="2"/>
        <v>0.5482499999999999</v>
      </c>
    </row>
    <row r="13" spans="1:9" s="58" customFormat="1" ht="15" customHeight="1">
      <c r="A13" s="56" t="s">
        <v>306</v>
      </c>
      <c r="B13" s="56"/>
      <c r="C13" s="57">
        <v>1</v>
      </c>
      <c r="D13" s="58">
        <v>20</v>
      </c>
      <c r="E13" s="58">
        <f t="shared" si="0"/>
        <v>0.02</v>
      </c>
      <c r="F13" s="58">
        <v>11</v>
      </c>
      <c r="G13" s="58">
        <f t="shared" si="1"/>
        <v>0.22</v>
      </c>
      <c r="H13" s="58">
        <v>7.31</v>
      </c>
      <c r="I13" s="58">
        <f t="shared" si="2"/>
        <v>0.1462</v>
      </c>
    </row>
    <row r="14" spans="1:9" s="58" customFormat="1" ht="15" customHeight="1">
      <c r="A14" s="56" t="s">
        <v>307</v>
      </c>
      <c r="B14" s="56"/>
      <c r="C14" s="57">
        <v>2</v>
      </c>
      <c r="D14" s="58">
        <v>80</v>
      </c>
      <c r="E14" s="58">
        <f t="shared" si="0"/>
        <v>0.08</v>
      </c>
      <c r="F14" s="58">
        <v>11</v>
      </c>
      <c r="G14" s="58">
        <f t="shared" si="1"/>
        <v>0.88</v>
      </c>
      <c r="H14" s="58">
        <v>7.31</v>
      </c>
      <c r="I14" s="58">
        <f t="shared" si="2"/>
        <v>0.58479999999999999</v>
      </c>
    </row>
    <row r="15" spans="1:9" s="58" customFormat="1" ht="15" customHeight="1">
      <c r="A15" s="56" t="s">
        <v>308</v>
      </c>
      <c r="B15" s="56"/>
      <c r="C15" s="57">
        <v>2</v>
      </c>
      <c r="D15" s="58">
        <v>40</v>
      </c>
      <c r="E15" s="58">
        <f t="shared" si="0"/>
        <v>0.04</v>
      </c>
      <c r="F15" s="58">
        <v>7.77</v>
      </c>
      <c r="G15" s="58">
        <f t="shared" si="1"/>
        <v>0.31079999999999997</v>
      </c>
      <c r="H15" s="58">
        <v>6.5</v>
      </c>
      <c r="I15" s="58">
        <f t="shared" si="2"/>
        <v>0.26</v>
      </c>
    </row>
    <row r="16" spans="1:9" s="4" customFormat="1">
      <c r="A16" s="26"/>
      <c r="C16" s="55"/>
    </row>
    <row r="17" spans="1:9" s="4" customFormat="1">
      <c r="A17" s="26"/>
      <c r="C17" s="55"/>
    </row>
    <row r="18" spans="1:9" s="75" customFormat="1">
      <c r="A18" s="74"/>
      <c r="C18" s="76"/>
    </row>
    <row r="19" spans="1:9" s="4" customFormat="1">
      <c r="A19" s="59" t="s">
        <v>309</v>
      </c>
      <c r="B19" s="4" t="s">
        <v>310</v>
      </c>
      <c r="C19" s="55">
        <v>2</v>
      </c>
      <c r="D19" s="4">
        <v>20</v>
      </c>
      <c r="E19" s="4">
        <f>D19/1000</f>
        <v>0.02</v>
      </c>
      <c r="F19" s="4">
        <v>4.7699999999999996</v>
      </c>
      <c r="G19" s="4">
        <f t="shared" si="1"/>
        <v>9.5399999999999999E-2</v>
      </c>
      <c r="H19" s="4">
        <v>5.0999999999999996</v>
      </c>
      <c r="I19" s="4">
        <f t="shared" si="2"/>
        <v>0.10199999999999999</v>
      </c>
    </row>
    <row r="20" spans="1:9" s="4" customFormat="1">
      <c r="A20" s="26"/>
      <c r="C20" s="55"/>
    </row>
    <row r="21" spans="1:9" s="4" customFormat="1">
      <c r="A21" s="60" t="s">
        <v>311</v>
      </c>
      <c r="B21" s="4" t="s">
        <v>348</v>
      </c>
      <c r="C21" s="55">
        <v>1</v>
      </c>
      <c r="D21" s="4">
        <v>35</v>
      </c>
      <c r="E21" s="4">
        <f t="shared" ref="E21:E92" si="3">D21/1000</f>
        <v>3.5000000000000003E-2</v>
      </c>
      <c r="F21" s="4">
        <v>11.85</v>
      </c>
      <c r="G21" s="4">
        <f t="shared" si="1"/>
        <v>0.41475000000000001</v>
      </c>
      <c r="H21" s="4">
        <v>5.0999999999999996</v>
      </c>
      <c r="I21" s="4">
        <f t="shared" si="2"/>
        <v>0.17849999999999999</v>
      </c>
    </row>
    <row r="22" spans="1:9" s="4" customFormat="1">
      <c r="A22" s="60"/>
      <c r="B22" s="4" t="s">
        <v>312</v>
      </c>
      <c r="C22" s="55">
        <v>1</v>
      </c>
      <c r="D22" s="4">
        <v>30</v>
      </c>
      <c r="E22" s="4">
        <f t="shared" si="3"/>
        <v>0.03</v>
      </c>
      <c r="F22" s="4">
        <v>11.94</v>
      </c>
      <c r="G22" s="4">
        <f t="shared" si="1"/>
        <v>0.35819999999999996</v>
      </c>
      <c r="H22" s="4">
        <v>5.0999999999999996</v>
      </c>
      <c r="I22" s="4">
        <f t="shared" si="2"/>
        <v>0.153</v>
      </c>
    </row>
    <row r="23" spans="1:9" s="4" customFormat="1">
      <c r="A23" s="60"/>
      <c r="B23" s="4" t="s">
        <v>316</v>
      </c>
      <c r="C23" s="55">
        <v>1</v>
      </c>
      <c r="D23" s="4">
        <v>15</v>
      </c>
      <c r="E23" s="4">
        <f t="shared" si="3"/>
        <v>1.4999999999999999E-2</v>
      </c>
      <c r="F23" s="4">
        <v>11.94</v>
      </c>
      <c r="G23" s="4">
        <f t="shared" si="1"/>
        <v>0.17909999999999998</v>
      </c>
      <c r="H23" s="4">
        <v>5.0999999999999996</v>
      </c>
      <c r="I23" s="4">
        <f t="shared" si="2"/>
        <v>7.6499999999999999E-2</v>
      </c>
    </row>
    <row r="24" spans="1:9" s="4" customFormat="1">
      <c r="A24" s="26"/>
      <c r="C24" s="55"/>
    </row>
    <row r="25" spans="1:9" s="4" customFormat="1">
      <c r="A25" s="60" t="s">
        <v>313</v>
      </c>
      <c r="B25" s="4" t="s">
        <v>348</v>
      </c>
      <c r="C25" s="55">
        <v>1</v>
      </c>
      <c r="D25" s="4">
        <v>35</v>
      </c>
      <c r="E25" s="4">
        <f t="shared" si="3"/>
        <v>3.5000000000000003E-2</v>
      </c>
      <c r="F25" s="4">
        <v>11.94</v>
      </c>
      <c r="G25" s="4">
        <f t="shared" si="1"/>
        <v>0.41790000000000005</v>
      </c>
      <c r="H25" s="4">
        <v>5.0999999999999996</v>
      </c>
      <c r="I25" s="4">
        <f t="shared" si="2"/>
        <v>0.17849999999999999</v>
      </c>
    </row>
    <row r="26" spans="1:9" s="4" customFormat="1">
      <c r="A26" s="60"/>
      <c r="B26" s="4" t="s">
        <v>312</v>
      </c>
      <c r="C26" s="55">
        <v>1</v>
      </c>
      <c r="D26" s="4">
        <v>30</v>
      </c>
      <c r="E26" s="4">
        <f t="shared" si="3"/>
        <v>0.03</v>
      </c>
      <c r="F26" s="4">
        <v>11.94</v>
      </c>
      <c r="G26" s="4">
        <f t="shared" si="1"/>
        <v>0.35819999999999996</v>
      </c>
      <c r="H26" s="4">
        <v>5.0999999999999996</v>
      </c>
      <c r="I26" s="4">
        <f t="shared" si="2"/>
        <v>0.153</v>
      </c>
    </row>
    <row r="27" spans="1:9" s="4" customFormat="1">
      <c r="A27" s="60"/>
      <c r="B27" s="4" t="s">
        <v>316</v>
      </c>
      <c r="C27" s="55">
        <v>1</v>
      </c>
      <c r="D27" s="4">
        <v>15</v>
      </c>
      <c r="E27" s="4">
        <f t="shared" si="3"/>
        <v>1.4999999999999999E-2</v>
      </c>
      <c r="F27" s="4">
        <v>11.94</v>
      </c>
      <c r="G27" s="4">
        <f t="shared" si="1"/>
        <v>0.17909999999999998</v>
      </c>
      <c r="H27" s="4">
        <v>5.0999999999999996</v>
      </c>
      <c r="I27" s="4">
        <f t="shared" si="2"/>
        <v>7.6499999999999999E-2</v>
      </c>
    </row>
    <row r="28" spans="1:9" s="4" customFormat="1">
      <c r="A28" s="26"/>
      <c r="C28" s="55"/>
    </row>
    <row r="29" spans="1:9" s="4" customFormat="1">
      <c r="A29" s="60" t="s">
        <v>314</v>
      </c>
      <c r="B29" s="4" t="s">
        <v>348</v>
      </c>
      <c r="C29" s="55">
        <v>1</v>
      </c>
      <c r="D29" s="4">
        <v>35</v>
      </c>
      <c r="E29" s="4">
        <f t="shared" si="3"/>
        <v>3.5000000000000003E-2</v>
      </c>
      <c r="F29" s="4">
        <v>11.85</v>
      </c>
      <c r="G29" s="4">
        <f t="shared" si="1"/>
        <v>0.41475000000000001</v>
      </c>
      <c r="H29" s="4">
        <v>7.31</v>
      </c>
      <c r="I29" s="4">
        <f t="shared" si="2"/>
        <v>0.25585000000000002</v>
      </c>
    </row>
    <row r="30" spans="1:9" s="4" customFormat="1">
      <c r="A30" s="60"/>
      <c r="B30" s="4" t="s">
        <v>302</v>
      </c>
      <c r="C30" s="55">
        <v>1</v>
      </c>
      <c r="D30" s="4">
        <v>35</v>
      </c>
      <c r="E30" s="4">
        <f t="shared" si="3"/>
        <v>3.5000000000000003E-2</v>
      </c>
      <c r="F30" s="4">
        <v>11.85</v>
      </c>
      <c r="G30" s="4">
        <f t="shared" si="1"/>
        <v>0.41475000000000001</v>
      </c>
      <c r="H30" s="4">
        <v>7.31</v>
      </c>
      <c r="I30" s="4">
        <f t="shared" si="2"/>
        <v>0.25585000000000002</v>
      </c>
    </row>
    <row r="31" spans="1:9" s="4" customFormat="1">
      <c r="A31" s="60"/>
      <c r="B31" s="4" t="s">
        <v>315</v>
      </c>
      <c r="C31" s="55">
        <v>1</v>
      </c>
      <c r="D31" s="4">
        <v>20</v>
      </c>
      <c r="E31" s="4">
        <f t="shared" si="3"/>
        <v>0.02</v>
      </c>
      <c r="F31" s="4">
        <v>11.88</v>
      </c>
      <c r="G31" s="4">
        <f t="shared" si="1"/>
        <v>0.23760000000000003</v>
      </c>
      <c r="H31" s="4">
        <v>7.31</v>
      </c>
      <c r="I31" s="4">
        <f t="shared" si="2"/>
        <v>0.1462</v>
      </c>
    </row>
    <row r="32" spans="1:9" s="4" customFormat="1">
      <c r="A32" s="60"/>
      <c r="B32" s="4" t="s">
        <v>316</v>
      </c>
      <c r="C32" s="55">
        <v>1</v>
      </c>
      <c r="D32" s="4">
        <v>15</v>
      </c>
      <c r="E32" s="4">
        <f t="shared" si="3"/>
        <v>1.4999999999999999E-2</v>
      </c>
      <c r="F32" s="4">
        <v>11.85</v>
      </c>
      <c r="G32" s="4">
        <f t="shared" si="1"/>
        <v>0.17774999999999999</v>
      </c>
      <c r="H32" s="4">
        <v>7.31</v>
      </c>
      <c r="I32" s="4">
        <f t="shared" si="2"/>
        <v>0.10964999999999998</v>
      </c>
    </row>
    <row r="33" spans="1:9" s="4" customFormat="1">
      <c r="A33" s="60"/>
      <c r="B33" s="4" t="s">
        <v>307</v>
      </c>
      <c r="C33" s="55">
        <v>2</v>
      </c>
      <c r="D33" s="4">
        <v>100</v>
      </c>
      <c r="E33" s="4">
        <v>0.06</v>
      </c>
      <c r="F33" s="4">
        <v>11.85</v>
      </c>
      <c r="G33" s="4">
        <f t="shared" si="1"/>
        <v>0.71099999999999997</v>
      </c>
      <c r="H33" s="4">
        <v>7.31</v>
      </c>
      <c r="I33" s="4">
        <f t="shared" si="2"/>
        <v>0.43859999999999993</v>
      </c>
    </row>
    <row r="34" spans="1:9" s="4" customFormat="1">
      <c r="A34" s="60"/>
      <c r="B34" s="4" t="s">
        <v>317</v>
      </c>
      <c r="C34" s="55">
        <v>1</v>
      </c>
      <c r="D34" s="4">
        <v>85</v>
      </c>
      <c r="E34" s="4">
        <f t="shared" si="3"/>
        <v>8.5000000000000006E-2</v>
      </c>
      <c r="F34" s="4">
        <v>11.85</v>
      </c>
      <c r="G34" s="4">
        <f t="shared" si="1"/>
        <v>1.00725</v>
      </c>
      <c r="H34" s="4">
        <v>7.31</v>
      </c>
      <c r="I34" s="4">
        <f t="shared" si="2"/>
        <v>0.62134999999999996</v>
      </c>
    </row>
    <row r="35" spans="1:9" s="4" customFormat="1">
      <c r="A35" s="60"/>
      <c r="C35" s="55"/>
    </row>
    <row r="36" spans="1:9" s="4" customFormat="1">
      <c r="A36" s="26"/>
      <c r="C36" s="55"/>
    </row>
    <row r="37" spans="1:9" s="4" customFormat="1">
      <c r="A37" s="60" t="s">
        <v>318</v>
      </c>
      <c r="B37" s="4" t="s">
        <v>348</v>
      </c>
      <c r="C37" s="55">
        <v>1</v>
      </c>
      <c r="D37" s="4">
        <v>35</v>
      </c>
      <c r="E37" s="4">
        <f t="shared" si="3"/>
        <v>3.5000000000000003E-2</v>
      </c>
      <c r="F37" s="4">
        <v>11.85</v>
      </c>
      <c r="G37" s="4">
        <f t="shared" si="1"/>
        <v>0.41475000000000001</v>
      </c>
      <c r="H37" s="4">
        <v>7.31</v>
      </c>
      <c r="I37" s="4">
        <f t="shared" si="2"/>
        <v>0.25585000000000002</v>
      </c>
    </row>
    <row r="38" spans="1:9" s="4" customFormat="1">
      <c r="A38" s="60"/>
      <c r="B38" s="4" t="s">
        <v>302</v>
      </c>
      <c r="C38" s="55">
        <v>1</v>
      </c>
      <c r="D38" s="4">
        <v>35</v>
      </c>
      <c r="E38" s="4">
        <f t="shared" si="3"/>
        <v>3.5000000000000003E-2</v>
      </c>
      <c r="F38" s="4">
        <v>11.85</v>
      </c>
      <c r="G38" s="4">
        <f t="shared" si="1"/>
        <v>0.41475000000000001</v>
      </c>
      <c r="H38" s="4">
        <v>7.31</v>
      </c>
      <c r="I38" s="4">
        <f t="shared" si="2"/>
        <v>0.25585000000000002</v>
      </c>
    </row>
    <row r="39" spans="1:9" s="4" customFormat="1">
      <c r="A39" s="60"/>
      <c r="B39" s="4" t="s">
        <v>315</v>
      </c>
      <c r="C39" s="55">
        <v>1</v>
      </c>
      <c r="D39" s="4">
        <v>15</v>
      </c>
      <c r="E39" s="4">
        <f t="shared" si="3"/>
        <v>1.4999999999999999E-2</v>
      </c>
      <c r="F39" s="4">
        <v>11.88</v>
      </c>
      <c r="G39" s="4">
        <f t="shared" si="1"/>
        <v>0.1782</v>
      </c>
      <c r="H39" s="4">
        <v>7.31</v>
      </c>
      <c r="I39" s="4">
        <f t="shared" si="2"/>
        <v>0.10964999999999998</v>
      </c>
    </row>
    <row r="40" spans="1:9" s="4" customFormat="1">
      <c r="A40" s="60"/>
      <c r="B40" s="4" t="s">
        <v>316</v>
      </c>
      <c r="C40" s="55">
        <v>1</v>
      </c>
      <c r="D40" s="4">
        <v>10</v>
      </c>
      <c r="E40" s="4">
        <f t="shared" si="3"/>
        <v>0.01</v>
      </c>
      <c r="F40" s="4">
        <v>11.85</v>
      </c>
      <c r="G40" s="4">
        <f t="shared" si="1"/>
        <v>0.11849999999999999</v>
      </c>
      <c r="H40" s="4">
        <v>7.31</v>
      </c>
      <c r="I40" s="4">
        <f t="shared" si="2"/>
        <v>7.3099999999999998E-2</v>
      </c>
    </row>
    <row r="41" spans="1:9" s="4" customFormat="1">
      <c r="A41" s="60"/>
      <c r="B41" s="4" t="s">
        <v>307</v>
      </c>
      <c r="C41" s="55">
        <v>2</v>
      </c>
      <c r="D41" s="4">
        <v>100</v>
      </c>
      <c r="E41" s="4">
        <f t="shared" si="3"/>
        <v>0.1</v>
      </c>
      <c r="F41" s="4">
        <v>11.85</v>
      </c>
      <c r="G41" s="4">
        <f t="shared" si="1"/>
        <v>1.1850000000000001</v>
      </c>
      <c r="H41" s="4">
        <v>7.31</v>
      </c>
      <c r="I41" s="4">
        <f t="shared" si="2"/>
        <v>0.73099999999999998</v>
      </c>
    </row>
    <row r="42" spans="1:9" s="4" customFormat="1">
      <c r="A42" s="60"/>
      <c r="B42" s="4" t="s">
        <v>317</v>
      </c>
      <c r="C42" s="55">
        <v>1</v>
      </c>
      <c r="D42" s="4">
        <v>55</v>
      </c>
      <c r="E42" s="4">
        <f t="shared" si="3"/>
        <v>5.5E-2</v>
      </c>
      <c r="F42" s="4">
        <v>11.85</v>
      </c>
      <c r="G42" s="4">
        <f t="shared" si="1"/>
        <v>0.65174999999999994</v>
      </c>
      <c r="H42" s="4">
        <v>7.31</v>
      </c>
      <c r="I42" s="4">
        <f t="shared" si="2"/>
        <v>0.40204999999999996</v>
      </c>
    </row>
    <row r="43" spans="1:9" s="4" customFormat="1">
      <c r="A43" s="60"/>
      <c r="C43" s="55"/>
    </row>
    <row r="44" spans="1:9" s="4" customFormat="1">
      <c r="A44" s="26"/>
      <c r="C44" s="55"/>
    </row>
    <row r="45" spans="1:9" s="4" customFormat="1">
      <c r="A45" s="60" t="s">
        <v>319</v>
      </c>
      <c r="B45" s="4" t="s">
        <v>348</v>
      </c>
      <c r="C45" s="55">
        <v>1</v>
      </c>
      <c r="D45" s="4">
        <v>35</v>
      </c>
      <c r="E45" s="4">
        <f t="shared" ref="E45:E53" si="4">D45/1000</f>
        <v>3.5000000000000003E-2</v>
      </c>
      <c r="F45" s="4">
        <v>9.36</v>
      </c>
      <c r="G45" s="4">
        <f t="shared" ref="G45:G53" si="5">E45*F45</f>
        <v>0.3276</v>
      </c>
      <c r="H45" s="4">
        <v>7.31</v>
      </c>
      <c r="I45" s="4">
        <f t="shared" si="2"/>
        <v>0.25585000000000002</v>
      </c>
    </row>
    <row r="46" spans="1:9" s="4" customFormat="1">
      <c r="A46" s="60"/>
      <c r="B46" s="4" t="s">
        <v>302</v>
      </c>
      <c r="C46" s="55">
        <v>1</v>
      </c>
      <c r="D46" s="4">
        <v>25</v>
      </c>
      <c r="E46" s="4">
        <f t="shared" si="4"/>
        <v>2.5000000000000001E-2</v>
      </c>
      <c r="F46" s="4">
        <v>9.3000000000000007</v>
      </c>
      <c r="G46" s="4">
        <f t="shared" si="5"/>
        <v>0.23250000000000004</v>
      </c>
      <c r="H46" s="4">
        <v>7.31</v>
      </c>
      <c r="I46" s="4">
        <f t="shared" si="2"/>
        <v>0.18275</v>
      </c>
    </row>
    <row r="47" spans="1:9" s="4" customFormat="1">
      <c r="A47" s="60"/>
      <c r="B47" s="4" t="s">
        <v>315</v>
      </c>
      <c r="C47" s="55">
        <v>1</v>
      </c>
      <c r="D47" s="4">
        <v>15</v>
      </c>
      <c r="E47" s="4">
        <f t="shared" si="4"/>
        <v>1.4999999999999999E-2</v>
      </c>
      <c r="F47" s="4">
        <v>9.3000000000000007</v>
      </c>
      <c r="G47" s="4">
        <f t="shared" si="5"/>
        <v>0.13950000000000001</v>
      </c>
      <c r="H47" s="4">
        <v>7.31</v>
      </c>
      <c r="I47" s="4">
        <f t="shared" si="2"/>
        <v>0.10964999999999998</v>
      </c>
    </row>
    <row r="48" spans="1:9" s="4" customFormat="1">
      <c r="A48" s="60"/>
      <c r="B48" s="4" t="s">
        <v>316</v>
      </c>
      <c r="C48" s="55">
        <v>1</v>
      </c>
      <c r="D48" s="4">
        <v>10</v>
      </c>
      <c r="E48" s="4">
        <f t="shared" si="4"/>
        <v>0.01</v>
      </c>
      <c r="F48" s="4">
        <v>9.3000000000000007</v>
      </c>
      <c r="G48" s="4">
        <f t="shared" si="5"/>
        <v>9.3000000000000013E-2</v>
      </c>
      <c r="H48" s="4">
        <v>7.31</v>
      </c>
      <c r="I48" s="4">
        <f t="shared" si="2"/>
        <v>7.3099999999999998E-2</v>
      </c>
    </row>
    <row r="49" spans="1:9" s="4" customFormat="1">
      <c r="A49" s="60"/>
      <c r="B49" s="4" t="s">
        <v>307</v>
      </c>
      <c r="C49" s="55">
        <v>2</v>
      </c>
      <c r="D49" s="4">
        <v>30</v>
      </c>
      <c r="E49" s="4">
        <f t="shared" si="4"/>
        <v>0.03</v>
      </c>
      <c r="F49" s="4">
        <v>9.3000000000000007</v>
      </c>
      <c r="G49" s="4">
        <f t="shared" si="5"/>
        <v>0.27900000000000003</v>
      </c>
      <c r="H49" s="4">
        <v>7.31</v>
      </c>
      <c r="I49" s="4">
        <f t="shared" si="2"/>
        <v>0.21929999999999997</v>
      </c>
    </row>
    <row r="50" spans="1:9" s="4" customFormat="1">
      <c r="A50" s="60"/>
      <c r="B50" s="4" t="s">
        <v>317</v>
      </c>
      <c r="C50" s="55">
        <v>1</v>
      </c>
      <c r="D50" s="4">
        <v>35</v>
      </c>
      <c r="E50" s="4">
        <f t="shared" si="4"/>
        <v>3.5000000000000003E-2</v>
      </c>
      <c r="F50" s="4">
        <v>9.3000000000000007</v>
      </c>
      <c r="G50" s="4">
        <f t="shared" si="5"/>
        <v>0.32550000000000007</v>
      </c>
      <c r="H50" s="4">
        <v>7.31</v>
      </c>
      <c r="I50" s="4">
        <f t="shared" si="2"/>
        <v>0.25585000000000002</v>
      </c>
    </row>
    <row r="51" spans="1:9" s="4" customFormat="1">
      <c r="A51" s="60"/>
      <c r="B51" s="4" t="s">
        <v>320</v>
      </c>
      <c r="C51" s="55">
        <v>3</v>
      </c>
      <c r="D51" s="4">
        <v>50</v>
      </c>
      <c r="E51" s="4">
        <f t="shared" si="4"/>
        <v>0.05</v>
      </c>
      <c r="F51" s="4">
        <v>9.3000000000000007</v>
      </c>
      <c r="G51" s="4">
        <f t="shared" si="5"/>
        <v>0.46500000000000008</v>
      </c>
      <c r="H51" s="4">
        <v>7.31</v>
      </c>
      <c r="I51" s="4">
        <f t="shared" si="2"/>
        <v>0.36549999999999999</v>
      </c>
    </row>
    <row r="52" spans="1:9" s="4" customFormat="1">
      <c r="A52" s="60"/>
      <c r="B52" s="4" t="s">
        <v>321</v>
      </c>
      <c r="C52" s="55">
        <v>1</v>
      </c>
      <c r="D52" s="4">
        <v>15</v>
      </c>
      <c r="E52" s="4">
        <f t="shared" si="4"/>
        <v>1.4999999999999999E-2</v>
      </c>
      <c r="F52" s="4">
        <v>9.3000000000000007</v>
      </c>
      <c r="G52" s="4">
        <f t="shared" si="5"/>
        <v>0.13950000000000001</v>
      </c>
      <c r="H52" s="4">
        <v>7.31</v>
      </c>
      <c r="I52" s="4">
        <f t="shared" si="2"/>
        <v>0.10964999999999998</v>
      </c>
    </row>
    <row r="53" spans="1:9" s="4" customFormat="1">
      <c r="A53" s="60"/>
      <c r="B53" s="4" t="s">
        <v>322</v>
      </c>
      <c r="C53" s="55">
        <v>1</v>
      </c>
      <c r="D53" s="4">
        <v>150</v>
      </c>
      <c r="E53" s="4">
        <f t="shared" si="4"/>
        <v>0.15</v>
      </c>
      <c r="F53" s="4">
        <v>9.3000000000000007</v>
      </c>
      <c r="G53" s="4">
        <f t="shared" si="5"/>
        <v>1.395</v>
      </c>
      <c r="H53" s="4">
        <v>7.31</v>
      </c>
      <c r="I53" s="4">
        <f t="shared" si="2"/>
        <v>1.0964999999999998</v>
      </c>
    </row>
    <row r="54" spans="1:9" s="4" customFormat="1">
      <c r="A54" s="26"/>
      <c r="C54" s="55"/>
    </row>
    <row r="55" spans="1:9" s="4" customFormat="1">
      <c r="A55" s="60" t="s">
        <v>323</v>
      </c>
      <c r="B55" s="4" t="s">
        <v>348</v>
      </c>
      <c r="C55" s="55">
        <v>1</v>
      </c>
      <c r="D55" s="4">
        <v>35</v>
      </c>
      <c r="E55" s="4">
        <f t="shared" si="3"/>
        <v>3.5000000000000003E-2</v>
      </c>
      <c r="F55" s="4">
        <v>6.28</v>
      </c>
      <c r="G55" s="4">
        <f t="shared" si="1"/>
        <v>0.21980000000000002</v>
      </c>
      <c r="H55" s="4">
        <v>5.0999999999999996</v>
      </c>
      <c r="I55" s="4">
        <f t="shared" si="2"/>
        <v>0.17849999999999999</v>
      </c>
    </row>
    <row r="56" spans="1:9" s="4" customFormat="1">
      <c r="A56" s="60"/>
      <c r="B56" s="4" t="s">
        <v>312</v>
      </c>
      <c r="C56" s="55">
        <v>1</v>
      </c>
      <c r="D56" s="4">
        <v>20</v>
      </c>
      <c r="E56" s="4">
        <f t="shared" si="3"/>
        <v>0.02</v>
      </c>
      <c r="F56" s="4">
        <v>6.25</v>
      </c>
      <c r="G56" s="4">
        <f t="shared" si="1"/>
        <v>0.125</v>
      </c>
      <c r="H56" s="4">
        <v>5.0999999999999996</v>
      </c>
      <c r="I56" s="4">
        <f t="shared" si="2"/>
        <v>0.10199999999999999</v>
      </c>
    </row>
    <row r="57" spans="1:9" s="4" customFormat="1">
      <c r="A57" s="60"/>
      <c r="B57" s="4" t="s">
        <v>316</v>
      </c>
      <c r="C57" s="55">
        <v>1</v>
      </c>
      <c r="D57" s="4">
        <v>15</v>
      </c>
      <c r="E57" s="4">
        <f t="shared" si="3"/>
        <v>1.4999999999999999E-2</v>
      </c>
      <c r="F57" s="4">
        <v>6.28</v>
      </c>
      <c r="G57" s="4">
        <f t="shared" si="1"/>
        <v>9.4200000000000006E-2</v>
      </c>
      <c r="H57" s="4">
        <v>5.0999999999999996</v>
      </c>
      <c r="I57" s="4">
        <f t="shared" si="2"/>
        <v>7.6499999999999999E-2</v>
      </c>
    </row>
    <row r="58" spans="1:9" s="4" customFormat="1">
      <c r="A58" s="26"/>
      <c r="C58" s="55"/>
    </row>
    <row r="59" spans="1:9" s="4" customFormat="1">
      <c r="A59" s="60" t="s">
        <v>324</v>
      </c>
      <c r="B59" s="4" t="s">
        <v>348</v>
      </c>
      <c r="C59" s="55">
        <v>1</v>
      </c>
      <c r="D59" s="4">
        <v>35</v>
      </c>
      <c r="E59" s="4">
        <f t="shared" si="3"/>
        <v>3.5000000000000003E-2</v>
      </c>
      <c r="F59" s="4">
        <v>7.75</v>
      </c>
      <c r="G59" s="4">
        <f t="shared" si="1"/>
        <v>0.27125000000000005</v>
      </c>
      <c r="H59" s="4">
        <v>5</v>
      </c>
      <c r="I59" s="4">
        <f t="shared" si="2"/>
        <v>0.17500000000000002</v>
      </c>
    </row>
    <row r="60" spans="1:9" s="4" customFormat="1">
      <c r="A60" s="60"/>
      <c r="B60" s="4" t="s">
        <v>312</v>
      </c>
      <c r="C60" s="55">
        <v>1</v>
      </c>
      <c r="D60" s="4">
        <v>20</v>
      </c>
      <c r="E60" s="4">
        <f t="shared" si="3"/>
        <v>0.02</v>
      </c>
      <c r="F60" s="4">
        <v>7.75</v>
      </c>
      <c r="G60" s="4">
        <f t="shared" si="1"/>
        <v>0.155</v>
      </c>
      <c r="H60" s="4">
        <v>5.0999999999999996</v>
      </c>
      <c r="I60" s="4">
        <f t="shared" si="2"/>
        <v>0.10199999999999999</v>
      </c>
    </row>
    <row r="61" spans="1:9" s="4" customFormat="1">
      <c r="A61" s="60"/>
      <c r="B61" s="4" t="s">
        <v>316</v>
      </c>
      <c r="C61" s="55">
        <v>1</v>
      </c>
      <c r="D61" s="4">
        <v>15</v>
      </c>
      <c r="E61" s="4">
        <f t="shared" si="3"/>
        <v>1.4999999999999999E-2</v>
      </c>
      <c r="F61" s="4">
        <v>7.75</v>
      </c>
      <c r="G61" s="4">
        <f t="shared" si="1"/>
        <v>0.11624999999999999</v>
      </c>
      <c r="H61" s="4">
        <v>5.0999999999999996</v>
      </c>
      <c r="I61" s="4">
        <f t="shared" si="2"/>
        <v>7.6499999999999999E-2</v>
      </c>
    </row>
    <row r="62" spans="1:9" s="4" customFormat="1">
      <c r="A62" s="26"/>
      <c r="C62" s="55"/>
    </row>
    <row r="63" spans="1:9" s="4" customFormat="1">
      <c r="A63" s="60" t="s">
        <v>325</v>
      </c>
      <c r="B63" s="4" t="s">
        <v>348</v>
      </c>
      <c r="C63" s="55">
        <v>1</v>
      </c>
      <c r="D63" s="4">
        <v>35</v>
      </c>
      <c r="E63" s="4">
        <f t="shared" si="3"/>
        <v>3.5000000000000003E-2</v>
      </c>
      <c r="F63" s="4">
        <v>8.57</v>
      </c>
      <c r="G63" s="4">
        <f t="shared" si="1"/>
        <v>0.29995000000000005</v>
      </c>
      <c r="H63" s="4">
        <v>5</v>
      </c>
      <c r="I63" s="4">
        <f t="shared" si="2"/>
        <v>0.17500000000000002</v>
      </c>
    </row>
    <row r="64" spans="1:9" s="4" customFormat="1">
      <c r="A64" s="60"/>
      <c r="B64" s="4" t="s">
        <v>312</v>
      </c>
      <c r="C64" s="55">
        <v>1</v>
      </c>
      <c r="D64" s="4">
        <v>20</v>
      </c>
      <c r="E64" s="4">
        <f t="shared" si="3"/>
        <v>0.02</v>
      </c>
      <c r="F64" s="4">
        <v>8.57</v>
      </c>
      <c r="G64" s="4">
        <f t="shared" si="1"/>
        <v>0.1714</v>
      </c>
      <c r="H64" s="4">
        <v>5.0999999999999996</v>
      </c>
      <c r="I64" s="4">
        <f t="shared" si="2"/>
        <v>0.10199999999999999</v>
      </c>
    </row>
    <row r="65" spans="1:9" s="4" customFormat="1">
      <c r="A65" s="60"/>
      <c r="B65" s="4" t="s">
        <v>316</v>
      </c>
      <c r="C65" s="55">
        <v>1</v>
      </c>
      <c r="D65" s="4">
        <v>15</v>
      </c>
      <c r="E65" s="4">
        <f t="shared" si="3"/>
        <v>1.4999999999999999E-2</v>
      </c>
      <c r="F65" s="4">
        <v>8.57</v>
      </c>
      <c r="G65" s="4">
        <f t="shared" si="1"/>
        <v>0.12855</v>
      </c>
      <c r="H65" s="4">
        <v>5.0999999999999996</v>
      </c>
      <c r="I65" s="4">
        <f t="shared" si="2"/>
        <v>7.6499999999999999E-2</v>
      </c>
    </row>
    <row r="66" spans="1:9" s="4" customFormat="1">
      <c r="A66" s="26"/>
      <c r="C66" s="55"/>
    </row>
    <row r="67" spans="1:9" s="4" customFormat="1">
      <c r="A67" s="60" t="s">
        <v>326</v>
      </c>
      <c r="B67" s="4" t="s">
        <v>348</v>
      </c>
      <c r="C67" s="55">
        <v>1</v>
      </c>
      <c r="D67" s="4">
        <v>35</v>
      </c>
      <c r="E67" s="4">
        <f t="shared" si="3"/>
        <v>3.5000000000000003E-2</v>
      </c>
      <c r="F67" s="4">
        <v>10.039999999999999</v>
      </c>
      <c r="G67" s="4">
        <f t="shared" si="1"/>
        <v>0.35139999999999999</v>
      </c>
      <c r="H67" s="4">
        <v>5</v>
      </c>
      <c r="I67" s="4">
        <f t="shared" si="2"/>
        <v>0.17500000000000002</v>
      </c>
    </row>
    <row r="68" spans="1:9" s="4" customFormat="1">
      <c r="A68" s="60"/>
      <c r="B68" s="4" t="s">
        <v>312</v>
      </c>
      <c r="C68" s="55">
        <v>1</v>
      </c>
      <c r="D68" s="4">
        <v>20</v>
      </c>
      <c r="E68" s="4">
        <f t="shared" si="3"/>
        <v>0.02</v>
      </c>
      <c r="F68" s="4">
        <v>10.039999999999999</v>
      </c>
      <c r="G68" s="4">
        <f t="shared" si="1"/>
        <v>0.20079999999999998</v>
      </c>
      <c r="H68" s="4">
        <v>5.0999999999999996</v>
      </c>
      <c r="I68" s="4">
        <f t="shared" si="2"/>
        <v>0.10199999999999999</v>
      </c>
    </row>
    <row r="69" spans="1:9" s="4" customFormat="1">
      <c r="A69" s="60"/>
      <c r="B69" s="4" t="s">
        <v>316</v>
      </c>
      <c r="C69" s="55">
        <v>1</v>
      </c>
      <c r="D69" s="4">
        <v>15</v>
      </c>
      <c r="E69" s="4">
        <f t="shared" si="3"/>
        <v>1.4999999999999999E-2</v>
      </c>
      <c r="F69" s="4">
        <v>10.039999999999999</v>
      </c>
      <c r="G69" s="4">
        <f t="shared" si="1"/>
        <v>0.15059999999999998</v>
      </c>
      <c r="H69" s="4">
        <v>5.0999999999999996</v>
      </c>
      <c r="I69" s="4">
        <f t="shared" ref="I69:I121" si="6">H69*E69</f>
        <v>7.6499999999999999E-2</v>
      </c>
    </row>
    <row r="70" spans="1:9" s="4" customFormat="1">
      <c r="A70" s="26"/>
      <c r="C70" s="55"/>
    </row>
    <row r="71" spans="1:9" s="4" customFormat="1">
      <c r="A71" s="60" t="s">
        <v>327</v>
      </c>
      <c r="B71" s="4" t="s">
        <v>348</v>
      </c>
      <c r="C71" s="55">
        <v>1</v>
      </c>
      <c r="D71" s="4">
        <v>35</v>
      </c>
      <c r="E71" s="4">
        <f t="shared" si="3"/>
        <v>3.5000000000000003E-2</v>
      </c>
      <c r="F71" s="4">
        <v>6.28</v>
      </c>
      <c r="G71" s="4">
        <f t="shared" si="1"/>
        <v>0.21980000000000002</v>
      </c>
      <c r="H71" s="4">
        <v>5</v>
      </c>
      <c r="I71" s="4">
        <f t="shared" si="6"/>
        <v>0.17500000000000002</v>
      </c>
    </row>
    <row r="72" spans="1:9" s="4" customFormat="1">
      <c r="A72" s="60"/>
      <c r="B72" s="4" t="s">
        <v>312</v>
      </c>
      <c r="C72" s="55">
        <v>1</v>
      </c>
      <c r="D72" s="4">
        <v>20</v>
      </c>
      <c r="E72" s="4">
        <f t="shared" si="3"/>
        <v>0.02</v>
      </c>
      <c r="F72" s="4">
        <v>6.28</v>
      </c>
      <c r="G72" s="4">
        <f t="shared" si="1"/>
        <v>0.12560000000000002</v>
      </c>
      <c r="H72" s="4">
        <v>5.0999999999999996</v>
      </c>
      <c r="I72" s="4">
        <f t="shared" si="6"/>
        <v>0.10199999999999999</v>
      </c>
    </row>
    <row r="73" spans="1:9" s="4" customFormat="1">
      <c r="A73" s="60"/>
      <c r="B73" s="4" t="s">
        <v>316</v>
      </c>
      <c r="C73" s="55">
        <v>1</v>
      </c>
      <c r="D73" s="4">
        <v>15</v>
      </c>
      <c r="E73" s="4">
        <f t="shared" si="3"/>
        <v>1.4999999999999999E-2</v>
      </c>
      <c r="F73" s="4">
        <v>6.28</v>
      </c>
      <c r="G73" s="4">
        <f t="shared" si="1"/>
        <v>9.4200000000000006E-2</v>
      </c>
      <c r="H73" s="4">
        <v>5.0999999999999996</v>
      </c>
      <c r="I73" s="4">
        <f t="shared" si="6"/>
        <v>7.6499999999999999E-2</v>
      </c>
    </row>
    <row r="74" spans="1:9" s="4" customFormat="1">
      <c r="A74" s="26"/>
      <c r="C74" s="55"/>
    </row>
    <row r="75" spans="1:9" s="4" customFormat="1">
      <c r="A75" s="60" t="s">
        <v>411</v>
      </c>
      <c r="B75" s="4" t="s">
        <v>348</v>
      </c>
      <c r="C75" s="55">
        <v>1</v>
      </c>
      <c r="D75" s="4">
        <v>35</v>
      </c>
      <c r="E75" s="4">
        <f t="shared" si="3"/>
        <v>3.5000000000000003E-2</v>
      </c>
      <c r="F75" s="4">
        <v>7.75</v>
      </c>
      <c r="G75" s="4">
        <f t="shared" si="1"/>
        <v>0.27125000000000005</v>
      </c>
      <c r="H75" s="4">
        <v>4.7</v>
      </c>
      <c r="I75" s="4">
        <f t="shared" si="6"/>
        <v>0.16450000000000004</v>
      </c>
    </row>
    <row r="76" spans="1:9" s="4" customFormat="1">
      <c r="A76" s="60"/>
      <c r="B76" s="4" t="s">
        <v>302</v>
      </c>
      <c r="C76" s="55">
        <v>1</v>
      </c>
      <c r="D76" s="4">
        <v>25</v>
      </c>
      <c r="E76" s="4">
        <f t="shared" si="3"/>
        <v>2.5000000000000001E-2</v>
      </c>
      <c r="F76" s="4">
        <v>7.75</v>
      </c>
      <c r="G76" s="4">
        <f t="shared" si="1"/>
        <v>0.19375000000000001</v>
      </c>
      <c r="H76" s="4">
        <v>4.7</v>
      </c>
      <c r="I76" s="4">
        <f t="shared" si="6"/>
        <v>0.11750000000000001</v>
      </c>
    </row>
    <row r="77" spans="1:9" s="4" customFormat="1">
      <c r="A77" s="60"/>
      <c r="B77" s="4" t="s">
        <v>317</v>
      </c>
      <c r="C77" s="55">
        <v>1</v>
      </c>
      <c r="D77" s="4">
        <v>40</v>
      </c>
      <c r="E77" s="4">
        <f t="shared" si="3"/>
        <v>0.04</v>
      </c>
      <c r="F77" s="4">
        <v>7.75</v>
      </c>
      <c r="G77" s="4">
        <f t="shared" ref="G77:G112" si="7">E77*F77</f>
        <v>0.31</v>
      </c>
      <c r="H77" s="4">
        <v>4.72</v>
      </c>
      <c r="I77" s="4">
        <f t="shared" si="6"/>
        <v>0.1888</v>
      </c>
    </row>
    <row r="78" spans="1:9" s="4" customFormat="1">
      <c r="A78" s="60"/>
      <c r="C78" s="55"/>
    </row>
    <row r="79" spans="1:9" s="4" customFormat="1">
      <c r="A79" s="26"/>
      <c r="C79" s="55"/>
    </row>
    <row r="80" spans="1:9" s="4" customFormat="1">
      <c r="A80" s="60" t="s">
        <v>412</v>
      </c>
      <c r="B80" s="4" t="s">
        <v>348</v>
      </c>
      <c r="C80" s="55">
        <v>1</v>
      </c>
      <c r="D80" s="4">
        <v>35</v>
      </c>
      <c r="E80" s="4">
        <f t="shared" si="3"/>
        <v>3.5000000000000003E-2</v>
      </c>
      <c r="F80" s="4">
        <v>8.57</v>
      </c>
      <c r="G80" s="4">
        <f t="shared" si="7"/>
        <v>0.29995000000000005</v>
      </c>
      <c r="H80" s="4">
        <v>5.0999999999999996</v>
      </c>
      <c r="I80" s="4">
        <f t="shared" si="6"/>
        <v>0.17849999999999999</v>
      </c>
    </row>
    <row r="81" spans="1:9" s="4" customFormat="1">
      <c r="A81" s="60"/>
      <c r="B81" s="4" t="s">
        <v>302</v>
      </c>
      <c r="C81" s="55">
        <v>1</v>
      </c>
      <c r="D81" s="4">
        <v>25</v>
      </c>
      <c r="E81" s="4">
        <f t="shared" si="3"/>
        <v>2.5000000000000001E-2</v>
      </c>
      <c r="F81" s="4">
        <v>8.57</v>
      </c>
      <c r="G81" s="4">
        <f t="shared" si="7"/>
        <v>0.21425000000000002</v>
      </c>
      <c r="H81" s="4">
        <v>5.0999999999999996</v>
      </c>
      <c r="I81" s="4">
        <f t="shared" si="6"/>
        <v>0.1275</v>
      </c>
    </row>
    <row r="82" spans="1:9" s="4" customFormat="1">
      <c r="A82" s="60"/>
      <c r="B82" s="4" t="s">
        <v>317</v>
      </c>
      <c r="C82" s="55">
        <v>1</v>
      </c>
      <c r="D82" s="4">
        <v>40</v>
      </c>
      <c r="E82" s="4">
        <f t="shared" si="3"/>
        <v>0.04</v>
      </c>
      <c r="F82" s="4">
        <v>8.57</v>
      </c>
      <c r="G82" s="4">
        <f t="shared" si="7"/>
        <v>0.34279999999999999</v>
      </c>
      <c r="H82" s="4">
        <v>5.0999999999999996</v>
      </c>
      <c r="I82" s="4">
        <f t="shared" si="6"/>
        <v>0.20399999999999999</v>
      </c>
    </row>
    <row r="83" spans="1:9" s="4" customFormat="1">
      <c r="A83" s="60"/>
      <c r="C83" s="55"/>
    </row>
    <row r="84" spans="1:9" s="4" customFormat="1">
      <c r="A84" s="26"/>
      <c r="C84" s="55"/>
    </row>
    <row r="85" spans="1:9" s="4" customFormat="1">
      <c r="A85" s="60" t="s">
        <v>413</v>
      </c>
      <c r="B85" s="4" t="s">
        <v>348</v>
      </c>
      <c r="C85" s="55">
        <v>1</v>
      </c>
      <c r="D85" s="4">
        <v>35</v>
      </c>
      <c r="E85" s="4">
        <f t="shared" si="3"/>
        <v>3.5000000000000003E-2</v>
      </c>
      <c r="F85" s="4">
        <v>10.039999999999999</v>
      </c>
      <c r="G85" s="4">
        <f t="shared" si="7"/>
        <v>0.35139999999999999</v>
      </c>
      <c r="H85" s="4">
        <v>5.0999999999999996</v>
      </c>
      <c r="I85" s="4">
        <f t="shared" si="6"/>
        <v>0.17849999999999999</v>
      </c>
    </row>
    <row r="86" spans="1:9" s="4" customFormat="1">
      <c r="A86" s="60"/>
      <c r="B86" s="4" t="s">
        <v>302</v>
      </c>
      <c r="C86" s="55">
        <v>1</v>
      </c>
      <c r="D86" s="4">
        <v>25</v>
      </c>
      <c r="E86" s="4">
        <f t="shared" si="3"/>
        <v>2.5000000000000001E-2</v>
      </c>
      <c r="F86" s="4">
        <v>10.039999999999999</v>
      </c>
      <c r="G86" s="4">
        <f t="shared" si="7"/>
        <v>0.251</v>
      </c>
      <c r="H86" s="4">
        <v>5.0999999999999996</v>
      </c>
      <c r="I86" s="4">
        <f t="shared" si="6"/>
        <v>0.1275</v>
      </c>
    </row>
    <row r="87" spans="1:9" s="4" customFormat="1">
      <c r="A87" s="60"/>
      <c r="B87" s="4" t="s">
        <v>317</v>
      </c>
      <c r="C87" s="55">
        <v>1</v>
      </c>
      <c r="D87" s="4">
        <v>40</v>
      </c>
      <c r="E87" s="4">
        <f t="shared" si="3"/>
        <v>0.04</v>
      </c>
      <c r="F87" s="4">
        <v>10.039999999999999</v>
      </c>
      <c r="G87" s="4">
        <f t="shared" si="7"/>
        <v>0.40159999999999996</v>
      </c>
      <c r="H87" s="4">
        <v>5.0999999999999996</v>
      </c>
      <c r="I87" s="4">
        <f t="shared" si="6"/>
        <v>0.20399999999999999</v>
      </c>
    </row>
    <row r="88" spans="1:9" s="4" customFormat="1">
      <c r="A88" s="60"/>
      <c r="C88" s="55"/>
    </row>
    <row r="89" spans="1:9" s="4" customFormat="1">
      <c r="A89" s="26"/>
      <c r="C89" s="55"/>
    </row>
    <row r="90" spans="1:9" s="4" customFormat="1">
      <c r="A90" s="60" t="s">
        <v>328</v>
      </c>
      <c r="B90" s="4" t="s">
        <v>348</v>
      </c>
      <c r="C90" s="55">
        <v>1</v>
      </c>
      <c r="D90" s="4">
        <v>35</v>
      </c>
      <c r="E90" s="4">
        <f t="shared" si="3"/>
        <v>3.5000000000000003E-2</v>
      </c>
      <c r="F90" s="4">
        <v>8.57</v>
      </c>
      <c r="G90" s="4">
        <f t="shared" si="7"/>
        <v>0.29995000000000005</v>
      </c>
      <c r="H90" s="4">
        <v>5.0999999999999996</v>
      </c>
      <c r="I90" s="4">
        <f t="shared" si="6"/>
        <v>0.17849999999999999</v>
      </c>
    </row>
    <row r="91" spans="1:9" s="4" customFormat="1">
      <c r="A91" s="60"/>
      <c r="B91" s="4" t="s">
        <v>312</v>
      </c>
      <c r="C91" s="55">
        <v>1</v>
      </c>
      <c r="D91" s="4">
        <v>25</v>
      </c>
      <c r="E91" s="4">
        <f t="shared" si="3"/>
        <v>2.5000000000000001E-2</v>
      </c>
      <c r="F91" s="4">
        <v>8.57</v>
      </c>
      <c r="G91" s="4">
        <f t="shared" si="7"/>
        <v>0.21425000000000002</v>
      </c>
      <c r="H91" s="4">
        <v>5.0999999999999996</v>
      </c>
      <c r="I91" s="4">
        <f t="shared" si="6"/>
        <v>0.1275</v>
      </c>
    </row>
    <row r="92" spans="1:9" s="4" customFormat="1">
      <c r="A92" s="60"/>
      <c r="B92" s="4" t="s">
        <v>316</v>
      </c>
      <c r="C92" s="55">
        <v>1</v>
      </c>
      <c r="D92" s="4">
        <v>15</v>
      </c>
      <c r="E92" s="4">
        <f t="shared" si="3"/>
        <v>1.4999999999999999E-2</v>
      </c>
      <c r="F92" s="4">
        <v>8.57</v>
      </c>
      <c r="G92" s="4">
        <f t="shared" si="7"/>
        <v>0.12855</v>
      </c>
      <c r="H92" s="4">
        <v>5.0999999999999996</v>
      </c>
      <c r="I92" s="4">
        <f t="shared" si="6"/>
        <v>7.6499999999999999E-2</v>
      </c>
    </row>
    <row r="93" spans="1:9" s="4" customFormat="1">
      <c r="A93" s="26"/>
      <c r="C93" s="55"/>
    </row>
    <row r="94" spans="1:9" s="4" customFormat="1">
      <c r="A94" s="74"/>
      <c r="C94" s="55"/>
    </row>
    <row r="95" spans="1:9" s="4" customFormat="1">
      <c r="A95" s="26"/>
      <c r="C95" s="55"/>
    </row>
    <row r="96" spans="1:9" s="4" customFormat="1">
      <c r="A96" s="77" t="s">
        <v>351</v>
      </c>
      <c r="B96" s="4" t="s">
        <v>302</v>
      </c>
      <c r="C96" s="55">
        <v>1</v>
      </c>
      <c r="D96" s="4">
        <v>75</v>
      </c>
      <c r="E96" s="4">
        <f t="shared" ref="E96:E100" si="8">D96/1000</f>
        <v>7.4999999999999997E-2</v>
      </c>
      <c r="F96" s="4">
        <v>10.5</v>
      </c>
      <c r="G96" s="4">
        <f t="shared" si="7"/>
        <v>0.78749999999999998</v>
      </c>
      <c r="H96" s="4">
        <v>7.31</v>
      </c>
      <c r="I96" s="4">
        <f t="shared" si="6"/>
        <v>0.5482499999999999</v>
      </c>
    </row>
    <row r="97" spans="1:9" s="4" customFormat="1">
      <c r="A97" s="77" t="s">
        <v>329</v>
      </c>
      <c r="B97" s="4" t="s">
        <v>302</v>
      </c>
      <c r="C97" s="55">
        <v>2</v>
      </c>
      <c r="D97" s="4">
        <v>75</v>
      </c>
      <c r="E97" s="4">
        <f t="shared" si="8"/>
        <v>7.4999999999999997E-2</v>
      </c>
      <c r="F97" s="4">
        <v>10.5</v>
      </c>
      <c r="G97" s="4">
        <f t="shared" si="7"/>
        <v>0.78749999999999998</v>
      </c>
      <c r="H97" s="4">
        <v>7.31</v>
      </c>
      <c r="I97" s="4">
        <f t="shared" si="6"/>
        <v>0.5482499999999999</v>
      </c>
    </row>
    <row r="98" spans="1:9" s="4" customFormat="1">
      <c r="A98" s="77" t="s">
        <v>330</v>
      </c>
      <c r="B98" s="4" t="s">
        <v>315</v>
      </c>
      <c r="C98" s="55">
        <v>2</v>
      </c>
      <c r="D98" s="4">
        <v>40</v>
      </c>
      <c r="E98" s="4">
        <f t="shared" si="8"/>
        <v>0.04</v>
      </c>
      <c r="F98" s="4">
        <v>10.5</v>
      </c>
      <c r="G98" s="4">
        <f t="shared" si="7"/>
        <v>0.42</v>
      </c>
      <c r="H98" s="4">
        <v>7.31</v>
      </c>
      <c r="I98" s="4">
        <f t="shared" si="6"/>
        <v>0.29239999999999999</v>
      </c>
    </row>
    <row r="99" spans="1:9" s="4" customFormat="1">
      <c r="A99" s="77" t="s">
        <v>350</v>
      </c>
      <c r="B99" s="4" t="s">
        <v>349</v>
      </c>
      <c r="C99" s="55">
        <v>1</v>
      </c>
      <c r="D99" s="4">
        <v>400</v>
      </c>
      <c r="E99" s="4">
        <f t="shared" si="8"/>
        <v>0.4</v>
      </c>
      <c r="F99" s="4">
        <v>10.5</v>
      </c>
      <c r="G99" s="4">
        <f t="shared" si="7"/>
        <v>4.2</v>
      </c>
      <c r="H99" s="4">
        <v>7.31</v>
      </c>
      <c r="I99" s="4">
        <f t="shared" si="6"/>
        <v>2.9239999999999999</v>
      </c>
    </row>
    <row r="100" spans="1:9" s="4" customFormat="1">
      <c r="A100" s="77" t="s">
        <v>331</v>
      </c>
      <c r="C100" s="55"/>
      <c r="D100" s="4">
        <v>75</v>
      </c>
      <c r="E100" s="4">
        <f t="shared" si="8"/>
        <v>7.4999999999999997E-2</v>
      </c>
      <c r="F100" s="4">
        <v>10.5</v>
      </c>
      <c r="G100" s="4">
        <f t="shared" si="7"/>
        <v>0.78749999999999998</v>
      </c>
      <c r="H100" s="4">
        <v>7.31</v>
      </c>
      <c r="I100" s="4">
        <f t="shared" si="6"/>
        <v>0.5482499999999999</v>
      </c>
    </row>
    <row r="101" spans="1:9" s="4" customFormat="1">
      <c r="A101" s="9"/>
      <c r="C101" s="55"/>
    </row>
    <row r="102" spans="1:9" s="4" customFormat="1">
      <c r="A102" s="61" t="s">
        <v>332</v>
      </c>
      <c r="B102" s="4" t="s">
        <v>348</v>
      </c>
      <c r="C102" s="55">
        <v>1</v>
      </c>
      <c r="D102" s="4">
        <v>35</v>
      </c>
      <c r="E102" s="4">
        <f>D102/1000</f>
        <v>3.5000000000000003E-2</v>
      </c>
      <c r="F102" s="4">
        <v>7.8</v>
      </c>
      <c r="G102" s="4">
        <f t="shared" si="7"/>
        <v>0.27300000000000002</v>
      </c>
      <c r="H102" s="4">
        <v>7.31</v>
      </c>
      <c r="I102" s="4">
        <f t="shared" si="6"/>
        <v>0.25585000000000002</v>
      </c>
    </row>
    <row r="103" spans="1:9" s="4" customFormat="1">
      <c r="A103" s="61"/>
      <c r="B103" s="4" t="s">
        <v>302</v>
      </c>
      <c r="C103" s="55">
        <v>1</v>
      </c>
      <c r="D103" s="4">
        <v>25</v>
      </c>
      <c r="E103" s="4">
        <f t="shared" ref="E103:E123" si="9">D103/1000</f>
        <v>2.5000000000000001E-2</v>
      </c>
      <c r="F103" s="4">
        <v>7.8</v>
      </c>
      <c r="G103" s="4">
        <f t="shared" si="7"/>
        <v>0.19500000000000001</v>
      </c>
      <c r="H103" s="4">
        <v>7.31</v>
      </c>
      <c r="I103" s="4">
        <f t="shared" si="6"/>
        <v>0.18275</v>
      </c>
    </row>
    <row r="104" spans="1:9" s="4" customFormat="1">
      <c r="A104" s="61"/>
      <c r="B104" s="4" t="s">
        <v>307</v>
      </c>
      <c r="C104" s="55">
        <v>2</v>
      </c>
      <c r="D104" s="4">
        <v>45</v>
      </c>
      <c r="E104" s="4">
        <f>2*D104/1000</f>
        <v>0.09</v>
      </c>
      <c r="F104" s="4">
        <v>7.8</v>
      </c>
      <c r="G104" s="4">
        <f t="shared" si="7"/>
        <v>0.70199999999999996</v>
      </c>
      <c r="H104" s="4">
        <v>7.31</v>
      </c>
      <c r="I104" s="4">
        <f t="shared" si="6"/>
        <v>0.65789999999999993</v>
      </c>
    </row>
    <row r="105" spans="1:9" s="4" customFormat="1">
      <c r="A105" s="61"/>
      <c r="B105" s="4" t="s">
        <v>317</v>
      </c>
      <c r="C105" s="55">
        <v>1</v>
      </c>
      <c r="D105" s="4">
        <v>30</v>
      </c>
      <c r="E105" s="4">
        <f t="shared" si="9"/>
        <v>0.03</v>
      </c>
      <c r="F105" s="4">
        <v>7.8</v>
      </c>
      <c r="G105" s="4">
        <f t="shared" si="7"/>
        <v>0.23399999999999999</v>
      </c>
      <c r="H105" s="4">
        <v>7.31</v>
      </c>
      <c r="I105" s="4">
        <f t="shared" si="6"/>
        <v>0.21929999999999997</v>
      </c>
    </row>
    <row r="106" spans="1:9" s="4" customFormat="1">
      <c r="A106" s="61"/>
      <c r="B106" s="4" t="s">
        <v>320</v>
      </c>
      <c r="C106" s="55">
        <v>3</v>
      </c>
      <c r="D106" s="4">
        <v>100</v>
      </c>
      <c r="E106" s="4">
        <f t="shared" si="9"/>
        <v>0.1</v>
      </c>
      <c r="F106" s="4">
        <v>7.8</v>
      </c>
      <c r="G106" s="4">
        <f t="shared" si="7"/>
        <v>0.78</v>
      </c>
      <c r="H106" s="4">
        <v>7.31</v>
      </c>
      <c r="I106" s="4">
        <f t="shared" si="6"/>
        <v>0.73099999999999998</v>
      </c>
    </row>
    <row r="107" spans="1:9" s="4" customFormat="1">
      <c r="A107" s="9"/>
      <c r="C107" s="55"/>
    </row>
    <row r="108" spans="1:9" s="4" customFormat="1">
      <c r="A108" s="74"/>
      <c r="C108" s="55"/>
    </row>
    <row r="109" spans="1:9" s="4" customFormat="1">
      <c r="A109" s="26"/>
      <c r="C109" s="55"/>
    </row>
    <row r="110" spans="1:9" s="4" customFormat="1">
      <c r="A110" s="59" t="s">
        <v>333</v>
      </c>
      <c r="B110" s="4" t="s">
        <v>334</v>
      </c>
      <c r="C110" s="55">
        <v>2</v>
      </c>
      <c r="D110" s="4">
        <v>50</v>
      </c>
      <c r="E110" s="4">
        <f t="shared" si="9"/>
        <v>0.05</v>
      </c>
      <c r="F110" s="4">
        <v>10.6</v>
      </c>
      <c r="G110" s="4">
        <f t="shared" si="7"/>
        <v>0.53</v>
      </c>
      <c r="H110" s="4">
        <v>6.5</v>
      </c>
      <c r="I110" s="4">
        <f t="shared" si="6"/>
        <v>0.32500000000000001</v>
      </c>
    </row>
    <row r="111" spans="1:9" s="4" customFormat="1">
      <c r="A111" s="26"/>
      <c r="C111" s="55"/>
      <c r="F111" s="4">
        <v>10.6</v>
      </c>
    </row>
    <row r="112" spans="1:9" s="4" customFormat="1">
      <c r="A112" s="59" t="s">
        <v>335</v>
      </c>
      <c r="B112" s="4" t="s">
        <v>336</v>
      </c>
      <c r="C112" s="55">
        <v>1</v>
      </c>
      <c r="D112" s="4">
        <v>35</v>
      </c>
      <c r="E112" s="4">
        <f t="shared" si="9"/>
        <v>3.5000000000000003E-2</v>
      </c>
      <c r="F112" s="4">
        <v>10.6</v>
      </c>
      <c r="G112" s="4">
        <f t="shared" si="7"/>
        <v>0.371</v>
      </c>
      <c r="H112" s="4">
        <v>8.1999999999999993</v>
      </c>
      <c r="I112" s="4">
        <f t="shared" si="6"/>
        <v>0.28699999999999998</v>
      </c>
    </row>
    <row r="113" spans="1:9" s="4" customFormat="1">
      <c r="A113" s="26"/>
      <c r="C113" s="55"/>
    </row>
    <row r="114" spans="1:9" s="4" customFormat="1">
      <c r="A114" s="59" t="s">
        <v>352</v>
      </c>
      <c r="C114" s="55"/>
      <c r="D114" s="4">
        <v>50</v>
      </c>
      <c r="E114" s="4">
        <f t="shared" si="9"/>
        <v>0.05</v>
      </c>
      <c r="F114" s="4">
        <v>10.6</v>
      </c>
      <c r="G114" s="4">
        <f t="shared" ref="G114:G124" si="10">E114*F114</f>
        <v>0.53</v>
      </c>
      <c r="H114" s="4">
        <v>7</v>
      </c>
      <c r="I114" s="4">
        <f t="shared" si="6"/>
        <v>0.35000000000000003</v>
      </c>
    </row>
    <row r="115" spans="1:9" s="4" customFormat="1">
      <c r="A115" s="26"/>
      <c r="C115" s="55"/>
    </row>
    <row r="116" spans="1:9" s="4" customFormat="1">
      <c r="A116" s="59" t="s">
        <v>331</v>
      </c>
      <c r="C116" s="55"/>
      <c r="D116" s="4">
        <v>80</v>
      </c>
      <c r="E116" s="4">
        <f t="shared" si="9"/>
        <v>0.08</v>
      </c>
      <c r="F116" s="4">
        <v>10.6</v>
      </c>
      <c r="G116" s="4">
        <f t="shared" si="10"/>
        <v>0.84799999999999998</v>
      </c>
      <c r="H116" s="4">
        <v>8.1999999999999993</v>
      </c>
      <c r="I116" s="4">
        <f t="shared" si="6"/>
        <v>0.65599999999999992</v>
      </c>
    </row>
    <row r="117" spans="1:9" s="4" customFormat="1">
      <c r="A117" s="26"/>
      <c r="C117" s="55"/>
    </row>
    <row r="118" spans="1:9" s="4" customFormat="1">
      <c r="A118" s="77" t="s">
        <v>337</v>
      </c>
      <c r="C118" s="55"/>
      <c r="D118" s="4">
        <v>600</v>
      </c>
      <c r="E118" s="4">
        <f t="shared" si="9"/>
        <v>0.6</v>
      </c>
      <c r="F118" s="4">
        <v>10.6</v>
      </c>
      <c r="G118" s="4">
        <f t="shared" si="10"/>
        <v>6.3599999999999994</v>
      </c>
      <c r="H118" s="4">
        <v>7</v>
      </c>
      <c r="I118" s="4">
        <f t="shared" si="6"/>
        <v>4.2</v>
      </c>
    </row>
    <row r="119" spans="1:9" s="4" customFormat="1">
      <c r="A119" s="77" t="s">
        <v>338</v>
      </c>
      <c r="C119" s="55"/>
      <c r="D119" s="4">
        <v>350</v>
      </c>
      <c r="E119" s="4">
        <f t="shared" si="9"/>
        <v>0.35</v>
      </c>
      <c r="F119" s="4">
        <v>10.6</v>
      </c>
      <c r="G119" s="4">
        <f t="shared" si="10"/>
        <v>3.7099999999999995</v>
      </c>
      <c r="H119" s="4">
        <v>7.5</v>
      </c>
      <c r="I119" s="4">
        <f t="shared" si="6"/>
        <v>2.625</v>
      </c>
    </row>
    <row r="120" spans="1:9" s="4" customFormat="1">
      <c r="A120" s="26"/>
      <c r="C120" s="55"/>
    </row>
    <row r="121" spans="1:9" s="4" customFormat="1">
      <c r="A121" s="59" t="s">
        <v>353</v>
      </c>
      <c r="C121" s="55"/>
      <c r="D121" s="4">
        <v>150</v>
      </c>
      <c r="E121" s="4">
        <f t="shared" si="9"/>
        <v>0.15</v>
      </c>
      <c r="F121" s="4">
        <v>10.6</v>
      </c>
      <c r="G121" s="4">
        <f t="shared" si="10"/>
        <v>1.5899999999999999</v>
      </c>
      <c r="H121" s="4">
        <v>5.5</v>
      </c>
      <c r="I121" s="4">
        <f t="shared" si="6"/>
        <v>0.82499999999999996</v>
      </c>
    </row>
    <row r="122" spans="1:9" s="4" customFormat="1">
      <c r="A122" s="26"/>
      <c r="C122" s="55"/>
    </row>
    <row r="123" spans="1:9" s="4" customFormat="1">
      <c r="A123" s="59" t="s">
        <v>339</v>
      </c>
      <c r="C123" s="55"/>
      <c r="D123" s="4">
        <v>250</v>
      </c>
      <c r="E123" s="4">
        <f t="shared" si="9"/>
        <v>0.25</v>
      </c>
      <c r="F123" s="4">
        <v>10.6</v>
      </c>
      <c r="G123" s="4">
        <f t="shared" si="10"/>
        <v>2.65</v>
      </c>
      <c r="H123" s="4">
        <v>5.5</v>
      </c>
      <c r="I123" s="4">
        <f t="shared" ref="I123:I124" si="11">H123*E123</f>
        <v>1.375</v>
      </c>
    </row>
    <row r="124" spans="1:9" s="4" customFormat="1">
      <c r="A124" s="26" t="s">
        <v>355</v>
      </c>
      <c r="C124" s="55"/>
      <c r="E124" s="4">
        <v>2.4</v>
      </c>
      <c r="F124" s="4">
        <v>6.42</v>
      </c>
      <c r="G124" s="4">
        <f t="shared" si="10"/>
        <v>15.407999999999999</v>
      </c>
      <c r="H124" s="4">
        <v>10.15</v>
      </c>
      <c r="I124" s="4">
        <f t="shared" si="11"/>
        <v>24.36</v>
      </c>
    </row>
    <row r="125" spans="1:9" s="4" customFormat="1">
      <c r="A125" s="26"/>
      <c r="C125" s="55"/>
    </row>
    <row r="126" spans="1:9" s="4" customFormat="1">
      <c r="A126" s="26"/>
      <c r="C126" s="55"/>
      <c r="D126" s="72" t="s">
        <v>354</v>
      </c>
      <c r="E126" s="3">
        <v>10.44</v>
      </c>
      <c r="G126" s="4">
        <f>SUM(G3:G124)</f>
        <v>72.403150000000025</v>
      </c>
      <c r="I126" s="4">
        <f>SUM(I3:I124)</f>
        <v>62.705600000000011</v>
      </c>
    </row>
    <row r="127" spans="1:9" s="4" customFormat="1">
      <c r="A127" s="26"/>
      <c r="C127" s="55"/>
    </row>
    <row r="128" spans="1:9" s="4" customFormat="1">
      <c r="A128" s="26"/>
      <c r="C128" s="55"/>
    </row>
    <row r="129" spans="1:10" s="4" customFormat="1">
      <c r="A129" s="26"/>
      <c r="C129" s="55"/>
    </row>
    <row r="130" spans="1:10" s="4" customFormat="1" ht="15" customHeight="1">
      <c r="A130" s="26"/>
      <c r="C130" s="62" t="s">
        <v>340</v>
      </c>
      <c r="D130" s="62"/>
      <c r="E130" s="62"/>
      <c r="G130" s="79">
        <v>11.49</v>
      </c>
      <c r="H130" s="79" t="s">
        <v>184</v>
      </c>
      <c r="I130" s="78" t="s">
        <v>271</v>
      </c>
      <c r="J130" s="78"/>
    </row>
    <row r="131" spans="1:10" s="4" customFormat="1" ht="15" customHeight="1">
      <c r="A131" s="26"/>
      <c r="C131" s="62"/>
      <c r="D131" s="62"/>
      <c r="E131" s="62"/>
      <c r="G131" s="79"/>
      <c r="H131" s="79"/>
      <c r="I131" s="78"/>
      <c r="J131" s="78"/>
    </row>
    <row r="132" spans="1:10" s="4" customFormat="1" ht="15" customHeight="1">
      <c r="A132" s="26"/>
      <c r="C132" s="65" t="s">
        <v>272</v>
      </c>
      <c r="D132" s="65"/>
      <c r="E132" s="65"/>
      <c r="G132" s="79">
        <f>G126/G130</f>
        <v>6.3014055700609246</v>
      </c>
      <c r="H132" s="79" t="s">
        <v>178</v>
      </c>
    </row>
    <row r="133" spans="1:10" s="4" customFormat="1" ht="15" customHeight="1">
      <c r="A133" s="26"/>
      <c r="C133" s="65"/>
      <c r="D133" s="65"/>
      <c r="E133" s="65"/>
      <c r="G133" s="79"/>
      <c r="H133" s="79"/>
    </row>
    <row r="134" spans="1:10" s="4" customFormat="1" ht="15" customHeight="1">
      <c r="A134" s="26"/>
      <c r="C134" s="66" t="s">
        <v>273</v>
      </c>
      <c r="D134" s="66"/>
      <c r="E134" s="66"/>
      <c r="G134" s="79">
        <f>I126/G130</f>
        <v>5.4574064403829423</v>
      </c>
      <c r="H134" s="79" t="s">
        <v>178</v>
      </c>
    </row>
    <row r="135" spans="1:10" s="4" customFormat="1" ht="15" customHeight="1">
      <c r="A135" s="26"/>
      <c r="C135" s="66"/>
      <c r="D135" s="66"/>
      <c r="E135" s="66"/>
      <c r="G135" s="79"/>
      <c r="H135" s="79"/>
    </row>
    <row r="136" spans="1:10" s="4" customFormat="1">
      <c r="A136" s="26"/>
      <c r="C136" s="55"/>
    </row>
    <row r="137" spans="1:10" s="4" customFormat="1">
      <c r="A137" s="26"/>
      <c r="C137" s="55"/>
    </row>
    <row r="138" spans="1:10" s="4" customFormat="1">
      <c r="A138" s="26"/>
      <c r="C138" s="55"/>
    </row>
    <row r="139" spans="1:10" s="4" customFormat="1">
      <c r="A139" s="26"/>
      <c r="C139" s="55"/>
    </row>
    <row r="140" spans="1:10" s="4" customFormat="1">
      <c r="A140" s="26"/>
      <c r="C140" s="55"/>
    </row>
  </sheetData>
  <mergeCells count="40">
    <mergeCell ref="A1:B1"/>
    <mergeCell ref="A2:B2"/>
    <mergeCell ref="H130:H131"/>
    <mergeCell ref="I130:J131"/>
    <mergeCell ref="C132:E133"/>
    <mergeCell ref="G132:G133"/>
    <mergeCell ref="H132:H133"/>
    <mergeCell ref="C134:E135"/>
    <mergeCell ref="G134:G135"/>
    <mergeCell ref="H134:H135"/>
    <mergeCell ref="A80:A83"/>
    <mergeCell ref="A85:A88"/>
    <mergeCell ref="A90:A92"/>
    <mergeCell ref="A102:A106"/>
    <mergeCell ref="C130:E131"/>
    <mergeCell ref="G130:G131"/>
    <mergeCell ref="A55:A57"/>
    <mergeCell ref="A59:A61"/>
    <mergeCell ref="A63:A65"/>
    <mergeCell ref="A67:A69"/>
    <mergeCell ref="A71:A73"/>
    <mergeCell ref="A75:A78"/>
    <mergeCell ref="A15:B15"/>
    <mergeCell ref="A21:A23"/>
    <mergeCell ref="A25:A27"/>
    <mergeCell ref="A29:A35"/>
    <mergeCell ref="A37:A43"/>
    <mergeCell ref="A45:A53"/>
    <mergeCell ref="A9:B9"/>
    <mergeCell ref="A10:B10"/>
    <mergeCell ref="A11:B11"/>
    <mergeCell ref="A12:B12"/>
    <mergeCell ref="A13:B13"/>
    <mergeCell ref="A14:B14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/>
  </sheetViews>
  <sheetFormatPr defaultRowHeight="14.5"/>
  <cols>
    <col min="1" max="1" width="11.6328125" customWidth="1"/>
    <col min="2" max="2" width="30.1796875" customWidth="1"/>
    <col min="4" max="4" width="13.1796875" customWidth="1"/>
    <col min="5" max="5" width="13.36328125" customWidth="1"/>
    <col min="6" max="6" width="10.1796875" customWidth="1"/>
    <col min="7" max="7" width="11.36328125" customWidth="1"/>
    <col min="8" max="8" width="10.08984375" customWidth="1"/>
    <col min="9" max="9" width="11.6328125" customWidth="1"/>
    <col min="15" max="15" width="36.6328125" customWidth="1"/>
  </cols>
  <sheetData>
    <row r="1" spans="1:17" s="97" customFormat="1" ht="48.5" customHeight="1">
      <c r="A1" s="93"/>
      <c r="B1" s="93" t="s">
        <v>257</v>
      </c>
      <c r="C1" s="94" t="s">
        <v>258</v>
      </c>
      <c r="D1" s="94" t="s">
        <v>377</v>
      </c>
      <c r="E1" s="94" t="s">
        <v>356</v>
      </c>
      <c r="F1" s="94" t="s">
        <v>194</v>
      </c>
      <c r="G1" s="94" t="s">
        <v>346</v>
      </c>
      <c r="H1" s="94" t="s">
        <v>196</v>
      </c>
      <c r="I1" s="94" t="s">
        <v>345</v>
      </c>
      <c r="J1" s="95"/>
      <c r="K1" s="96"/>
    </row>
    <row r="2" spans="1:17" s="82" customFormat="1">
      <c r="A2" s="80">
        <v>1</v>
      </c>
      <c r="B2" s="80" t="s">
        <v>357</v>
      </c>
      <c r="C2" s="80">
        <v>2</v>
      </c>
      <c r="D2" s="80">
        <v>2.39</v>
      </c>
      <c r="E2" s="81">
        <v>4.78</v>
      </c>
      <c r="F2" s="80">
        <v>10.8</v>
      </c>
      <c r="G2" s="81">
        <v>51.624000000000009</v>
      </c>
      <c r="H2" s="80">
        <v>1.65</v>
      </c>
      <c r="I2" s="81">
        <v>7.8869999999999996</v>
      </c>
      <c r="K2" s="83"/>
    </row>
    <row r="3" spans="1:17" s="82" customFormat="1">
      <c r="A3" s="80">
        <v>2</v>
      </c>
      <c r="B3" s="80" t="s">
        <v>358</v>
      </c>
      <c r="C3" s="80">
        <v>2</v>
      </c>
      <c r="D3" s="80">
        <v>0.72</v>
      </c>
      <c r="E3" s="81">
        <v>1.44</v>
      </c>
      <c r="F3" s="80">
        <v>10.6</v>
      </c>
      <c r="G3" s="81">
        <v>15.263999999999999</v>
      </c>
      <c r="H3" s="80">
        <v>1.6</v>
      </c>
      <c r="I3" s="81">
        <v>2.3039999999999998</v>
      </c>
      <c r="K3" s="83"/>
    </row>
    <row r="4" spans="1:17" s="82" customFormat="1">
      <c r="A4" s="80">
        <v>3</v>
      </c>
      <c r="B4" s="84" t="s">
        <v>359</v>
      </c>
      <c r="C4" s="80">
        <v>2</v>
      </c>
      <c r="D4" s="80">
        <v>0.46500000000000002</v>
      </c>
      <c r="E4" s="81">
        <v>0.93</v>
      </c>
      <c r="F4" s="80">
        <v>8.39</v>
      </c>
      <c r="G4" s="81">
        <v>7.8027000000000006</v>
      </c>
      <c r="H4" s="80">
        <v>1.5</v>
      </c>
      <c r="I4" s="81">
        <v>1.395</v>
      </c>
      <c r="K4" s="83"/>
    </row>
    <row r="5" spans="1:17" s="82" customFormat="1">
      <c r="A5" s="80">
        <v>4</v>
      </c>
      <c r="B5" s="80" t="s">
        <v>360</v>
      </c>
      <c r="C5" s="80">
        <v>3</v>
      </c>
      <c r="D5" s="80">
        <v>0.21</v>
      </c>
      <c r="E5" s="81">
        <v>0.63</v>
      </c>
      <c r="F5" s="80">
        <v>8.15</v>
      </c>
      <c r="G5" s="81">
        <v>5.1345000000000001</v>
      </c>
      <c r="H5" s="80">
        <v>1.2</v>
      </c>
      <c r="I5" s="81">
        <v>0.75600000000000001</v>
      </c>
      <c r="K5" s="83"/>
    </row>
    <row r="6" spans="1:17" s="82" customFormat="1" ht="15" customHeight="1">
      <c r="A6" s="80">
        <v>5</v>
      </c>
      <c r="B6" s="80" t="s">
        <v>361</v>
      </c>
      <c r="C6" s="80">
        <v>1</v>
      </c>
      <c r="D6" s="80">
        <v>1.25</v>
      </c>
      <c r="E6" s="81">
        <v>1.25</v>
      </c>
      <c r="F6" s="80">
        <v>8.17</v>
      </c>
      <c r="G6" s="81">
        <v>10.2125</v>
      </c>
      <c r="H6" s="80">
        <v>6</v>
      </c>
      <c r="I6" s="81">
        <v>7.5</v>
      </c>
      <c r="K6" s="83"/>
      <c r="O6" s="2" t="s">
        <v>362</v>
      </c>
    </row>
    <row r="7" spans="1:17" s="82" customFormat="1" ht="15" customHeight="1">
      <c r="A7" s="80">
        <v>6</v>
      </c>
      <c r="B7" s="80" t="s">
        <v>378</v>
      </c>
      <c r="C7" s="80">
        <v>1</v>
      </c>
      <c r="D7" s="80">
        <v>3</v>
      </c>
      <c r="E7" s="81">
        <v>3</v>
      </c>
      <c r="F7" s="80">
        <v>8</v>
      </c>
      <c r="G7" s="81">
        <v>24</v>
      </c>
      <c r="H7" s="80">
        <v>7.31</v>
      </c>
      <c r="I7" s="81">
        <v>21.93</v>
      </c>
      <c r="K7" s="83"/>
    </row>
    <row r="8" spans="1:17" s="82" customFormat="1">
      <c r="A8" s="80">
        <v>7</v>
      </c>
      <c r="B8" s="85" t="s">
        <v>363</v>
      </c>
      <c r="C8" s="80">
        <v>2</v>
      </c>
      <c r="D8" s="81">
        <v>1.959990723492</v>
      </c>
      <c r="E8" s="81">
        <v>3.919981446984</v>
      </c>
      <c r="F8" s="80">
        <v>1.62</v>
      </c>
      <c r="G8" s="81">
        <v>6.35036994411408</v>
      </c>
      <c r="H8" s="80">
        <v>3.63</v>
      </c>
      <c r="I8" s="81">
        <v>14.229532652551919</v>
      </c>
      <c r="K8" s="83"/>
      <c r="O8" s="82" t="s">
        <v>231</v>
      </c>
      <c r="P8" s="44">
        <v>0.26702343359999997</v>
      </c>
      <c r="Q8" s="82" t="s">
        <v>184</v>
      </c>
    </row>
    <row r="9" spans="1:17" s="82" customFormat="1">
      <c r="A9" s="80">
        <v>8</v>
      </c>
      <c r="B9" s="85" t="s">
        <v>364</v>
      </c>
      <c r="C9" s="80">
        <v>3</v>
      </c>
      <c r="D9" s="81">
        <v>3.06</v>
      </c>
      <c r="E9" s="81">
        <v>9.18</v>
      </c>
      <c r="F9" s="80">
        <v>61.6</v>
      </c>
      <c r="G9" s="81">
        <v>565.48799999999994</v>
      </c>
      <c r="H9" s="80">
        <v>5.5</v>
      </c>
      <c r="I9" s="81">
        <v>50.489999999999995</v>
      </c>
      <c r="K9" s="86"/>
      <c r="O9" s="82" t="s">
        <v>380</v>
      </c>
      <c r="P9" s="44">
        <v>0.11297192814600002</v>
      </c>
      <c r="Q9" s="82" t="s">
        <v>184</v>
      </c>
    </row>
    <row r="10" spans="1:17" s="82" customFormat="1" ht="29">
      <c r="A10" s="80">
        <v>9</v>
      </c>
      <c r="B10" s="87" t="s">
        <v>379</v>
      </c>
      <c r="C10" s="80"/>
      <c r="D10" s="80">
        <v>4</v>
      </c>
      <c r="E10" s="81">
        <v>4</v>
      </c>
      <c r="F10" s="80">
        <v>61.68</v>
      </c>
      <c r="G10" s="81">
        <v>246.72</v>
      </c>
      <c r="H10" s="80">
        <v>5.5</v>
      </c>
      <c r="I10" s="81">
        <v>22</v>
      </c>
      <c r="K10" s="86"/>
      <c r="P10" s="44"/>
    </row>
    <row r="11" spans="1:17" s="82" customFormat="1">
      <c r="A11" s="80">
        <v>10</v>
      </c>
      <c r="B11" s="87" t="s">
        <v>365</v>
      </c>
      <c r="C11" s="80">
        <v>2</v>
      </c>
      <c r="D11" s="81">
        <v>1.2048619190000001</v>
      </c>
      <c r="E11" s="81">
        <v>2.4097238380000001</v>
      </c>
      <c r="F11" s="80">
        <v>1.5</v>
      </c>
      <c r="G11" s="81">
        <v>3.6145857570000004</v>
      </c>
      <c r="H11" s="80">
        <v>0.85</v>
      </c>
      <c r="I11" s="81">
        <v>2.0482652623000002</v>
      </c>
      <c r="P11" s="44"/>
    </row>
    <row r="12" spans="1:17" s="82" customFormat="1">
      <c r="A12" s="80">
        <v>11</v>
      </c>
      <c r="B12" s="87" t="s">
        <v>366</v>
      </c>
      <c r="C12" s="80"/>
      <c r="D12" s="80">
        <v>3</v>
      </c>
      <c r="E12" s="81">
        <v>3</v>
      </c>
      <c r="F12" s="80">
        <v>7</v>
      </c>
      <c r="G12" s="81">
        <v>21</v>
      </c>
      <c r="H12" s="80">
        <v>5</v>
      </c>
      <c r="I12" s="81">
        <v>15</v>
      </c>
      <c r="O12" s="82" t="s">
        <v>381</v>
      </c>
      <c r="P12" s="44">
        <v>2.7E-2</v>
      </c>
      <c r="Q12" s="82" t="s">
        <v>184</v>
      </c>
    </row>
    <row r="13" spans="1:17" s="82" customFormat="1" ht="33" customHeight="1">
      <c r="A13" s="80">
        <v>12</v>
      </c>
      <c r="B13" s="87" t="s">
        <v>367</v>
      </c>
      <c r="C13" s="80"/>
      <c r="D13" s="80">
        <v>3</v>
      </c>
      <c r="E13" s="81">
        <v>3</v>
      </c>
      <c r="F13" s="80">
        <v>34</v>
      </c>
      <c r="G13" s="81">
        <v>102</v>
      </c>
      <c r="H13" s="80">
        <v>4.5</v>
      </c>
      <c r="I13" s="81">
        <v>13.5</v>
      </c>
      <c r="O13" s="82" t="s">
        <v>354</v>
      </c>
      <c r="P13" s="44">
        <v>0.75999072349200003</v>
      </c>
      <c r="Q13" s="82" t="s">
        <v>184</v>
      </c>
    </row>
    <row r="14" spans="1:17" s="82" customFormat="1" ht="15.75" customHeight="1">
      <c r="A14" s="80">
        <v>13</v>
      </c>
      <c r="B14" s="85" t="s">
        <v>368</v>
      </c>
      <c r="C14" s="80"/>
      <c r="D14" s="80">
        <v>2</v>
      </c>
      <c r="E14" s="81">
        <v>2</v>
      </c>
      <c r="F14" s="80">
        <v>33.5</v>
      </c>
      <c r="G14" s="81">
        <v>67</v>
      </c>
      <c r="H14" s="80">
        <v>4.3</v>
      </c>
      <c r="I14" s="81">
        <v>8.6</v>
      </c>
      <c r="O14" s="2" t="s">
        <v>382</v>
      </c>
      <c r="P14" s="44">
        <v>0.40486191900000001</v>
      </c>
      <c r="Q14" s="82" t="s">
        <v>184</v>
      </c>
    </row>
    <row r="15" spans="1:17" s="82" customFormat="1">
      <c r="A15" s="80">
        <v>14</v>
      </c>
      <c r="B15" s="85" t="s">
        <v>369</v>
      </c>
      <c r="C15" s="80">
        <v>1</v>
      </c>
      <c r="D15" s="80">
        <v>1</v>
      </c>
      <c r="E15" s="81">
        <v>1</v>
      </c>
      <c r="F15" s="80">
        <v>32</v>
      </c>
      <c r="G15" s="81">
        <v>32</v>
      </c>
      <c r="H15" s="80">
        <v>4.3</v>
      </c>
      <c r="I15" s="81">
        <v>4.3</v>
      </c>
      <c r="O15" s="2" t="s">
        <v>383</v>
      </c>
      <c r="P15" s="44">
        <v>0.8</v>
      </c>
      <c r="Q15" s="82" t="s">
        <v>184</v>
      </c>
    </row>
    <row r="16" spans="1:17" s="82" customFormat="1">
      <c r="A16" s="80">
        <v>15</v>
      </c>
      <c r="B16" s="85" t="s">
        <v>370</v>
      </c>
      <c r="C16" s="80"/>
      <c r="D16" s="80"/>
      <c r="E16" s="81">
        <v>1</v>
      </c>
      <c r="F16" s="80">
        <v>62.5</v>
      </c>
      <c r="G16" s="81">
        <v>62.5</v>
      </c>
      <c r="H16" s="80">
        <v>5.7</v>
      </c>
      <c r="I16" s="81">
        <v>5.7</v>
      </c>
    </row>
    <row r="17" spans="1:18" s="82" customFormat="1">
      <c r="A17" s="88"/>
      <c r="B17" s="89"/>
      <c r="C17" s="89"/>
      <c r="D17" s="89"/>
      <c r="E17" s="90">
        <v>52.69</v>
      </c>
      <c r="F17" s="91"/>
      <c r="G17" s="90">
        <v>1158.2106557011141</v>
      </c>
      <c r="H17" s="91"/>
      <c r="I17" s="90">
        <v>171.93979791485191</v>
      </c>
    </row>
    <row r="18" spans="1:18" s="82" customFormat="1"/>
    <row r="19" spans="1:18" s="82" customFormat="1">
      <c r="D19" s="62" t="s">
        <v>371</v>
      </c>
      <c r="E19" s="62"/>
      <c r="F19" s="62"/>
      <c r="G19" s="4"/>
      <c r="H19" s="63">
        <v>57.96</v>
      </c>
      <c r="I19" s="63" t="s">
        <v>184</v>
      </c>
      <c r="J19" s="64" t="s">
        <v>271</v>
      </c>
      <c r="K19" s="64"/>
      <c r="O19" s="82" t="s">
        <v>372</v>
      </c>
    </row>
    <row r="20" spans="1:18" s="82" customFormat="1">
      <c r="D20" s="62"/>
      <c r="E20" s="62"/>
      <c r="F20" s="62"/>
      <c r="G20" s="4"/>
      <c r="H20" s="63"/>
      <c r="I20" s="63"/>
      <c r="J20" s="64"/>
      <c r="K20" s="64"/>
    </row>
    <row r="21" spans="1:18" s="82" customFormat="1">
      <c r="D21" s="65" t="s">
        <v>272</v>
      </c>
      <c r="E21" s="65"/>
      <c r="F21" s="65"/>
      <c r="G21" s="4"/>
      <c r="H21" s="63">
        <v>25.972531633082866</v>
      </c>
      <c r="I21" s="63" t="s">
        <v>178</v>
      </c>
      <c r="O21" s="82" t="s">
        <v>373</v>
      </c>
      <c r="Q21" s="92">
        <v>3063.1579999999999</v>
      </c>
      <c r="R21" s="82" t="s">
        <v>184</v>
      </c>
    </row>
    <row r="22" spans="1:18" s="82" customFormat="1">
      <c r="D22" s="65"/>
      <c r="E22" s="65"/>
      <c r="F22" s="65"/>
      <c r="G22" s="4"/>
      <c r="H22" s="63"/>
      <c r="I22" s="63"/>
    </row>
    <row r="23" spans="1:18" s="82" customFormat="1">
      <c r="D23" s="66" t="s">
        <v>273</v>
      </c>
      <c r="E23" s="66"/>
      <c r="F23" s="66"/>
      <c r="G23" s="4"/>
      <c r="H23" s="63">
        <v>3.8556991496733222</v>
      </c>
      <c r="I23" s="63" t="s">
        <v>178</v>
      </c>
      <c r="P23" s="82" t="s">
        <v>242</v>
      </c>
      <c r="Q23" s="82">
        <v>13.54</v>
      </c>
      <c r="R23" s="82" t="s">
        <v>178</v>
      </c>
    </row>
    <row r="24" spans="1:18" s="82" customFormat="1">
      <c r="D24" s="66"/>
      <c r="E24" s="66"/>
      <c r="F24" s="66"/>
      <c r="G24" s="4"/>
      <c r="H24" s="63"/>
      <c r="I24" s="63"/>
      <c r="J24" s="4"/>
      <c r="K24" s="4"/>
    </row>
    <row r="25" spans="1:18" s="82" customFormat="1">
      <c r="J25" s="4"/>
      <c r="K25" s="4"/>
    </row>
    <row r="26" spans="1:18" s="82" customFormat="1">
      <c r="J26" s="4"/>
      <c r="K26" s="4"/>
      <c r="P26" s="82" t="s">
        <v>374</v>
      </c>
      <c r="Q26" s="82">
        <v>7.79</v>
      </c>
      <c r="R26" s="82" t="s">
        <v>178</v>
      </c>
    </row>
    <row r="27" spans="1:18" s="82" customFormat="1">
      <c r="J27" s="4"/>
      <c r="K27" s="4"/>
    </row>
    <row r="28" spans="1:18" s="82" customFormat="1">
      <c r="P28" s="82" t="s">
        <v>375</v>
      </c>
      <c r="Q28" s="82">
        <v>202.19</v>
      </c>
      <c r="R28" s="82" t="s">
        <v>246</v>
      </c>
    </row>
    <row r="29" spans="1:18" s="82" customFormat="1"/>
    <row r="30" spans="1:18" s="82" customFormat="1"/>
    <row r="31" spans="1:18" s="82" customFormat="1">
      <c r="P31" s="82" t="s">
        <v>376</v>
      </c>
      <c r="Q31" s="82">
        <v>358.04439505310916</v>
      </c>
    </row>
    <row r="32" spans="1:18" s="82" customFormat="1"/>
    <row r="33" s="82" customFormat="1"/>
    <row r="34" s="82" customFormat="1"/>
    <row r="35" s="82" customFormat="1"/>
    <row r="36" s="82" customFormat="1"/>
    <row r="37" s="82" customFormat="1"/>
    <row r="38" s="82" customFormat="1"/>
    <row r="39" s="82" customFormat="1"/>
    <row r="40" s="82" customFormat="1"/>
    <row r="41" s="82" customFormat="1"/>
    <row r="42" s="82" customFormat="1"/>
    <row r="43" s="82" customFormat="1"/>
    <row r="44" s="82" customFormat="1"/>
    <row r="45" s="82" customFormat="1"/>
    <row r="46" s="82" customFormat="1"/>
    <row r="47" s="82" customFormat="1"/>
    <row r="48" s="82" customFormat="1"/>
    <row r="49" s="82" customFormat="1"/>
    <row r="50" s="82" customFormat="1"/>
    <row r="51" s="82" customFormat="1"/>
    <row r="52" s="82" customFormat="1"/>
    <row r="53" s="82" customFormat="1"/>
    <row r="54" s="82" customFormat="1"/>
    <row r="55" s="82" customFormat="1"/>
    <row r="56" s="82" customFormat="1"/>
    <row r="57" s="82" customFormat="1"/>
    <row r="58" s="82" customFormat="1"/>
    <row r="59" s="82" customFormat="1"/>
    <row r="60" s="82" customFormat="1"/>
    <row r="61" s="82" customFormat="1"/>
    <row r="62" s="82" customFormat="1"/>
    <row r="63" s="82" customFormat="1"/>
    <row r="64" s="82" customFormat="1"/>
    <row r="65" s="82" customFormat="1"/>
  </sheetData>
  <mergeCells count="10">
    <mergeCell ref="J19:K20"/>
    <mergeCell ref="D23:F24"/>
    <mergeCell ref="H23:H24"/>
    <mergeCell ref="I23:I24"/>
    <mergeCell ref="D19:F20"/>
    <mergeCell ref="H19:H20"/>
    <mergeCell ref="I19:I20"/>
    <mergeCell ref="D21:F22"/>
    <mergeCell ref="H21:H22"/>
    <mergeCell ref="I21:I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2"/>
  <sheetViews>
    <sheetView topLeftCell="G1" workbookViewId="0">
      <selection activeCell="G1" sqref="G1"/>
    </sheetView>
  </sheetViews>
  <sheetFormatPr defaultRowHeight="14.5"/>
  <cols>
    <col min="11" max="11" width="16.453125" customWidth="1"/>
    <col min="15" max="15" width="13.81640625" customWidth="1"/>
    <col min="16" max="16" width="15.08984375" customWidth="1"/>
    <col min="17" max="17" width="14.453125" customWidth="1"/>
    <col min="18" max="18" width="12.6328125" customWidth="1"/>
  </cols>
  <sheetData>
    <row r="1" spans="2:21" s="5" customFormat="1"/>
    <row r="2" spans="2:21" s="98" customFormat="1" ht="58">
      <c r="F2" s="26"/>
      <c r="G2" s="26"/>
      <c r="H2" s="26"/>
      <c r="I2" s="131"/>
      <c r="J2" s="132" t="s">
        <v>257</v>
      </c>
      <c r="K2" s="132"/>
      <c r="L2" s="132" t="s">
        <v>260</v>
      </c>
      <c r="M2" s="132"/>
      <c r="N2" s="133" t="s">
        <v>194</v>
      </c>
      <c r="O2" s="134" t="s">
        <v>195</v>
      </c>
      <c r="P2" s="133" t="s">
        <v>196</v>
      </c>
      <c r="Q2" s="134" t="s">
        <v>197</v>
      </c>
    </row>
    <row r="3" spans="2:21" s="98" customFormat="1">
      <c r="F3" s="26"/>
      <c r="G3" s="26"/>
      <c r="H3" s="26"/>
      <c r="I3" s="80">
        <v>1</v>
      </c>
      <c r="J3" s="100" t="s">
        <v>236</v>
      </c>
      <c r="K3" s="100"/>
      <c r="L3" s="101">
        <v>640.95000000000005</v>
      </c>
      <c r="M3" s="100"/>
      <c r="N3" s="81">
        <f>'[1]Steel Weight'!J86</f>
        <v>29.8667336824263</v>
      </c>
      <c r="O3" s="81">
        <f>N3*L3</f>
        <v>19143.082953751138</v>
      </c>
      <c r="P3" s="81">
        <f>'[1]Steel Weight'!J88</f>
        <v>2.3963415813194717</v>
      </c>
      <c r="Q3" s="81">
        <f>P3*L3</f>
        <v>1535.9351365467155</v>
      </c>
    </row>
    <row r="4" spans="2:21" s="98" customFormat="1">
      <c r="F4" s="26"/>
      <c r="G4" s="26"/>
      <c r="H4" s="26"/>
      <c r="I4" s="80">
        <v>2</v>
      </c>
      <c r="J4" s="100" t="s">
        <v>408</v>
      </c>
      <c r="K4" s="100"/>
      <c r="L4" s="101">
        <v>11.49</v>
      </c>
      <c r="M4" s="100"/>
      <c r="N4" s="81">
        <f>'[1]W&amp;O Weight'!G132</f>
        <v>8.1866971958389883</v>
      </c>
      <c r="O4" s="81">
        <f t="shared" ref="O4:O5" si="0">N4*L4</f>
        <v>94.065150780189981</v>
      </c>
      <c r="P4" s="81">
        <f>'[1]W&amp;O Weight'!G134</f>
        <v>7.0901854364540933</v>
      </c>
      <c r="Q4" s="81">
        <f t="shared" ref="Q4:Q5" si="1">P4*L4</f>
        <v>81.466230664857534</v>
      </c>
    </row>
    <row r="5" spans="2:21" s="98" customFormat="1">
      <c r="B5" s="102"/>
      <c r="C5" s="102"/>
      <c r="D5" s="64"/>
      <c r="E5" s="102"/>
      <c r="F5" s="26"/>
      <c r="G5" s="26"/>
      <c r="H5" s="26"/>
      <c r="I5" s="80">
        <v>3</v>
      </c>
      <c r="J5" s="100" t="s">
        <v>384</v>
      </c>
      <c r="K5" s="100"/>
      <c r="L5" s="101">
        <v>57.96</v>
      </c>
      <c r="M5" s="100"/>
      <c r="N5" s="81">
        <f>'[1]Machinery Weight'!H21</f>
        <v>25.972531633082866</v>
      </c>
      <c r="O5" s="81">
        <f t="shared" si="0"/>
        <v>1505.3679334534829</v>
      </c>
      <c r="P5" s="81">
        <f>'[1]Machinery Weight'!H23</f>
        <v>3.8556991496733222</v>
      </c>
      <c r="Q5" s="81">
        <f t="shared" si="1"/>
        <v>223.47632271506575</v>
      </c>
    </row>
    <row r="6" spans="2:21" s="98" customFormat="1">
      <c r="B6" s="102"/>
      <c r="C6" s="102"/>
      <c r="D6" s="64"/>
      <c r="E6" s="102"/>
      <c r="F6" s="26"/>
      <c r="G6" s="26"/>
      <c r="H6" s="26"/>
      <c r="I6" s="103" t="s">
        <v>385</v>
      </c>
      <c r="J6" s="103"/>
      <c r="K6" s="103"/>
      <c r="L6" s="104">
        <f>L3+L4+L5</f>
        <v>710.40000000000009</v>
      </c>
      <c r="M6" s="103"/>
      <c r="N6" s="90">
        <f>O6/L6</f>
        <v>29.198361539956089</v>
      </c>
      <c r="O6" s="81">
        <f>O3+O4+O5</f>
        <v>20742.516037984809</v>
      </c>
      <c r="P6" s="90">
        <f>Q6/L6</f>
        <v>2.5913255770363715</v>
      </c>
      <c r="Q6" s="81">
        <f>Q3+Q4+Q5</f>
        <v>1840.8776899266386</v>
      </c>
      <c r="T6" s="98">
        <f>L6/(66.13*11*0.79*1.025)</f>
        <v>1.2060374346023592</v>
      </c>
    </row>
    <row r="7" spans="2:21" s="98" customFormat="1">
      <c r="B7" s="102"/>
      <c r="C7" s="102"/>
      <c r="D7" s="64"/>
      <c r="E7" s="102"/>
      <c r="F7" s="26"/>
      <c r="G7" s="26"/>
      <c r="H7" s="26"/>
      <c r="I7" s="26"/>
    </row>
    <row r="8" spans="2:21" s="98" customFormat="1">
      <c r="F8" s="26"/>
      <c r="G8" s="26"/>
      <c r="H8" s="26"/>
      <c r="I8" s="26"/>
      <c r="T8" s="105">
        <v>1.3</v>
      </c>
      <c r="U8" s="105"/>
    </row>
    <row r="9" spans="2:21" s="98" customFormat="1">
      <c r="F9" s="26"/>
      <c r="G9" s="26"/>
      <c r="H9" s="26"/>
      <c r="I9" s="106"/>
      <c r="J9" s="107"/>
      <c r="K9" s="107"/>
      <c r="L9" s="108"/>
      <c r="M9" s="108"/>
      <c r="N9" s="109"/>
      <c r="O9" s="110"/>
      <c r="P9" s="109"/>
      <c r="Q9" s="110"/>
    </row>
    <row r="10" spans="2:21" s="98" customFormat="1">
      <c r="F10" s="26"/>
      <c r="G10" s="26"/>
      <c r="H10" s="26"/>
      <c r="I10" s="111"/>
      <c r="J10" s="105"/>
      <c r="K10" s="105"/>
      <c r="L10" s="112"/>
      <c r="M10" s="105"/>
      <c r="N10" s="113"/>
      <c r="O10" s="113"/>
      <c r="P10" s="113"/>
      <c r="Q10" s="113"/>
    </row>
    <row r="11" spans="2:21" s="98" customFormat="1">
      <c r="F11" s="26"/>
      <c r="G11" s="26"/>
      <c r="H11" s="26"/>
      <c r="I11" s="111"/>
      <c r="J11" s="107"/>
      <c r="K11" s="107"/>
      <c r="L11" s="105"/>
      <c r="M11" s="105"/>
      <c r="N11" s="113"/>
      <c r="O11" s="113"/>
      <c r="P11" s="113"/>
      <c r="Q11" s="113"/>
    </row>
    <row r="12" spans="2:21" s="98" customFormat="1">
      <c r="F12" s="26"/>
      <c r="G12" s="26"/>
      <c r="H12" s="26"/>
      <c r="I12" s="26"/>
    </row>
    <row r="13" spans="2:21" s="98" customFormat="1"/>
    <row r="14" spans="2:21" s="98" customFormat="1">
      <c r="O14" s="115" t="s">
        <v>386</v>
      </c>
    </row>
    <row r="15" spans="2:21" s="98" customFormat="1"/>
    <row r="16" spans="2:21" s="98" customFormat="1"/>
    <row r="17" spans="2:32" s="98" customFormat="1"/>
    <row r="18" spans="2:32" s="98" customFormat="1"/>
    <row r="19" spans="2:32" s="98" customFormat="1"/>
    <row r="20" spans="2:32" s="98" customFormat="1" ht="15.5">
      <c r="I20" s="137" t="s">
        <v>410</v>
      </c>
      <c r="J20" s="138"/>
      <c r="K20" s="138"/>
      <c r="L20" s="138"/>
      <c r="M20" s="138"/>
      <c r="N20" s="138"/>
      <c r="O20" s="138"/>
      <c r="P20" s="138"/>
      <c r="Q20" s="138"/>
      <c r="X20" s="105"/>
      <c r="Y20" s="105"/>
      <c r="Z20" s="105"/>
      <c r="AA20" s="105"/>
      <c r="AB20" s="105"/>
      <c r="AC20" s="105"/>
      <c r="AD20" s="105"/>
      <c r="AE20" s="105"/>
      <c r="AF20" s="105"/>
    </row>
    <row r="21" spans="2:32" s="98" customFormat="1" ht="43.5" customHeight="1">
      <c r="I21" s="135" t="s">
        <v>258</v>
      </c>
      <c r="J21" s="136" t="s">
        <v>257</v>
      </c>
      <c r="K21" s="116"/>
      <c r="L21" s="117" t="s">
        <v>260</v>
      </c>
      <c r="M21" s="117"/>
      <c r="N21" s="118" t="s">
        <v>194</v>
      </c>
      <c r="O21" s="99" t="s">
        <v>195</v>
      </c>
      <c r="P21" s="118" t="s">
        <v>196</v>
      </c>
      <c r="Q21" s="99" t="s">
        <v>197</v>
      </c>
      <c r="X21" s="106"/>
      <c r="Y21" s="107"/>
      <c r="Z21" s="107"/>
      <c r="AA21" s="108"/>
      <c r="AB21" s="108"/>
      <c r="AC21" s="109"/>
      <c r="AD21" s="110"/>
      <c r="AE21" s="109"/>
      <c r="AF21" s="110"/>
    </row>
    <row r="22" spans="2:32" s="98" customFormat="1">
      <c r="I22" s="80">
        <v>1</v>
      </c>
      <c r="J22" s="100" t="s">
        <v>387</v>
      </c>
      <c r="K22" s="100"/>
      <c r="L22" s="101">
        <f>L6</f>
        <v>710.40000000000009</v>
      </c>
      <c r="M22" s="100"/>
      <c r="N22" s="81">
        <f>N6</f>
        <v>29.198361539956089</v>
      </c>
      <c r="O22" s="81">
        <f>N22*L22</f>
        <v>20742.516037984809</v>
      </c>
      <c r="P22" s="81">
        <f>P6</f>
        <v>2.5913255770363715</v>
      </c>
      <c r="Q22" s="81">
        <f>L22*P22</f>
        <v>1840.8776899266386</v>
      </c>
      <c r="X22" s="111"/>
      <c r="Y22" s="105"/>
      <c r="Z22" s="105"/>
      <c r="AA22" s="112"/>
      <c r="AB22" s="105"/>
      <c r="AC22" s="113"/>
      <c r="AD22" s="113"/>
      <c r="AE22" s="113"/>
      <c r="AF22" s="113"/>
    </row>
    <row r="23" spans="2:32" s="98" customFormat="1">
      <c r="I23" s="80">
        <v>2</v>
      </c>
      <c r="J23" s="119" t="s">
        <v>414</v>
      </c>
      <c r="K23" s="119"/>
      <c r="L23" s="100">
        <f>0.075*13</f>
        <v>0.97499999999999998</v>
      </c>
      <c r="M23" s="100"/>
      <c r="N23" s="81">
        <v>8.75</v>
      </c>
      <c r="O23" s="81">
        <f>N23*L23</f>
        <v>8.53125</v>
      </c>
      <c r="P23" s="81">
        <v>5.5</v>
      </c>
      <c r="Q23" s="81">
        <f>P23*L23</f>
        <v>5.3624999999999998</v>
      </c>
      <c r="X23" s="111"/>
      <c r="Y23" s="107"/>
      <c r="Z23" s="107"/>
      <c r="AA23" s="105"/>
      <c r="AB23" s="105"/>
      <c r="AC23" s="113"/>
      <c r="AD23" s="113"/>
      <c r="AE23" s="113"/>
      <c r="AF23" s="113"/>
    </row>
    <row r="24" spans="2:32" s="98" customFormat="1">
      <c r="C24" s="98">
        <f>2.968*2.11*0.8</f>
        <v>5.0099839999999993</v>
      </c>
      <c r="I24" s="80">
        <v>3</v>
      </c>
      <c r="J24" s="119" t="s">
        <v>415</v>
      </c>
      <c r="K24" s="119"/>
      <c r="L24" s="100">
        <v>8.85</v>
      </c>
      <c r="M24" s="100"/>
      <c r="N24" s="81">
        <v>12.34</v>
      </c>
      <c r="O24" s="81">
        <f t="shared" ref="O24:O29" si="2">N24*L24</f>
        <v>109.20899999999999</v>
      </c>
      <c r="P24" s="81">
        <v>3.07</v>
      </c>
      <c r="Q24" s="81">
        <f t="shared" ref="Q24:Q29" si="3">P24*L24</f>
        <v>27.169499999999996</v>
      </c>
      <c r="X24" s="111"/>
      <c r="Y24" s="107"/>
      <c r="Z24" s="107"/>
      <c r="AA24" s="105"/>
      <c r="AB24" s="105"/>
      <c r="AC24" s="113"/>
      <c r="AD24" s="113"/>
      <c r="AE24" s="113"/>
      <c r="AF24" s="113"/>
    </row>
    <row r="25" spans="2:32" s="98" customFormat="1">
      <c r="I25" s="80">
        <v>4</v>
      </c>
      <c r="J25" s="120" t="s">
        <v>388</v>
      </c>
      <c r="K25" s="121"/>
      <c r="L25" s="120">
        <v>7.0000000000000007E-2</v>
      </c>
      <c r="M25" s="121"/>
      <c r="N25" s="81">
        <v>4.5999999999999996</v>
      </c>
      <c r="O25" s="81">
        <f t="shared" si="2"/>
        <v>0.32200000000000001</v>
      </c>
      <c r="P25" s="81">
        <v>3</v>
      </c>
      <c r="Q25" s="81">
        <f>P25*L25</f>
        <v>0.21000000000000002</v>
      </c>
      <c r="X25" s="111"/>
      <c r="Y25" s="107"/>
      <c r="Z25" s="107"/>
      <c r="AA25" s="105"/>
      <c r="AB25" s="105"/>
      <c r="AC25" s="113"/>
      <c r="AD25" s="113"/>
      <c r="AE25" s="113"/>
      <c r="AF25" s="113"/>
    </row>
    <row r="26" spans="2:32" s="98" customFormat="1">
      <c r="I26" s="80">
        <v>7</v>
      </c>
      <c r="J26" s="119" t="s">
        <v>389</v>
      </c>
      <c r="K26" s="119"/>
      <c r="L26" s="100">
        <v>5</v>
      </c>
      <c r="M26" s="100"/>
      <c r="N26" s="81">
        <v>64</v>
      </c>
      <c r="O26" s="81">
        <f t="shared" si="2"/>
        <v>320</v>
      </c>
      <c r="P26" s="81">
        <v>2.8</v>
      </c>
      <c r="Q26" s="81">
        <f>P26*L26</f>
        <v>14</v>
      </c>
      <c r="X26" s="111"/>
      <c r="Y26" s="107"/>
      <c r="Z26" s="107"/>
      <c r="AA26" s="105"/>
      <c r="AB26" s="105"/>
      <c r="AC26" s="113"/>
      <c r="AD26" s="113"/>
      <c r="AE26" s="113"/>
      <c r="AF26" s="113"/>
    </row>
    <row r="27" spans="2:32" s="98" customFormat="1">
      <c r="F27" s="26"/>
      <c r="G27" s="26"/>
      <c r="H27" s="26"/>
      <c r="I27" s="80">
        <v>9</v>
      </c>
      <c r="J27" s="100" t="s">
        <v>390</v>
      </c>
      <c r="K27" s="100"/>
      <c r="L27" s="122">
        <v>450</v>
      </c>
      <c r="M27" s="123"/>
      <c r="N27" s="81">
        <v>52.67</v>
      </c>
      <c r="O27" s="81">
        <f t="shared" si="2"/>
        <v>23701.5</v>
      </c>
      <c r="P27" s="81">
        <v>2.92</v>
      </c>
      <c r="Q27" s="81">
        <f t="shared" si="3"/>
        <v>1314</v>
      </c>
      <c r="X27" s="111"/>
      <c r="Y27" s="107"/>
      <c r="Z27" s="107"/>
      <c r="AA27" s="107"/>
      <c r="AB27" s="107"/>
      <c r="AC27" s="113"/>
      <c r="AD27" s="113"/>
      <c r="AE27" s="113"/>
      <c r="AF27" s="113"/>
    </row>
    <row r="28" spans="2:32" s="98" customFormat="1">
      <c r="B28" s="98">
        <f>1*2.16*1.079*0.85</f>
        <v>1.9810440000000002</v>
      </c>
      <c r="F28" s="26"/>
      <c r="G28" s="26"/>
      <c r="H28" s="26"/>
      <c r="I28" s="80">
        <v>10</v>
      </c>
      <c r="J28" s="100" t="s">
        <v>391</v>
      </c>
      <c r="K28" s="100"/>
      <c r="L28" s="122">
        <v>568</v>
      </c>
      <c r="M28" s="123"/>
      <c r="N28" s="81">
        <v>37.54</v>
      </c>
      <c r="O28" s="81">
        <f t="shared" si="2"/>
        <v>21322.720000000001</v>
      </c>
      <c r="P28" s="81">
        <v>2.92</v>
      </c>
      <c r="Q28" s="81">
        <f t="shared" si="3"/>
        <v>1658.56</v>
      </c>
      <c r="X28" s="111"/>
      <c r="Y28" s="107"/>
      <c r="Z28" s="107"/>
      <c r="AA28" s="105"/>
      <c r="AB28" s="105"/>
      <c r="AC28" s="113"/>
      <c r="AD28" s="113"/>
      <c r="AE28" s="113"/>
      <c r="AF28" s="113"/>
    </row>
    <row r="29" spans="2:32" s="98" customFormat="1">
      <c r="F29" s="26"/>
      <c r="G29" s="26"/>
      <c r="H29" s="26"/>
      <c r="I29" s="80">
        <v>11</v>
      </c>
      <c r="J29" s="100" t="s">
        <v>392</v>
      </c>
      <c r="K29" s="100"/>
      <c r="L29" s="122">
        <v>568</v>
      </c>
      <c r="M29" s="123"/>
      <c r="N29" s="81">
        <v>21.13</v>
      </c>
      <c r="O29" s="81">
        <f t="shared" si="2"/>
        <v>12001.84</v>
      </c>
      <c r="P29" s="81">
        <v>2.92</v>
      </c>
      <c r="Q29" s="81">
        <f t="shared" si="3"/>
        <v>1658.56</v>
      </c>
      <c r="X29" s="111"/>
      <c r="Y29" s="107"/>
      <c r="Z29" s="107"/>
      <c r="AA29" s="105"/>
      <c r="AB29" s="105"/>
      <c r="AC29" s="113"/>
      <c r="AD29" s="113"/>
      <c r="AE29" s="113"/>
      <c r="AF29" s="113"/>
    </row>
    <row r="30" spans="2:32" s="98" customFormat="1">
      <c r="B30" s="98">
        <f>1.3*3.36*1.78*0.85</f>
        <v>6.608784</v>
      </c>
      <c r="C30" s="98">
        <f>9.5*0.7</f>
        <v>6.6499999999999995</v>
      </c>
      <c r="F30" s="26"/>
      <c r="G30" s="26"/>
      <c r="H30" s="26"/>
      <c r="I30" s="80"/>
      <c r="J30" s="122"/>
      <c r="K30" s="123"/>
      <c r="L30" s="122"/>
      <c r="M30" s="123"/>
      <c r="N30" s="81"/>
      <c r="O30" s="81"/>
      <c r="P30" s="81"/>
      <c r="Q30" s="81"/>
      <c r="X30" s="111"/>
      <c r="Y30" s="105"/>
      <c r="Z30" s="105"/>
      <c r="AA30" s="105"/>
      <c r="AB30" s="105"/>
      <c r="AC30" s="113"/>
      <c r="AD30" s="113"/>
      <c r="AE30" s="113"/>
      <c r="AF30" s="113"/>
    </row>
    <row r="31" spans="2:32" s="98" customFormat="1">
      <c r="F31" s="26"/>
      <c r="G31" s="26"/>
      <c r="H31" s="26"/>
      <c r="I31" s="103" t="s">
        <v>393</v>
      </c>
      <c r="J31" s="103"/>
      <c r="K31" s="103"/>
      <c r="L31" s="104">
        <f>SUM(L22:M30)</f>
        <v>2311.2950000000001</v>
      </c>
      <c r="M31" s="103"/>
      <c r="N31" s="90">
        <f>O31/L31</f>
        <v>33.836718501093458</v>
      </c>
      <c r="O31" s="81">
        <f>SUM(O22:O30)</f>
        <v>78206.63828798481</v>
      </c>
      <c r="P31" s="90">
        <f>Q31/L31</f>
        <v>2.8203841093095594</v>
      </c>
      <c r="Q31" s="81">
        <f>SUM(Q22:Q30)</f>
        <v>6518.7396899266387</v>
      </c>
      <c r="X31" s="111"/>
      <c r="Y31" s="105"/>
      <c r="Z31" s="105"/>
      <c r="AA31" s="105"/>
      <c r="AB31" s="105"/>
      <c r="AC31" s="113"/>
      <c r="AD31" s="113"/>
      <c r="AE31" s="113"/>
      <c r="AF31" s="113"/>
    </row>
    <row r="32" spans="2:32" s="98" customFormat="1">
      <c r="C32" s="98">
        <f>9.5-6.5</f>
        <v>3</v>
      </c>
      <c r="E32" s="98">
        <v>1.32</v>
      </c>
      <c r="F32" s="26"/>
      <c r="G32" s="26"/>
      <c r="H32" s="26"/>
      <c r="I32" s="26"/>
      <c r="X32" s="111"/>
      <c r="Y32" s="105"/>
      <c r="Z32" s="105"/>
      <c r="AA32" s="105"/>
      <c r="AB32" s="105"/>
      <c r="AC32" s="113"/>
      <c r="AD32" s="113"/>
      <c r="AE32" s="113"/>
      <c r="AF32" s="113"/>
    </row>
    <row r="33" spans="3:32" s="98" customFormat="1">
      <c r="D33" s="98">
        <f>142.3985*4.15</f>
        <v>590.95377500000006</v>
      </c>
      <c r="F33" s="26"/>
      <c r="G33" s="26"/>
      <c r="H33" s="26"/>
      <c r="I33" s="26"/>
      <c r="X33" s="111"/>
      <c r="Y33" s="105"/>
      <c r="Z33" s="105"/>
      <c r="AA33" s="105"/>
      <c r="AB33" s="105"/>
      <c r="AC33" s="113"/>
      <c r="AD33" s="113"/>
      <c r="AE33" s="113"/>
      <c r="AF33" s="113"/>
    </row>
    <row r="34" spans="3:32" s="98" customFormat="1">
      <c r="D34" s="98">
        <f>D33/E32</f>
        <v>447.69225378787883</v>
      </c>
      <c r="F34" s="26"/>
      <c r="G34" s="26"/>
      <c r="H34" s="26"/>
      <c r="I34" s="26"/>
      <c r="X34" s="108"/>
      <c r="Y34" s="108"/>
      <c r="Z34" s="108"/>
      <c r="AA34" s="114"/>
      <c r="AB34" s="108"/>
      <c r="AC34" s="109"/>
      <c r="AD34" s="113"/>
      <c r="AE34" s="109"/>
      <c r="AF34" s="113"/>
    </row>
    <row r="35" spans="3:32" s="98" customFormat="1">
      <c r="F35" s="26"/>
      <c r="G35" s="26"/>
      <c r="H35" s="26"/>
      <c r="I35" s="26"/>
      <c r="N35" s="6" t="s">
        <v>396</v>
      </c>
      <c r="O35" s="27">
        <f>L31/(66.13*11*0.79*1.025)</f>
        <v>3.9238573935941155</v>
      </c>
    </row>
    <row r="36" spans="3:32" s="98" customFormat="1">
      <c r="D36" s="98">
        <f>180.7*4.15</f>
        <v>749.90499999999997</v>
      </c>
      <c r="F36" s="26"/>
      <c r="G36" s="26"/>
      <c r="H36" s="26"/>
      <c r="I36" s="26"/>
    </row>
    <row r="37" spans="3:32" s="98" customFormat="1">
      <c r="D37" s="98">
        <f>D36/E32</f>
        <v>568.10984848484838</v>
      </c>
      <c r="F37" s="26"/>
      <c r="G37" s="26"/>
      <c r="H37" s="26"/>
      <c r="I37" s="26"/>
    </row>
    <row r="38" spans="3:32" s="98" customFormat="1">
      <c r="F38" s="26"/>
      <c r="G38" s="26"/>
      <c r="H38" s="26"/>
      <c r="I38" s="26"/>
    </row>
    <row r="39" spans="3:32" s="98" customFormat="1">
      <c r="D39" s="98">
        <f>D37*2+D34</f>
        <v>1583.9119507575756</v>
      </c>
      <c r="F39" s="26"/>
      <c r="G39" s="26"/>
      <c r="H39" s="26"/>
      <c r="I39" s="26"/>
    </row>
    <row r="40" spans="3:32" s="98" customFormat="1">
      <c r="F40" s="26"/>
      <c r="G40" s="26"/>
      <c r="H40" s="26"/>
      <c r="I40" s="26"/>
    </row>
    <row r="41" spans="3:32" s="98" customFormat="1">
      <c r="F41" s="26"/>
      <c r="G41" s="26"/>
      <c r="H41" s="26"/>
      <c r="I41" s="26"/>
    </row>
    <row r="42" spans="3:32" s="98" customFormat="1">
      <c r="F42" s="26"/>
      <c r="G42" s="26"/>
      <c r="H42" s="26"/>
      <c r="I42" s="26"/>
    </row>
    <row r="43" spans="3:32" s="98" customFormat="1">
      <c r="C43" s="98">
        <f>(143+180)*0.85*0.6</f>
        <v>164.73</v>
      </c>
      <c r="F43" s="26"/>
      <c r="G43" s="26"/>
      <c r="H43" s="26"/>
      <c r="I43" s="26"/>
    </row>
    <row r="44" spans="3:32" s="98" customFormat="1">
      <c r="F44" s="26"/>
      <c r="G44" s="26"/>
      <c r="H44" s="26"/>
      <c r="I44" s="26"/>
    </row>
    <row r="45" spans="3:32" s="98" customFormat="1" ht="15.5">
      <c r="F45" s="26"/>
      <c r="G45" s="26"/>
      <c r="H45" s="26"/>
      <c r="I45" s="26"/>
      <c r="J45" s="137" t="s">
        <v>416</v>
      </c>
      <c r="K45" s="137"/>
      <c r="L45" s="137"/>
      <c r="M45" s="137"/>
      <c r="N45" s="137"/>
      <c r="O45" s="137"/>
      <c r="P45" s="137"/>
      <c r="Q45" s="137"/>
      <c r="R45" s="137"/>
    </row>
    <row r="46" spans="3:32" s="6" customFormat="1" ht="43.5">
      <c r="F46" s="7"/>
      <c r="G46" s="7"/>
      <c r="H46" s="7"/>
      <c r="I46" s="7"/>
      <c r="J46" s="135" t="s">
        <v>258</v>
      </c>
      <c r="K46" s="136" t="s">
        <v>257</v>
      </c>
      <c r="L46" s="136"/>
      <c r="M46" s="117" t="s">
        <v>260</v>
      </c>
      <c r="N46" s="117"/>
      <c r="O46" s="118" t="s">
        <v>194</v>
      </c>
      <c r="P46" s="99" t="s">
        <v>195</v>
      </c>
      <c r="Q46" s="118" t="s">
        <v>196</v>
      </c>
      <c r="R46" s="99" t="s">
        <v>197</v>
      </c>
    </row>
    <row r="47" spans="3:32" s="98" customFormat="1">
      <c r="C47" s="98">
        <f>66.13*3.65*11*0.79*1.025</f>
        <v>2149.9830151249998</v>
      </c>
      <c r="F47" s="26"/>
      <c r="G47" s="26"/>
      <c r="H47" s="26"/>
      <c r="I47" s="26"/>
      <c r="J47" s="80">
        <v>1</v>
      </c>
      <c r="K47" s="100" t="s">
        <v>387</v>
      </c>
      <c r="L47" s="100"/>
      <c r="M47" s="101">
        <f>L22</f>
        <v>710.40000000000009</v>
      </c>
      <c r="N47" s="100"/>
      <c r="O47" s="81">
        <f>N22</f>
        <v>29.198361539956089</v>
      </c>
      <c r="P47" s="81">
        <f>M47*O47</f>
        <v>20742.516037984809</v>
      </c>
      <c r="Q47" s="81">
        <f>P22</f>
        <v>2.5913255770363715</v>
      </c>
      <c r="R47" s="81">
        <f>M47*Q47</f>
        <v>1840.8776899266386</v>
      </c>
    </row>
    <row r="48" spans="3:32" s="98" customFormat="1">
      <c r="F48" s="26"/>
      <c r="G48" s="26"/>
      <c r="H48" s="26"/>
      <c r="I48" s="26"/>
      <c r="J48" s="80">
        <v>2</v>
      </c>
      <c r="K48" s="119" t="s">
        <v>414</v>
      </c>
      <c r="L48" s="119"/>
      <c r="M48" s="100">
        <f>0.075*13</f>
        <v>0.97499999999999998</v>
      </c>
      <c r="N48" s="100"/>
      <c r="O48" s="81">
        <v>8.75</v>
      </c>
      <c r="P48" s="81">
        <f t="shared" ref="P48:P54" si="4">M48*O48</f>
        <v>8.53125</v>
      </c>
      <c r="Q48" s="81">
        <v>5.5</v>
      </c>
      <c r="R48" s="81">
        <f t="shared" ref="R48:R54" si="5">M48*Q48</f>
        <v>5.3624999999999998</v>
      </c>
    </row>
    <row r="49" spans="6:18" s="98" customFormat="1">
      <c r="F49" s="26"/>
      <c r="G49" s="26"/>
      <c r="H49" s="26"/>
      <c r="I49" s="26"/>
      <c r="J49" s="80">
        <v>3</v>
      </c>
      <c r="K49" s="119" t="s">
        <v>417</v>
      </c>
      <c r="L49" s="119"/>
      <c r="M49" s="100">
        <f>0.1*L24</f>
        <v>0.88500000000000001</v>
      </c>
      <c r="N49" s="100"/>
      <c r="O49" s="81">
        <v>12.34</v>
      </c>
      <c r="P49" s="81">
        <f t="shared" si="4"/>
        <v>10.9209</v>
      </c>
      <c r="Q49" s="81">
        <v>3.07</v>
      </c>
      <c r="R49" s="81">
        <f t="shared" si="5"/>
        <v>2.7169499999999998</v>
      </c>
    </row>
    <row r="50" spans="6:18" s="98" customFormat="1">
      <c r="F50" s="26"/>
      <c r="G50" s="26"/>
      <c r="H50" s="26"/>
      <c r="I50" s="26"/>
      <c r="J50" s="80">
        <v>4</v>
      </c>
      <c r="K50" s="120" t="s">
        <v>394</v>
      </c>
      <c r="L50" s="121"/>
      <c r="M50" s="120">
        <f>L25*0.1</f>
        <v>7.000000000000001E-3</v>
      </c>
      <c r="N50" s="121"/>
      <c r="O50" s="81">
        <v>4.5999999999999996</v>
      </c>
      <c r="P50" s="81">
        <f t="shared" si="4"/>
        <v>3.2199999999999999E-2</v>
      </c>
      <c r="Q50" s="81">
        <v>3</v>
      </c>
      <c r="R50" s="81">
        <f t="shared" si="5"/>
        <v>2.1000000000000005E-2</v>
      </c>
    </row>
    <row r="51" spans="6:18" s="98" customFormat="1">
      <c r="F51" s="26"/>
      <c r="G51" s="26"/>
      <c r="H51" s="26"/>
      <c r="I51" s="26"/>
      <c r="J51" s="80">
        <v>7</v>
      </c>
      <c r="K51" s="119" t="s">
        <v>395</v>
      </c>
      <c r="L51" s="119"/>
      <c r="M51" s="100">
        <f>L26*0.1</f>
        <v>0.5</v>
      </c>
      <c r="N51" s="100"/>
      <c r="O51" s="81">
        <v>64</v>
      </c>
      <c r="P51" s="81">
        <f t="shared" si="4"/>
        <v>32</v>
      </c>
      <c r="Q51" s="81">
        <v>2.8</v>
      </c>
      <c r="R51" s="81">
        <f t="shared" si="5"/>
        <v>1.4</v>
      </c>
    </row>
    <row r="52" spans="6:18" s="98" customFormat="1">
      <c r="F52" s="26"/>
      <c r="G52" s="26"/>
      <c r="H52" s="26"/>
      <c r="I52" s="26"/>
      <c r="J52" s="80">
        <v>9</v>
      </c>
      <c r="K52" s="100" t="s">
        <v>390</v>
      </c>
      <c r="L52" s="100"/>
      <c r="M52" s="122">
        <v>450</v>
      </c>
      <c r="N52" s="123"/>
      <c r="O52" s="81">
        <v>52.67</v>
      </c>
      <c r="P52" s="81">
        <f t="shared" si="4"/>
        <v>23701.5</v>
      </c>
      <c r="Q52" s="81">
        <v>2.92</v>
      </c>
      <c r="R52" s="81">
        <f t="shared" si="5"/>
        <v>1314</v>
      </c>
    </row>
    <row r="53" spans="6:18" s="98" customFormat="1">
      <c r="F53" s="26"/>
      <c r="G53" s="26"/>
      <c r="H53" s="26"/>
      <c r="I53" s="26"/>
      <c r="J53" s="80">
        <v>10</v>
      </c>
      <c r="K53" s="100" t="s">
        <v>391</v>
      </c>
      <c r="L53" s="100"/>
      <c r="M53" s="122">
        <v>568</v>
      </c>
      <c r="N53" s="123"/>
      <c r="O53" s="81">
        <v>37.54</v>
      </c>
      <c r="P53" s="81">
        <f t="shared" si="4"/>
        <v>21322.720000000001</v>
      </c>
      <c r="Q53" s="81">
        <v>2.92</v>
      </c>
      <c r="R53" s="81">
        <f t="shared" si="5"/>
        <v>1658.56</v>
      </c>
    </row>
    <row r="54" spans="6:18" s="98" customFormat="1">
      <c r="F54" s="26"/>
      <c r="G54" s="26"/>
      <c r="H54" s="26"/>
      <c r="I54" s="26"/>
      <c r="J54" s="80">
        <v>11</v>
      </c>
      <c r="K54" s="100" t="s">
        <v>392</v>
      </c>
      <c r="L54" s="100"/>
      <c r="M54" s="122">
        <v>568</v>
      </c>
      <c r="N54" s="123"/>
      <c r="O54" s="81">
        <v>21.13</v>
      </c>
      <c r="P54" s="81">
        <f t="shared" si="4"/>
        <v>12001.84</v>
      </c>
      <c r="Q54" s="81">
        <v>2.92</v>
      </c>
      <c r="R54" s="81">
        <f t="shared" si="5"/>
        <v>1658.56</v>
      </c>
    </row>
    <row r="55" spans="6:18" s="98" customFormat="1">
      <c r="F55" s="26"/>
      <c r="G55" s="26"/>
      <c r="H55" s="26"/>
      <c r="I55" s="26"/>
      <c r="J55" s="80"/>
      <c r="K55" s="122"/>
      <c r="L55" s="123"/>
      <c r="M55" s="122"/>
      <c r="N55" s="123"/>
      <c r="O55" s="81"/>
      <c r="P55" s="81"/>
      <c r="Q55" s="81"/>
      <c r="R55" s="81"/>
    </row>
    <row r="56" spans="6:18" s="98" customFormat="1">
      <c r="F56" s="26"/>
      <c r="G56" s="26"/>
      <c r="H56" s="26"/>
      <c r="I56" s="26"/>
      <c r="J56" s="103" t="s">
        <v>393</v>
      </c>
      <c r="K56" s="103"/>
      <c r="L56" s="103"/>
      <c r="M56" s="104">
        <f>SUM(M47:N55)</f>
        <v>2298.7669999999998</v>
      </c>
      <c r="N56" s="103"/>
      <c r="O56" s="90">
        <f>P56/M56</f>
        <v>33.852956993024875</v>
      </c>
      <c r="P56" s="81">
        <f>SUM(P47:P55)</f>
        <v>77820.060387984806</v>
      </c>
      <c r="Q56" s="90">
        <f>R56/M56</f>
        <v>2.8195541957608747</v>
      </c>
      <c r="R56" s="81">
        <f>SUM(R47:R55)</f>
        <v>6481.498139926638</v>
      </c>
    </row>
    <row r="57" spans="6:18" s="98" customFormat="1">
      <c r="F57" s="26"/>
      <c r="G57" s="26"/>
      <c r="H57" s="26"/>
      <c r="I57" s="26"/>
    </row>
    <row r="58" spans="6:18" s="98" customFormat="1">
      <c r="F58" s="26"/>
      <c r="G58" s="26"/>
      <c r="H58" s="26"/>
      <c r="I58" s="26"/>
    </row>
    <row r="59" spans="6:18" s="98" customFormat="1">
      <c r="F59" s="26"/>
      <c r="G59" s="26"/>
      <c r="H59" s="26"/>
      <c r="I59" s="26"/>
      <c r="O59" s="98" t="s">
        <v>396</v>
      </c>
      <c r="P59" s="27">
        <f>M56/(66.13*0.79*11*1.025)</f>
        <v>3.9025887604568705</v>
      </c>
    </row>
    <row r="60" spans="6:18" s="98" customFormat="1">
      <c r="F60" s="26"/>
      <c r="G60" s="26"/>
      <c r="H60" s="26"/>
      <c r="I60" s="26"/>
    </row>
    <row r="61" spans="6:18" s="98" customFormat="1">
      <c r="F61" s="26"/>
      <c r="G61" s="26"/>
      <c r="H61" s="26"/>
      <c r="I61" s="26"/>
    </row>
    <row r="62" spans="6:18" s="98" customFormat="1">
      <c r="F62" s="26"/>
      <c r="G62" s="26"/>
      <c r="H62" s="26"/>
      <c r="I62" s="26"/>
    </row>
    <row r="63" spans="6:18" s="98" customFormat="1">
      <c r="F63" s="26"/>
      <c r="G63" s="26"/>
      <c r="H63" s="26"/>
      <c r="I63" s="26"/>
    </row>
    <row r="64" spans="6:18" s="98" customFormat="1">
      <c r="F64" s="26"/>
      <c r="G64" s="26"/>
      <c r="H64" s="26"/>
      <c r="I64" s="26"/>
    </row>
    <row r="65" spans="3:17" s="98" customFormat="1">
      <c r="F65" s="26"/>
      <c r="G65" s="26"/>
      <c r="H65" s="26"/>
      <c r="I65" s="26"/>
    </row>
    <row r="66" spans="3:17" s="98" customFormat="1">
      <c r="F66" s="26"/>
      <c r="G66" s="26"/>
      <c r="H66" s="26"/>
      <c r="I66" s="26"/>
    </row>
    <row r="67" spans="3:17" s="98" customFormat="1">
      <c r="F67" s="26"/>
      <c r="G67" s="26"/>
      <c r="H67" s="26"/>
      <c r="I67" s="26"/>
    </row>
    <row r="68" spans="3:17" s="98" customFormat="1" ht="15.5">
      <c r="F68" s="26"/>
      <c r="G68" s="26"/>
      <c r="H68" s="26"/>
      <c r="I68" s="137" t="s">
        <v>418</v>
      </c>
      <c r="J68" s="137"/>
      <c r="K68" s="137"/>
      <c r="L68" s="137"/>
      <c r="M68" s="137"/>
      <c r="N68" s="137"/>
      <c r="O68" s="137"/>
      <c r="P68" s="137"/>
      <c r="Q68" s="137"/>
    </row>
    <row r="69" spans="3:17" s="98" customFormat="1" ht="43.5" customHeight="1">
      <c r="F69" s="26"/>
      <c r="G69" s="26"/>
      <c r="H69" s="26"/>
      <c r="I69" s="135" t="s">
        <v>258</v>
      </c>
      <c r="J69" s="136" t="s">
        <v>257</v>
      </c>
      <c r="K69" s="136"/>
      <c r="L69" s="117" t="s">
        <v>260</v>
      </c>
      <c r="M69" s="117"/>
      <c r="N69" s="118" t="s">
        <v>194</v>
      </c>
      <c r="O69" s="99" t="s">
        <v>195</v>
      </c>
      <c r="P69" s="118" t="s">
        <v>196</v>
      </c>
      <c r="Q69" s="99" t="s">
        <v>197</v>
      </c>
    </row>
    <row r="70" spans="3:17" s="98" customFormat="1">
      <c r="F70" s="26"/>
      <c r="G70" s="26"/>
      <c r="H70" s="26"/>
      <c r="I70" s="80">
        <v>1</v>
      </c>
      <c r="J70" s="100" t="s">
        <v>387</v>
      </c>
      <c r="K70" s="100"/>
      <c r="L70" s="101">
        <f>L6</f>
        <v>710.40000000000009</v>
      </c>
      <c r="M70" s="100"/>
      <c r="N70" s="81">
        <f>N6</f>
        <v>29.198361539956089</v>
      </c>
      <c r="O70" s="81">
        <f>N70*L70</f>
        <v>20742.516037984809</v>
      </c>
      <c r="P70" s="81">
        <f>P6</f>
        <v>2.5913255770363715</v>
      </c>
      <c r="Q70" s="81">
        <f>P70*L70</f>
        <v>1840.8776899266386</v>
      </c>
    </row>
    <row r="71" spans="3:17" s="98" customFormat="1">
      <c r="F71" s="26"/>
      <c r="G71" s="26"/>
      <c r="H71" s="26"/>
      <c r="I71" s="80">
        <v>2</v>
      </c>
      <c r="J71" s="119" t="s">
        <v>414</v>
      </c>
      <c r="K71" s="119"/>
      <c r="L71" s="100">
        <f>0.075*13</f>
        <v>0.97499999999999998</v>
      </c>
      <c r="M71" s="100"/>
      <c r="N71" s="81">
        <v>8.75</v>
      </c>
      <c r="O71" s="81">
        <f t="shared" ref="O71:O78" si="6">N71*L71</f>
        <v>8.53125</v>
      </c>
      <c r="P71" s="81">
        <v>5.5</v>
      </c>
      <c r="Q71" s="81">
        <f t="shared" ref="Q71:Q77" si="7">P71*L71</f>
        <v>5.3624999999999998</v>
      </c>
    </row>
    <row r="72" spans="3:17" s="98" customFormat="1">
      <c r="F72" s="26"/>
      <c r="G72" s="26"/>
      <c r="H72" s="26"/>
      <c r="I72" s="80">
        <v>3</v>
      </c>
      <c r="J72" s="119" t="s">
        <v>397</v>
      </c>
      <c r="K72" s="119"/>
      <c r="L72" s="100">
        <v>1</v>
      </c>
      <c r="M72" s="100"/>
      <c r="N72" s="81">
        <v>4.5999999999999996</v>
      </c>
      <c r="O72" s="81">
        <f t="shared" si="6"/>
        <v>4.5999999999999996</v>
      </c>
      <c r="P72" s="81">
        <v>3.07</v>
      </c>
      <c r="Q72" s="81">
        <f t="shared" si="7"/>
        <v>3.07</v>
      </c>
    </row>
    <row r="73" spans="3:17" s="98" customFormat="1">
      <c r="F73" s="26"/>
      <c r="G73" s="26"/>
      <c r="H73" s="26"/>
      <c r="I73" s="80">
        <v>4</v>
      </c>
      <c r="J73" s="119" t="s">
        <v>398</v>
      </c>
      <c r="K73" s="119"/>
      <c r="L73" s="100">
        <v>1.5</v>
      </c>
      <c r="M73" s="100"/>
      <c r="N73" s="81">
        <v>12.34</v>
      </c>
      <c r="O73" s="81">
        <f t="shared" si="6"/>
        <v>18.509999999999998</v>
      </c>
      <c r="P73" s="81">
        <v>3.07</v>
      </c>
      <c r="Q73" s="81">
        <f t="shared" si="7"/>
        <v>4.6049999999999995</v>
      </c>
    </row>
    <row r="74" spans="3:17" s="98" customFormat="1">
      <c r="F74" s="26"/>
      <c r="G74" s="26"/>
      <c r="H74" s="26"/>
      <c r="I74" s="80">
        <v>5</v>
      </c>
      <c r="J74" s="119" t="s">
        <v>399</v>
      </c>
      <c r="K74" s="119"/>
      <c r="L74" s="100">
        <v>1</v>
      </c>
      <c r="M74" s="100"/>
      <c r="N74" s="81">
        <v>12.34</v>
      </c>
      <c r="O74" s="81">
        <f t="shared" si="6"/>
        <v>12.34</v>
      </c>
      <c r="P74" s="81">
        <v>3.07</v>
      </c>
      <c r="Q74" s="81">
        <f t="shared" si="7"/>
        <v>3.07</v>
      </c>
    </row>
    <row r="75" spans="3:17" s="98" customFormat="1">
      <c r="F75" s="26"/>
      <c r="G75" s="26"/>
      <c r="H75" s="26"/>
      <c r="I75" s="80">
        <v>6</v>
      </c>
      <c r="J75" s="120" t="s">
        <v>388</v>
      </c>
      <c r="K75" s="121"/>
      <c r="L75" s="120">
        <f>L25*0.1</f>
        <v>7.000000000000001E-3</v>
      </c>
      <c r="M75" s="121"/>
      <c r="N75" s="81">
        <v>4.5999999999999996</v>
      </c>
      <c r="O75" s="81">
        <f t="shared" si="6"/>
        <v>3.2199999999999999E-2</v>
      </c>
      <c r="P75" s="81">
        <v>3</v>
      </c>
      <c r="Q75" s="81">
        <f t="shared" si="7"/>
        <v>2.1000000000000005E-2</v>
      </c>
    </row>
    <row r="76" spans="3:17" s="98" customFormat="1">
      <c r="F76" s="26"/>
      <c r="G76" s="26"/>
      <c r="H76" s="26"/>
      <c r="I76" s="80">
        <v>7</v>
      </c>
      <c r="J76" s="119" t="s">
        <v>400</v>
      </c>
      <c r="K76" s="119"/>
      <c r="L76" s="100">
        <f>L26*0.1</f>
        <v>0.5</v>
      </c>
      <c r="M76" s="100"/>
      <c r="N76" s="81">
        <v>64</v>
      </c>
      <c r="O76" s="81">
        <f t="shared" si="6"/>
        <v>32</v>
      </c>
      <c r="P76" s="81">
        <v>2.8</v>
      </c>
      <c r="Q76" s="81">
        <f t="shared" si="7"/>
        <v>1.4</v>
      </c>
    </row>
    <row r="77" spans="3:17" s="98" customFormat="1">
      <c r="F77" s="26"/>
      <c r="G77" s="26"/>
      <c r="H77" s="26"/>
      <c r="I77" s="80">
        <v>8</v>
      </c>
      <c r="J77" s="119" t="s">
        <v>401</v>
      </c>
      <c r="K77" s="119"/>
      <c r="L77" s="100">
        <v>1</v>
      </c>
      <c r="M77" s="100"/>
      <c r="N77" s="81">
        <v>2.6</v>
      </c>
      <c r="O77" s="81">
        <f t="shared" si="6"/>
        <v>2.6</v>
      </c>
      <c r="P77" s="81">
        <v>3.57</v>
      </c>
      <c r="Q77" s="81">
        <f t="shared" si="7"/>
        <v>3.57</v>
      </c>
    </row>
    <row r="78" spans="3:17" s="98" customFormat="1">
      <c r="F78" s="26"/>
      <c r="G78" s="26"/>
      <c r="H78" s="26"/>
      <c r="I78" s="124">
        <v>9</v>
      </c>
      <c r="J78" s="125" t="s">
        <v>402</v>
      </c>
      <c r="K78" s="126"/>
      <c r="L78" s="125">
        <f>C89</f>
        <v>346.43974999999989</v>
      </c>
      <c r="M78" s="126"/>
      <c r="N78" s="127">
        <f>D91</f>
        <v>40.735919701766328</v>
      </c>
      <c r="O78" s="81">
        <f t="shared" si="6"/>
        <v>14112.541837499997</v>
      </c>
      <c r="P78" s="127">
        <f>F91</f>
        <v>0.9611350927542236</v>
      </c>
      <c r="Q78" s="127">
        <f>P78*L78</f>
        <v>332.97540124999995</v>
      </c>
    </row>
    <row r="79" spans="3:17" s="98" customFormat="1">
      <c r="F79" s="26"/>
      <c r="G79" s="26"/>
      <c r="H79" s="26"/>
      <c r="I79" s="103" t="s">
        <v>393</v>
      </c>
      <c r="J79" s="103"/>
      <c r="K79" s="103"/>
      <c r="L79" s="104">
        <f>SUM(L70:M78)</f>
        <v>1062.8217500000001</v>
      </c>
      <c r="M79" s="103"/>
      <c r="N79" s="90">
        <f>O79/L79</f>
        <v>32.868796037985483</v>
      </c>
      <c r="O79" s="81">
        <f>SUM(O70:O78)</f>
        <v>34933.6713254848</v>
      </c>
      <c r="P79" s="90">
        <f>Q79/L79</f>
        <v>2.065211397091411</v>
      </c>
      <c r="Q79" s="81">
        <f>SUM(Q70:Q78)</f>
        <v>2194.9515911766384</v>
      </c>
    </row>
    <row r="80" spans="3:17" s="98" customFormat="1">
      <c r="C80" s="98">
        <f>246.465*0.85</f>
        <v>209.49525</v>
      </c>
      <c r="F80" s="26"/>
      <c r="G80" s="26"/>
      <c r="H80" s="26"/>
      <c r="I80" s="128"/>
      <c r="J80" s="129"/>
      <c r="K80" s="129"/>
      <c r="L80" s="129"/>
      <c r="M80" s="129"/>
      <c r="N80" s="130"/>
      <c r="O80" s="130"/>
      <c r="P80" s="130"/>
      <c r="Q80" s="130"/>
    </row>
    <row r="81" spans="2:9" s="98" customFormat="1">
      <c r="F81" s="26"/>
      <c r="G81" s="26"/>
      <c r="H81" s="26"/>
      <c r="I81" s="26"/>
    </row>
    <row r="82" spans="2:9" s="98" customFormat="1">
      <c r="F82" s="26"/>
      <c r="G82" s="26"/>
      <c r="H82" s="26"/>
      <c r="I82" s="26"/>
    </row>
    <row r="83" spans="2:9" s="98" customFormat="1">
      <c r="C83" s="6" t="s">
        <v>3</v>
      </c>
      <c r="D83" s="6" t="s">
        <v>4</v>
      </c>
      <c r="E83" s="6"/>
      <c r="F83" s="7" t="s">
        <v>5</v>
      </c>
      <c r="G83" s="7"/>
      <c r="H83" s="26"/>
      <c r="I83" s="26"/>
    </row>
    <row r="84" spans="2:9" s="98" customFormat="1">
      <c r="B84" s="6" t="s">
        <v>403</v>
      </c>
      <c r="C84" s="98">
        <f>15.19*4*1.025</f>
        <v>62.278999999999989</v>
      </c>
      <c r="D84" s="98">
        <v>64.260000000000005</v>
      </c>
      <c r="E84" s="98">
        <f>C84*D84</f>
        <v>4002.0485399999998</v>
      </c>
      <c r="F84" s="26">
        <v>2.68</v>
      </c>
      <c r="G84" s="26">
        <f>F84*C84</f>
        <v>166.90771999999998</v>
      </c>
      <c r="H84" s="26"/>
      <c r="I84" s="26"/>
    </row>
    <row r="85" spans="2:9" s="98" customFormat="1">
      <c r="B85" s="6" t="s">
        <v>404</v>
      </c>
      <c r="C85" s="98">
        <f>8.625*1.2*2*1.025</f>
        <v>21.217499999999998</v>
      </c>
      <c r="D85" s="98">
        <v>2.0099999999999998</v>
      </c>
      <c r="E85" s="98">
        <f t="shared" ref="E85:E88" si="8">C85*D85</f>
        <v>42.64717499999999</v>
      </c>
      <c r="F85" s="26">
        <v>2.56</v>
      </c>
      <c r="G85" s="26">
        <f t="shared" ref="G85:G88" si="9">F85*C85</f>
        <v>54.316799999999994</v>
      </c>
      <c r="H85" s="26"/>
      <c r="I85" s="26"/>
    </row>
    <row r="86" spans="2:9" s="98" customFormat="1">
      <c r="B86" s="6" t="s">
        <v>405</v>
      </c>
      <c r="C86" s="98">
        <f>143*0.85*0.6*1.025</f>
        <v>74.75324999999998</v>
      </c>
      <c r="D86" s="26">
        <f>N29</f>
        <v>21.13</v>
      </c>
      <c r="E86" s="98">
        <f t="shared" si="8"/>
        <v>1579.5361724999996</v>
      </c>
      <c r="F86" s="26">
        <f>0.85/2</f>
        <v>0.42499999999999999</v>
      </c>
      <c r="G86" s="26">
        <f t="shared" si="9"/>
        <v>31.770131249999991</v>
      </c>
      <c r="H86" s="26"/>
      <c r="I86" s="26"/>
    </row>
    <row r="87" spans="2:9" s="98" customFormat="1">
      <c r="B87" s="6" t="s">
        <v>406</v>
      </c>
      <c r="C87" s="98">
        <f>180*0.85*0.6*1.025</f>
        <v>94.094999999999985</v>
      </c>
      <c r="D87" s="98">
        <v>37.54</v>
      </c>
      <c r="E87" s="98">
        <f t="shared" si="8"/>
        <v>3532.3262999999993</v>
      </c>
      <c r="F87" s="26">
        <f t="shared" ref="F87:F88" si="10">0.85/2</f>
        <v>0.42499999999999999</v>
      </c>
      <c r="G87" s="26">
        <f t="shared" si="9"/>
        <v>39.990374999999993</v>
      </c>
      <c r="H87" s="26"/>
      <c r="I87" s="26"/>
    </row>
    <row r="88" spans="2:9" s="98" customFormat="1">
      <c r="B88" s="6" t="s">
        <v>407</v>
      </c>
      <c r="C88" s="98">
        <f>C87</f>
        <v>94.094999999999985</v>
      </c>
      <c r="D88" s="26">
        <f>N27</f>
        <v>52.67</v>
      </c>
      <c r="E88" s="98">
        <f t="shared" si="8"/>
        <v>4955.9836499999992</v>
      </c>
      <c r="F88" s="26">
        <f t="shared" si="10"/>
        <v>0.42499999999999999</v>
      </c>
      <c r="G88" s="26">
        <f t="shared" si="9"/>
        <v>39.990374999999993</v>
      </c>
      <c r="H88" s="26"/>
      <c r="I88" s="26"/>
    </row>
    <row r="89" spans="2:9" s="98" customFormat="1">
      <c r="B89" s="6" t="s">
        <v>354</v>
      </c>
      <c r="C89" s="6">
        <f>SUM(C84:C88)</f>
        <v>346.43974999999989</v>
      </c>
      <c r="E89" s="6">
        <f>SUM(E84:E88)</f>
        <v>14112.541837499997</v>
      </c>
      <c r="F89" s="26"/>
      <c r="G89" s="7">
        <f>SUM(G84:G88)</f>
        <v>332.97540124999995</v>
      </c>
      <c r="H89" s="26"/>
      <c r="I89" s="26"/>
    </row>
    <row r="90" spans="2:9" s="98" customFormat="1">
      <c r="F90" s="26"/>
      <c r="H90" s="26"/>
      <c r="I90" s="26"/>
    </row>
    <row r="91" spans="2:9" s="98" customFormat="1">
      <c r="D91" s="6">
        <f>E89/C89</f>
        <v>40.735919701766328</v>
      </c>
      <c r="F91" s="7">
        <f>G89/C89</f>
        <v>0.9611350927542236</v>
      </c>
      <c r="G91" s="26"/>
      <c r="H91" s="26"/>
      <c r="I91" s="26"/>
    </row>
    <row r="92" spans="2:9" s="98" customFormat="1">
      <c r="F92" s="26"/>
      <c r="G92" s="26"/>
      <c r="H92" s="26"/>
      <c r="I92" s="26"/>
    </row>
    <row r="93" spans="2:9" s="98" customFormat="1">
      <c r="F93" s="26"/>
      <c r="G93" s="26"/>
      <c r="H93" s="26"/>
      <c r="I93" s="26"/>
    </row>
    <row r="94" spans="2:9" s="98" customFormat="1">
      <c r="C94" s="98">
        <f>C84/1.025</f>
        <v>60.76</v>
      </c>
      <c r="F94" s="26"/>
      <c r="G94" s="26"/>
      <c r="H94" s="26"/>
      <c r="I94" s="26"/>
    </row>
    <row r="95" spans="2:9" s="98" customFormat="1">
      <c r="C95" s="98">
        <f t="shared" ref="C95:C98" si="11">C85/1.025</f>
        <v>20.7</v>
      </c>
      <c r="F95" s="26"/>
      <c r="G95" s="26"/>
      <c r="H95" s="26"/>
      <c r="I95" s="26"/>
    </row>
    <row r="96" spans="2:9" s="98" customFormat="1">
      <c r="C96" s="98">
        <f t="shared" si="11"/>
        <v>72.929999999999993</v>
      </c>
      <c r="F96" s="26"/>
      <c r="G96" s="26"/>
      <c r="H96" s="26"/>
      <c r="I96" s="26"/>
    </row>
    <row r="97" spans="3:9" s="98" customFormat="1">
      <c r="C97" s="98">
        <f t="shared" si="11"/>
        <v>91.8</v>
      </c>
      <c r="F97" s="26"/>
      <c r="G97" s="26"/>
      <c r="H97" s="26"/>
      <c r="I97" s="26"/>
    </row>
    <row r="98" spans="3:9" s="98" customFormat="1">
      <c r="C98" s="98">
        <f t="shared" si="11"/>
        <v>91.8</v>
      </c>
      <c r="F98" s="26"/>
      <c r="G98" s="26"/>
      <c r="H98" s="26"/>
      <c r="I98" s="26"/>
    </row>
    <row r="99" spans="3:9" s="98" customFormat="1">
      <c r="F99" s="26"/>
      <c r="G99" s="26"/>
      <c r="H99" s="26"/>
      <c r="I99" s="26"/>
    </row>
    <row r="100" spans="3:9" s="98" customFormat="1">
      <c r="C100" s="98">
        <f>C96+C97+C98</f>
        <v>256.52999999999997</v>
      </c>
      <c r="D100" s="98">
        <f>C86+C87+C88</f>
        <v>262.94324999999992</v>
      </c>
      <c r="F100" s="26"/>
      <c r="G100" s="26"/>
      <c r="H100" s="26"/>
      <c r="I100" s="26"/>
    </row>
    <row r="101" spans="3:9" s="98" customFormat="1">
      <c r="F101" s="26"/>
      <c r="G101" s="26"/>
      <c r="H101" s="26"/>
      <c r="I101" s="26"/>
    </row>
    <row r="102" spans="3:9" s="98" customFormat="1">
      <c r="F102" s="26"/>
      <c r="G102" s="26"/>
      <c r="H102" s="26"/>
      <c r="I102" s="26"/>
    </row>
  </sheetData>
  <mergeCells count="123">
    <mergeCell ref="I79:K79"/>
    <mergeCell ref="L79:M79"/>
    <mergeCell ref="J80:K80"/>
    <mergeCell ref="L80:M80"/>
    <mergeCell ref="J76:K76"/>
    <mergeCell ref="L76:M76"/>
    <mergeCell ref="J77:K77"/>
    <mergeCell ref="L77:M77"/>
    <mergeCell ref="J78:K78"/>
    <mergeCell ref="L78:M78"/>
    <mergeCell ref="J73:K73"/>
    <mergeCell ref="L73:M73"/>
    <mergeCell ref="J74:K74"/>
    <mergeCell ref="L74:M74"/>
    <mergeCell ref="J75:K75"/>
    <mergeCell ref="L75:M75"/>
    <mergeCell ref="J70:K70"/>
    <mergeCell ref="L70:M70"/>
    <mergeCell ref="J71:K71"/>
    <mergeCell ref="L71:M71"/>
    <mergeCell ref="J72:K72"/>
    <mergeCell ref="L72:M72"/>
    <mergeCell ref="K55:L55"/>
    <mergeCell ref="M55:N55"/>
    <mergeCell ref="J56:L56"/>
    <mergeCell ref="M56:N56"/>
    <mergeCell ref="I68:Q68"/>
    <mergeCell ref="J69:K69"/>
    <mergeCell ref="L69:M69"/>
    <mergeCell ref="K52:L52"/>
    <mergeCell ref="M52:N52"/>
    <mergeCell ref="K53:L53"/>
    <mergeCell ref="M53:N53"/>
    <mergeCell ref="K54:L54"/>
    <mergeCell ref="M54:N54"/>
    <mergeCell ref="K49:L49"/>
    <mergeCell ref="M49:N49"/>
    <mergeCell ref="K50:L50"/>
    <mergeCell ref="M50:N50"/>
    <mergeCell ref="K51:L51"/>
    <mergeCell ref="M51:N51"/>
    <mergeCell ref="J45:R45"/>
    <mergeCell ref="K46:L46"/>
    <mergeCell ref="M46:N46"/>
    <mergeCell ref="K47:L47"/>
    <mergeCell ref="M47:N47"/>
    <mergeCell ref="K48:L48"/>
    <mergeCell ref="M48:N48"/>
    <mergeCell ref="Y32:Z32"/>
    <mergeCell ref="AA32:AB32"/>
    <mergeCell ref="Y33:Z33"/>
    <mergeCell ref="AA33:AB33"/>
    <mergeCell ref="X34:Z34"/>
    <mergeCell ref="AA34:AB34"/>
    <mergeCell ref="J30:K30"/>
    <mergeCell ref="L30:M30"/>
    <mergeCell ref="Y30:Z30"/>
    <mergeCell ref="AA30:AB30"/>
    <mergeCell ref="I31:K31"/>
    <mergeCell ref="L31:M31"/>
    <mergeCell ref="Y31:Z31"/>
    <mergeCell ref="AA31:AB31"/>
    <mergeCell ref="J28:K28"/>
    <mergeCell ref="L28:M28"/>
    <mergeCell ref="Y28:Z28"/>
    <mergeCell ref="AA28:AB28"/>
    <mergeCell ref="J29:K29"/>
    <mergeCell ref="L29:M29"/>
    <mergeCell ref="Y29:Z29"/>
    <mergeCell ref="AA29:AB29"/>
    <mergeCell ref="J26:K26"/>
    <mergeCell ref="L26:M26"/>
    <mergeCell ref="Y26:Z26"/>
    <mergeCell ref="AA26:AB26"/>
    <mergeCell ref="J27:K27"/>
    <mergeCell ref="L27:M27"/>
    <mergeCell ref="Y27:Z27"/>
    <mergeCell ref="AA27:AB27"/>
    <mergeCell ref="J24:K24"/>
    <mergeCell ref="L24:M24"/>
    <mergeCell ref="Y24:Z24"/>
    <mergeCell ref="AA24:AB24"/>
    <mergeCell ref="J25:K25"/>
    <mergeCell ref="L25:M25"/>
    <mergeCell ref="Y25:Z25"/>
    <mergeCell ref="AA25:AB25"/>
    <mergeCell ref="J22:K22"/>
    <mergeCell ref="L22:M22"/>
    <mergeCell ref="Y22:Z22"/>
    <mergeCell ref="AA22:AB22"/>
    <mergeCell ref="J23:K23"/>
    <mergeCell ref="L23:M23"/>
    <mergeCell ref="Y23:Z23"/>
    <mergeCell ref="AA23:AB23"/>
    <mergeCell ref="I20:Q20"/>
    <mergeCell ref="X20:AF20"/>
    <mergeCell ref="J21:K21"/>
    <mergeCell ref="L21:M21"/>
    <mergeCell ref="Y21:Z21"/>
    <mergeCell ref="AA21:AB21"/>
    <mergeCell ref="J11:K11"/>
    <mergeCell ref="L11:M11"/>
    <mergeCell ref="T8:U8"/>
    <mergeCell ref="B7:C7"/>
    <mergeCell ref="D7:E7"/>
    <mergeCell ref="J9:K9"/>
    <mergeCell ref="L9:M9"/>
    <mergeCell ref="J10:K10"/>
    <mergeCell ref="L10:M10"/>
    <mergeCell ref="B5:C5"/>
    <mergeCell ref="D5:E5"/>
    <mergeCell ref="J5:K5"/>
    <mergeCell ref="L5:M5"/>
    <mergeCell ref="B6:C6"/>
    <mergeCell ref="D6:E6"/>
    <mergeCell ref="I6:K6"/>
    <mergeCell ref="L6:M6"/>
    <mergeCell ref="J2:K2"/>
    <mergeCell ref="L2:M2"/>
    <mergeCell ref="J3:K3"/>
    <mergeCell ref="L3:M3"/>
    <mergeCell ref="J4:K4"/>
    <mergeCell ref="L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defaultRowHeight="14.5"/>
  <cols>
    <col min="2" max="2" width="28.26953125" customWidth="1"/>
    <col min="4" max="4" width="6.26953125" customWidth="1"/>
    <col min="5" max="5" width="9.7265625" customWidth="1"/>
    <col min="6" max="6" width="12.1796875" customWidth="1"/>
    <col min="10" max="10" width="8.7265625" style="39"/>
    <col min="11" max="11" width="23.6328125" customWidth="1"/>
    <col min="12" max="12" width="8.08984375" customWidth="1"/>
    <col min="13" max="13" width="14.1796875" customWidth="1"/>
    <col min="14" max="14" width="6.90625" customWidth="1"/>
    <col min="16" max="16" width="10.90625" customWidth="1"/>
    <col min="17" max="17" width="6.36328125" customWidth="1"/>
    <col min="18" max="18" width="23.1796875" customWidth="1"/>
    <col min="19" max="19" width="8.36328125" customWidth="1"/>
    <col min="20" max="20" width="19.36328125" customWidth="1"/>
  </cols>
  <sheetData>
    <row r="1" spans="1:20" s="92" customFormat="1">
      <c r="A1" s="139"/>
      <c r="B1" s="139"/>
      <c r="C1" s="139"/>
      <c r="D1" s="139"/>
      <c r="E1" s="139"/>
      <c r="F1" s="139"/>
      <c r="G1" s="139"/>
      <c r="H1" s="139"/>
      <c r="J1" s="164"/>
    </row>
    <row r="2" spans="1:20" s="92" customFormat="1">
      <c r="A2" s="139"/>
      <c r="B2" s="139"/>
      <c r="C2" s="139"/>
      <c r="D2" s="139"/>
      <c r="E2" s="139"/>
      <c r="F2" s="139"/>
      <c r="G2" s="139"/>
      <c r="H2" s="139"/>
      <c r="J2" s="51" t="s">
        <v>419</v>
      </c>
      <c r="K2" s="92">
        <v>76.400000000000006</v>
      </c>
    </row>
    <row r="3" spans="1:20" s="92" customFormat="1" ht="26.25" customHeight="1">
      <c r="A3" s="140"/>
      <c r="B3" s="140"/>
      <c r="C3" s="140"/>
      <c r="D3" s="140"/>
      <c r="E3" s="140"/>
      <c r="F3" s="140"/>
      <c r="G3" s="140"/>
      <c r="H3" s="140"/>
      <c r="J3" s="164"/>
      <c r="K3" s="92">
        <f>K2/2</f>
        <v>38.200000000000003</v>
      </c>
    </row>
    <row r="4" spans="1:20" s="92" customFormat="1" ht="14" customHeight="1">
      <c r="A4" s="161"/>
      <c r="B4" s="161"/>
      <c r="C4" s="161"/>
      <c r="D4" s="161"/>
      <c r="E4" s="161"/>
      <c r="F4" s="161"/>
      <c r="G4" s="161"/>
      <c r="H4" s="161"/>
      <c r="J4" s="164"/>
    </row>
    <row r="5" spans="1:20" s="92" customFormat="1" ht="27.75" customHeight="1">
      <c r="A5" s="141"/>
      <c r="B5" s="141"/>
      <c r="C5" s="142"/>
      <c r="D5" s="142"/>
      <c r="E5" s="142"/>
      <c r="F5" s="142"/>
      <c r="G5" s="142"/>
      <c r="H5" s="142"/>
      <c r="J5" s="164"/>
      <c r="K5" s="162" t="s">
        <v>410</v>
      </c>
      <c r="L5" s="163"/>
      <c r="M5" s="163"/>
      <c r="N5" s="163"/>
      <c r="O5" s="163"/>
      <c r="P5" s="163"/>
      <c r="Q5" s="163"/>
      <c r="R5" s="163"/>
      <c r="S5" s="163"/>
    </row>
    <row r="6" spans="1:20" s="92" customFormat="1">
      <c r="A6" s="143"/>
      <c r="B6" s="143"/>
      <c r="C6" s="143"/>
      <c r="D6" s="143"/>
      <c r="E6" s="143"/>
      <c r="F6" s="143"/>
      <c r="G6" s="143"/>
      <c r="H6" s="143"/>
      <c r="J6" s="164"/>
    </row>
    <row r="7" spans="1:20" s="92" customFormat="1">
      <c r="A7" s="143"/>
      <c r="B7" s="143"/>
      <c r="C7" s="144"/>
      <c r="D7" s="144"/>
      <c r="E7" s="143"/>
      <c r="F7" s="143"/>
      <c r="G7" s="143"/>
      <c r="H7" s="143"/>
      <c r="J7" s="168" t="s">
        <v>258</v>
      </c>
      <c r="K7" s="169" t="s">
        <v>257</v>
      </c>
      <c r="L7" s="167"/>
      <c r="M7" s="7" t="s">
        <v>260</v>
      </c>
      <c r="N7" s="7"/>
      <c r="O7" s="7" t="s">
        <v>194</v>
      </c>
      <c r="P7" s="7" t="s">
        <v>420</v>
      </c>
      <c r="Q7" s="7"/>
      <c r="R7" s="7" t="s">
        <v>435</v>
      </c>
      <c r="S7" s="7" t="s">
        <v>196</v>
      </c>
      <c r="T7" s="7" t="s">
        <v>345</v>
      </c>
    </row>
    <row r="8" spans="1:20" s="92" customFormat="1">
      <c r="A8" s="143"/>
      <c r="B8" s="143"/>
      <c r="C8" s="144"/>
      <c r="D8" s="144"/>
      <c r="E8" s="143"/>
      <c r="F8" s="143"/>
      <c r="G8" s="143"/>
      <c r="H8" s="143"/>
      <c r="J8" s="165">
        <v>1</v>
      </c>
      <c r="K8" s="145" t="s">
        <v>387</v>
      </c>
      <c r="L8" s="130"/>
      <c r="M8" s="92">
        <v>710.4</v>
      </c>
      <c r="O8" s="92">
        <v>28.21</v>
      </c>
      <c r="P8" s="92">
        <f>O8-$K$3</f>
        <v>-9.990000000000002</v>
      </c>
      <c r="R8" s="92">
        <f>P8*M8</f>
        <v>-7096.8960000000015</v>
      </c>
      <c r="S8" s="92">
        <v>2.52</v>
      </c>
      <c r="T8" s="92">
        <f>S8*M8</f>
        <v>1790.2079999999999</v>
      </c>
    </row>
    <row r="9" spans="1:20" s="92" customFormat="1">
      <c r="A9" s="143"/>
      <c r="B9" s="143"/>
      <c r="C9" s="144"/>
      <c r="D9" s="144"/>
      <c r="E9" s="143"/>
      <c r="F9" s="143"/>
      <c r="G9" s="143"/>
      <c r="H9" s="143"/>
      <c r="J9" s="165">
        <v>2</v>
      </c>
      <c r="K9" s="145" t="s">
        <v>414</v>
      </c>
      <c r="L9" s="130"/>
      <c r="M9" s="92">
        <v>0.97499999999999998</v>
      </c>
      <c r="O9" s="92">
        <v>8.75</v>
      </c>
      <c r="P9" s="92">
        <f>O9-$K$3</f>
        <v>-29.450000000000003</v>
      </c>
      <c r="R9" s="92">
        <f t="shared" ref="R9:R17" si="0">P9*M9</f>
        <v>-28.713750000000001</v>
      </c>
      <c r="S9" s="92">
        <v>5.5</v>
      </c>
      <c r="T9" s="92">
        <v>5.3624999999999998</v>
      </c>
    </row>
    <row r="10" spans="1:20" s="92" customFormat="1">
      <c r="A10" s="143"/>
      <c r="B10" s="143"/>
      <c r="C10" s="143"/>
      <c r="D10" s="143"/>
      <c r="E10" s="143"/>
      <c r="F10" s="143"/>
      <c r="G10" s="143"/>
      <c r="H10" s="143"/>
      <c r="J10" s="170">
        <v>3</v>
      </c>
      <c r="K10" s="92" t="s">
        <v>397</v>
      </c>
      <c r="M10" s="92">
        <v>7</v>
      </c>
      <c r="O10" s="92">
        <v>4.5999999999999996</v>
      </c>
      <c r="P10" s="92">
        <f t="shared" ref="P10:P18" si="1">O10-$K$3</f>
        <v>-33.6</v>
      </c>
      <c r="R10" s="92">
        <f t="shared" si="0"/>
        <v>-235.20000000000002</v>
      </c>
      <c r="S10" s="92">
        <v>3.07</v>
      </c>
      <c r="T10" s="92">
        <v>21.49</v>
      </c>
    </row>
    <row r="11" spans="1:20" s="92" customFormat="1">
      <c r="A11" s="143"/>
      <c r="B11" s="143"/>
      <c r="C11" s="144"/>
      <c r="D11" s="144"/>
      <c r="E11" s="143"/>
      <c r="F11" s="143"/>
      <c r="G11" s="143"/>
      <c r="H11" s="143"/>
      <c r="J11" s="170">
        <v>4</v>
      </c>
      <c r="K11" s="92" t="s">
        <v>398</v>
      </c>
      <c r="M11" s="92">
        <v>1.5</v>
      </c>
      <c r="O11" s="92">
        <v>12.34</v>
      </c>
      <c r="P11" s="92">
        <f t="shared" si="1"/>
        <v>-25.860000000000003</v>
      </c>
      <c r="R11" s="92">
        <f t="shared" si="0"/>
        <v>-38.790000000000006</v>
      </c>
      <c r="S11" s="92">
        <v>3.07</v>
      </c>
      <c r="T11" s="92">
        <v>4.6049999999999995</v>
      </c>
    </row>
    <row r="12" spans="1:20" s="92" customFormat="1">
      <c r="A12" s="143"/>
      <c r="B12" s="143"/>
      <c r="C12" s="143"/>
      <c r="D12" s="143"/>
      <c r="E12" s="143"/>
      <c r="F12" s="143"/>
      <c r="G12" s="143"/>
      <c r="H12" s="143"/>
      <c r="J12" s="170">
        <v>5</v>
      </c>
      <c r="K12" s="92" t="s">
        <v>399</v>
      </c>
      <c r="M12" s="92">
        <v>1</v>
      </c>
      <c r="O12" s="92">
        <v>12.34</v>
      </c>
      <c r="P12" s="92">
        <f t="shared" si="1"/>
        <v>-25.860000000000003</v>
      </c>
      <c r="R12" s="92">
        <f t="shared" si="0"/>
        <v>-25.860000000000003</v>
      </c>
      <c r="S12" s="92">
        <v>3.07</v>
      </c>
      <c r="T12" s="92">
        <v>3.07</v>
      </c>
    </row>
    <row r="13" spans="1:20" s="92" customFormat="1">
      <c r="A13" s="143"/>
      <c r="B13" s="143"/>
      <c r="C13" s="144"/>
      <c r="D13" s="144"/>
      <c r="E13" s="143"/>
      <c r="F13" s="143"/>
      <c r="G13" s="143"/>
      <c r="H13" s="143"/>
      <c r="J13" s="170">
        <v>6</v>
      </c>
      <c r="K13" s="92" t="s">
        <v>388</v>
      </c>
      <c r="M13" s="92">
        <v>6.2E-2</v>
      </c>
      <c r="O13" s="92">
        <v>4.5999999999999996</v>
      </c>
      <c r="P13" s="92">
        <f>O13-$K$3</f>
        <v>-33.6</v>
      </c>
      <c r="R13" s="92">
        <f t="shared" si="0"/>
        <v>-2.0832000000000002</v>
      </c>
      <c r="S13" s="92">
        <v>3</v>
      </c>
      <c r="T13" s="92">
        <v>0.186</v>
      </c>
    </row>
    <row r="14" spans="1:20" s="92" customFormat="1">
      <c r="A14" s="143"/>
      <c r="B14" s="143"/>
      <c r="C14" s="144"/>
      <c r="D14" s="144"/>
      <c r="E14" s="143"/>
      <c r="F14" s="143"/>
      <c r="G14" s="143"/>
      <c r="H14" s="143"/>
      <c r="J14" s="170">
        <v>7</v>
      </c>
      <c r="K14" s="92" t="s">
        <v>400</v>
      </c>
      <c r="M14" s="92">
        <v>4</v>
      </c>
      <c r="O14" s="92">
        <v>64</v>
      </c>
      <c r="P14" s="92">
        <f>O14-$K$3</f>
        <v>25.799999999999997</v>
      </c>
      <c r="R14" s="92">
        <f t="shared" si="0"/>
        <v>103.19999999999999</v>
      </c>
      <c r="S14" s="92">
        <v>2.8</v>
      </c>
      <c r="T14" s="92">
        <v>11.2</v>
      </c>
    </row>
    <row r="15" spans="1:20" s="92" customFormat="1" ht="31.5" customHeight="1">
      <c r="A15" s="142"/>
      <c r="B15" s="142"/>
      <c r="C15" s="141"/>
      <c r="D15" s="141"/>
      <c r="E15" s="141"/>
      <c r="F15" s="141"/>
      <c r="G15" s="141"/>
      <c r="H15" s="141"/>
      <c r="J15" s="170">
        <v>8</v>
      </c>
      <c r="K15" s="92" t="s">
        <v>401</v>
      </c>
      <c r="M15" s="92">
        <v>1</v>
      </c>
      <c r="O15" s="92">
        <v>2.6</v>
      </c>
      <c r="P15" s="92">
        <f t="shared" si="1"/>
        <v>-35.6</v>
      </c>
      <c r="R15" s="92">
        <f t="shared" si="0"/>
        <v>-35.6</v>
      </c>
      <c r="S15" s="92">
        <v>3.57</v>
      </c>
      <c r="T15" s="92">
        <v>3.57</v>
      </c>
    </row>
    <row r="16" spans="1:20" s="92" customFormat="1">
      <c r="J16" s="170">
        <v>9</v>
      </c>
      <c r="K16" s="92" t="s">
        <v>390</v>
      </c>
      <c r="M16" s="92">
        <v>568</v>
      </c>
      <c r="O16" s="92">
        <v>21.13</v>
      </c>
      <c r="P16" s="92">
        <f t="shared" si="1"/>
        <v>-17.070000000000004</v>
      </c>
      <c r="R16" s="92">
        <f t="shared" si="0"/>
        <v>-9695.760000000002</v>
      </c>
      <c r="S16" s="92">
        <v>2.92</v>
      </c>
      <c r="T16" s="92">
        <v>1314</v>
      </c>
    </row>
    <row r="17" spans="2:20" s="92" customFormat="1">
      <c r="J17" s="170">
        <v>10</v>
      </c>
      <c r="K17" s="92" t="s">
        <v>391</v>
      </c>
      <c r="M17" s="92">
        <v>568</v>
      </c>
      <c r="O17" s="92">
        <v>37.54</v>
      </c>
      <c r="P17" s="92">
        <f t="shared" si="1"/>
        <v>-0.66000000000000369</v>
      </c>
      <c r="R17" s="92">
        <f t="shared" si="0"/>
        <v>-374.8800000000021</v>
      </c>
      <c r="S17" s="92">
        <v>2.92</v>
      </c>
      <c r="T17" s="92">
        <v>1658.56</v>
      </c>
    </row>
    <row r="18" spans="2:20" s="92" customFormat="1">
      <c r="B18" s="147" t="s">
        <v>436</v>
      </c>
      <c r="J18" s="170">
        <v>11</v>
      </c>
      <c r="K18" s="92" t="s">
        <v>392</v>
      </c>
      <c r="M18" s="92">
        <v>450</v>
      </c>
      <c r="O18" s="92">
        <v>52.67</v>
      </c>
      <c r="P18" s="92">
        <f t="shared" si="1"/>
        <v>14.469999999999999</v>
      </c>
      <c r="R18" s="92">
        <f>P18*M18</f>
        <v>6511.4999999999991</v>
      </c>
      <c r="S18" s="92">
        <v>2.92</v>
      </c>
      <c r="T18" s="92">
        <v>1658.56</v>
      </c>
    </row>
    <row r="19" spans="2:20" s="92" customFormat="1">
      <c r="J19" s="164"/>
    </row>
    <row r="20" spans="2:20" s="92" customFormat="1">
      <c r="B20" s="8" t="s">
        <v>421</v>
      </c>
      <c r="C20" s="92">
        <v>0.34</v>
      </c>
      <c r="D20" s="146" t="s">
        <v>422</v>
      </c>
      <c r="E20" s="92">
        <f>ABS(C20)</f>
        <v>0.34</v>
      </c>
      <c r="F20" s="92" t="s">
        <v>437</v>
      </c>
      <c r="K20" s="51" t="s">
        <v>393</v>
      </c>
      <c r="M20" s="92">
        <f>SUM(M8:M18)</f>
        <v>2311.9369999999999</v>
      </c>
      <c r="R20" s="92">
        <f>SUM(R8:R18)</f>
        <v>-10919.082950000004</v>
      </c>
      <c r="S20" s="92">
        <f>T20/M20</f>
        <v>2.7988701681749979</v>
      </c>
      <c r="T20" s="92">
        <f>SUM(T8:T18)</f>
        <v>6470.8114999999998</v>
      </c>
    </row>
    <row r="21" spans="2:20" s="92" customFormat="1">
      <c r="B21" s="147" t="s">
        <v>439</v>
      </c>
      <c r="C21" s="92">
        <f>K3</f>
        <v>38.200000000000003</v>
      </c>
      <c r="J21" s="164"/>
    </row>
    <row r="22" spans="2:20" s="92" customFormat="1">
      <c r="B22" s="147" t="s">
        <v>440</v>
      </c>
      <c r="C22" s="92">
        <v>-0.21</v>
      </c>
      <c r="D22" s="146" t="s">
        <v>422</v>
      </c>
      <c r="E22" s="92">
        <f>ABS(C22)</f>
        <v>0.21</v>
      </c>
      <c r="F22" s="92" t="s">
        <v>438</v>
      </c>
      <c r="J22" s="164"/>
    </row>
    <row r="23" spans="2:20" s="92" customFormat="1">
      <c r="B23" s="147" t="s">
        <v>441</v>
      </c>
      <c r="C23" s="92">
        <v>-1.51</v>
      </c>
      <c r="D23" s="92" t="s">
        <v>178</v>
      </c>
      <c r="F23" s="8" t="s">
        <v>443</v>
      </c>
      <c r="G23" s="44">
        <f>C21+C23</f>
        <v>36.690000000000005</v>
      </c>
      <c r="H23" s="92" t="s">
        <v>178</v>
      </c>
      <c r="J23" s="164"/>
    </row>
    <row r="24" spans="2:20" s="92" customFormat="1">
      <c r="B24" s="147" t="s">
        <v>442</v>
      </c>
      <c r="C24" s="92">
        <v>31.65</v>
      </c>
      <c r="D24" s="92" t="s">
        <v>423</v>
      </c>
      <c r="F24" s="8" t="s">
        <v>444</v>
      </c>
      <c r="G24" s="92">
        <f>C21-C23</f>
        <v>39.71</v>
      </c>
      <c r="H24" s="92" t="s">
        <v>178</v>
      </c>
      <c r="J24" s="164"/>
    </row>
    <row r="25" spans="2:20" s="92" customFormat="1">
      <c r="J25" s="164"/>
    </row>
    <row r="26" spans="2:20" s="92" customFormat="1">
      <c r="J26" s="164"/>
    </row>
    <row r="27" spans="2:20" s="92" customFormat="1">
      <c r="B27" s="181" t="s">
        <v>424</v>
      </c>
      <c r="C27" s="8" t="s">
        <v>421</v>
      </c>
      <c r="D27" s="92">
        <f>(E20-E22)*M20/(C24*100)</f>
        <v>9.4961077409162736E-2</v>
      </c>
      <c r="E27" s="92" t="s">
        <v>178</v>
      </c>
      <c r="J27" s="164"/>
    </row>
    <row r="28" spans="2:20" s="92" customFormat="1">
      <c r="J28" s="164"/>
    </row>
    <row r="29" spans="2:20" s="92" customFormat="1">
      <c r="J29" s="164"/>
    </row>
    <row r="30" spans="2:20" s="92" customFormat="1">
      <c r="B30" s="181" t="s">
        <v>425</v>
      </c>
      <c r="J30" s="164"/>
    </row>
    <row r="31" spans="2:20" s="92" customFormat="1">
      <c r="J31" s="164"/>
    </row>
    <row r="32" spans="2:20" s="92" customFormat="1">
      <c r="C32" s="8" t="s">
        <v>421</v>
      </c>
      <c r="D32" s="92">
        <f>G23/K2*D27</f>
        <v>4.5603690185107085E-2</v>
      </c>
      <c r="E32" s="92" t="s">
        <v>178</v>
      </c>
      <c r="J32" s="164"/>
    </row>
    <row r="33" spans="2:10" s="92" customFormat="1">
      <c r="J33" s="164"/>
    </row>
    <row r="34" spans="2:10" s="92" customFormat="1">
      <c r="B34" s="181" t="s">
        <v>426</v>
      </c>
      <c r="J34" s="164"/>
    </row>
    <row r="35" spans="2:10" s="92" customFormat="1">
      <c r="J35" s="164"/>
    </row>
    <row r="36" spans="2:10" s="92" customFormat="1">
      <c r="C36" s="8" t="s">
        <v>421</v>
      </c>
      <c r="D36" s="92">
        <f>G24/K2*D27</f>
        <v>4.9357387224055652E-2</v>
      </c>
      <c r="E36" s="92" t="s">
        <v>178</v>
      </c>
      <c r="J36" s="164"/>
    </row>
    <row r="37" spans="2:10" s="92" customFormat="1">
      <c r="J37" s="164"/>
    </row>
    <row r="38" spans="2:10" s="92" customFormat="1">
      <c r="J38" s="164"/>
    </row>
    <row r="39" spans="2:10" s="92" customFormat="1" ht="21">
      <c r="B39" s="177" t="s">
        <v>427</v>
      </c>
      <c r="C39" s="178"/>
      <c r="D39" s="178"/>
      <c r="E39" s="178"/>
      <c r="F39" s="178"/>
      <c r="G39" s="178"/>
      <c r="H39" s="179"/>
      <c r="J39" s="164"/>
    </row>
    <row r="40" spans="2:10" s="92" customFormat="1">
      <c r="B40" s="149"/>
      <c r="C40" s="150" t="s">
        <v>428</v>
      </c>
      <c r="D40" s="150"/>
      <c r="E40" s="150" t="s">
        <v>429</v>
      </c>
      <c r="F40" s="150"/>
      <c r="G40" s="151" t="s">
        <v>430</v>
      </c>
      <c r="H40" s="152"/>
      <c r="J40" s="164"/>
    </row>
    <row r="41" spans="2:10" s="92" customFormat="1">
      <c r="B41" s="81" t="s">
        <v>431</v>
      </c>
      <c r="C41" s="101">
        <v>3.65</v>
      </c>
      <c r="D41" s="101"/>
      <c r="E41" s="101">
        <v>3.65</v>
      </c>
      <c r="F41" s="101"/>
      <c r="G41" s="171" t="s">
        <v>432</v>
      </c>
      <c r="H41" s="172"/>
      <c r="J41" s="164"/>
    </row>
    <row r="42" spans="2:10" s="92" customFormat="1">
      <c r="B42" s="155" t="s">
        <v>433</v>
      </c>
      <c r="C42" s="101">
        <f>ABS(D32)</f>
        <v>4.5603690185107085E-2</v>
      </c>
      <c r="D42" s="101"/>
      <c r="E42" s="101">
        <f>ABS(D36)</f>
        <v>4.9357387224055652E-2</v>
      </c>
      <c r="F42" s="101"/>
      <c r="G42" s="173"/>
      <c r="H42" s="174"/>
      <c r="J42" s="164"/>
    </row>
    <row r="43" spans="2:10" s="92" customFormat="1" ht="21">
      <c r="B43" s="158" t="s">
        <v>434</v>
      </c>
      <c r="C43" s="180">
        <f>C41+(C42)</f>
        <v>3.695603690185107</v>
      </c>
      <c r="D43" s="180"/>
      <c r="E43" s="180">
        <f>E41-(E42)</f>
        <v>3.6006426127759443</v>
      </c>
      <c r="F43" s="180"/>
      <c r="G43" s="175"/>
      <c r="H43" s="176"/>
      <c r="J43" s="164"/>
    </row>
  </sheetData>
  <mergeCells count="57">
    <mergeCell ref="K5:S5"/>
    <mergeCell ref="C41:D41"/>
    <mergeCell ref="E41:F41"/>
    <mergeCell ref="G41:H43"/>
    <mergeCell ref="C42:D42"/>
    <mergeCell ref="E42:F42"/>
    <mergeCell ref="C43:D43"/>
    <mergeCell ref="E43:F43"/>
    <mergeCell ref="A15:B15"/>
    <mergeCell ref="C15:D15"/>
    <mergeCell ref="E15:F15"/>
    <mergeCell ref="G15:H15"/>
    <mergeCell ref="B39:H39"/>
    <mergeCell ref="C40:D40"/>
    <mergeCell ref="E40:F40"/>
    <mergeCell ref="G40:H40"/>
    <mergeCell ref="A13:B13"/>
    <mergeCell ref="C13:D13"/>
    <mergeCell ref="E13:F13"/>
    <mergeCell ref="G13:H13"/>
    <mergeCell ref="A14:B14"/>
    <mergeCell ref="C14:D14"/>
    <mergeCell ref="E14:F14"/>
    <mergeCell ref="G14:H14"/>
    <mergeCell ref="A11:B11"/>
    <mergeCell ref="C11:D11"/>
    <mergeCell ref="E11:F11"/>
    <mergeCell ref="G11:H11"/>
    <mergeCell ref="A12:B12"/>
    <mergeCell ref="C12:D12"/>
    <mergeCell ref="E12:F12"/>
    <mergeCell ref="G12:H12"/>
    <mergeCell ref="A9:B9"/>
    <mergeCell ref="C9:D9"/>
    <mergeCell ref="E9:F9"/>
    <mergeCell ref="G9:H9"/>
    <mergeCell ref="A10:B10"/>
    <mergeCell ref="C10:D10"/>
    <mergeCell ref="E10:F10"/>
    <mergeCell ref="G10:H10"/>
    <mergeCell ref="A7:B7"/>
    <mergeCell ref="C7:D7"/>
    <mergeCell ref="E7:F7"/>
    <mergeCell ref="G7:H7"/>
    <mergeCell ref="A8:B8"/>
    <mergeCell ref="C8:D8"/>
    <mergeCell ref="E8:F8"/>
    <mergeCell ref="G8:H8"/>
    <mergeCell ref="A3:H3"/>
    <mergeCell ref="A5:B5"/>
    <mergeCell ref="C5:D5"/>
    <mergeCell ref="E5:F5"/>
    <mergeCell ref="G5:H5"/>
    <mergeCell ref="A6:B6"/>
    <mergeCell ref="C6:D6"/>
    <mergeCell ref="E6:F6"/>
    <mergeCell ref="G6:H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3</xdr:col>
                <xdr:colOff>63500</xdr:colOff>
                <xdr:row>16</xdr:row>
                <xdr:rowOff>31750</xdr:rowOff>
              </from>
              <to>
                <xdr:col>4</xdr:col>
                <xdr:colOff>571500</xdr:colOff>
                <xdr:row>19</xdr:row>
                <xdr:rowOff>31750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 sizeWithCells="1">
              <from>
                <xdr:col>1</xdr:col>
                <xdr:colOff>901700</xdr:colOff>
                <xdr:row>25</xdr:row>
                <xdr:rowOff>146050</xdr:rowOff>
              </from>
              <to>
                <xdr:col>2</xdr:col>
                <xdr:colOff>546100</xdr:colOff>
                <xdr:row>27</xdr:row>
                <xdr:rowOff>82550</xdr:rowOff>
              </to>
            </anchor>
          </objectPr>
        </oleObject>
      </mc:Choice>
      <mc:Fallback>
        <oleObject progId="Equation.3" shapeId="6146" r:id="rId5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8">
            <anchor moveWithCells="1" sizeWithCells="1">
              <from>
                <xdr:col>3</xdr:col>
                <xdr:colOff>254000</xdr:colOff>
                <xdr:row>28</xdr:row>
                <xdr:rowOff>114300</xdr:rowOff>
              </from>
              <to>
                <xdr:col>7</xdr:col>
                <xdr:colOff>177800</xdr:colOff>
                <xdr:row>30</xdr:row>
                <xdr:rowOff>120650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9">
          <objectPr defaultSize="0" autoPict="0" r:id="rId10">
            <anchor moveWithCells="1" sizeWithCells="1">
              <from>
                <xdr:col>3</xdr:col>
                <xdr:colOff>342900</xdr:colOff>
                <xdr:row>32</xdr:row>
                <xdr:rowOff>107950</xdr:rowOff>
              </from>
              <to>
                <xdr:col>7</xdr:col>
                <xdr:colOff>222250</xdr:colOff>
                <xdr:row>34</xdr:row>
                <xdr:rowOff>107950</xdr:rowOff>
              </to>
            </anchor>
          </objectPr>
        </oleObject>
      </mc:Choice>
      <mc:Fallback>
        <oleObject progId="Equation.3" shapeId="6148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3"/>
  <sheetViews>
    <sheetView workbookViewId="0"/>
  </sheetViews>
  <sheetFormatPr defaultRowHeight="14.5"/>
  <cols>
    <col min="2" max="2" width="28.36328125" customWidth="1"/>
    <col min="3" max="3" width="9.7265625" customWidth="1"/>
    <col min="4" max="4" width="9.1796875" customWidth="1"/>
    <col min="10" max="10" width="21.90625" customWidth="1"/>
    <col min="15" max="15" width="9.81640625" customWidth="1"/>
    <col min="16" max="16" width="24.36328125" customWidth="1"/>
    <col min="18" max="18" width="21.08984375" customWidth="1"/>
  </cols>
  <sheetData>
    <row r="1" spans="1:18" s="92" customFormat="1">
      <c r="A1" s="139"/>
      <c r="B1" s="139"/>
      <c r="C1" s="139"/>
      <c r="D1" s="139"/>
      <c r="E1" s="139"/>
      <c r="F1" s="139"/>
      <c r="G1" s="139"/>
      <c r="H1" s="139"/>
    </row>
    <row r="2" spans="1:18" s="92" customFormat="1">
      <c r="A2" s="139"/>
      <c r="B2" s="139"/>
      <c r="C2" s="139"/>
      <c r="D2" s="139"/>
      <c r="E2" s="139"/>
      <c r="F2" s="139"/>
      <c r="G2" s="139"/>
      <c r="H2" s="139"/>
      <c r="I2" s="7" t="s">
        <v>419</v>
      </c>
      <c r="J2" s="92">
        <v>76.400000000000006</v>
      </c>
    </row>
    <row r="3" spans="1:18" s="92" customFormat="1" ht="26.25" customHeight="1">
      <c r="A3" s="140"/>
      <c r="B3" s="140"/>
      <c r="C3" s="140"/>
      <c r="D3" s="140"/>
      <c r="E3" s="140"/>
      <c r="F3" s="140"/>
      <c r="G3" s="140"/>
      <c r="H3" s="140"/>
      <c r="J3" s="92">
        <f>J2/2</f>
        <v>38.200000000000003</v>
      </c>
    </row>
    <row r="4" spans="1:18" s="92" customFormat="1" ht="15" customHeight="1">
      <c r="A4" s="161"/>
      <c r="B4" s="161"/>
      <c r="C4" s="161"/>
      <c r="D4" s="161"/>
      <c r="E4" s="161"/>
      <c r="F4" s="161"/>
      <c r="G4" s="161"/>
      <c r="H4" s="161"/>
    </row>
    <row r="5" spans="1:18" s="92" customFormat="1" ht="27.75" customHeight="1">
      <c r="A5" s="141"/>
      <c r="B5" s="141"/>
      <c r="C5" s="142"/>
      <c r="D5" s="142"/>
      <c r="E5" s="142"/>
      <c r="F5" s="142"/>
      <c r="G5" s="142"/>
      <c r="H5" s="142"/>
      <c r="I5" s="162" t="s">
        <v>416</v>
      </c>
      <c r="J5" s="162"/>
      <c r="K5" s="162"/>
      <c r="L5" s="162"/>
      <c r="M5" s="162"/>
      <c r="N5" s="162"/>
      <c r="O5" s="162"/>
      <c r="P5" s="162"/>
      <c r="Q5" s="162"/>
    </row>
    <row r="6" spans="1:18" s="7" customFormat="1">
      <c r="A6" s="141"/>
      <c r="B6" s="141"/>
      <c r="C6" s="141"/>
      <c r="D6" s="141"/>
      <c r="E6" s="141"/>
      <c r="F6" s="141"/>
      <c r="G6" s="141"/>
      <c r="H6" s="141"/>
      <c r="I6" s="7" t="s">
        <v>258</v>
      </c>
      <c r="J6" s="7" t="s">
        <v>257</v>
      </c>
      <c r="L6" s="7" t="s">
        <v>260</v>
      </c>
      <c r="N6" s="7" t="s">
        <v>194</v>
      </c>
      <c r="O6" s="7" t="s">
        <v>420</v>
      </c>
      <c r="P6" s="7" t="s">
        <v>435</v>
      </c>
      <c r="Q6" s="7" t="s">
        <v>196</v>
      </c>
      <c r="R6" s="7" t="s">
        <v>345</v>
      </c>
    </row>
    <row r="7" spans="1:18" s="92" customFormat="1">
      <c r="A7" s="143"/>
      <c r="B7" s="143"/>
      <c r="C7" s="144"/>
      <c r="D7" s="144"/>
      <c r="E7" s="143"/>
      <c r="F7" s="143"/>
      <c r="G7" s="143"/>
      <c r="H7" s="143"/>
      <c r="I7" s="166">
        <v>1</v>
      </c>
      <c r="J7" s="145" t="s">
        <v>387</v>
      </c>
      <c r="K7" s="130"/>
      <c r="L7" s="92">
        <v>710.4</v>
      </c>
      <c r="N7" s="92">
        <v>29.138177214597139</v>
      </c>
      <c r="O7" s="92">
        <f>N7-$J$3</f>
        <v>-9.0618227854028639</v>
      </c>
      <c r="P7" s="92">
        <f>O7*L7</f>
        <v>-6437.5189067501942</v>
      </c>
      <c r="Q7" s="92">
        <v>2.5872647067693242</v>
      </c>
      <c r="R7" s="92">
        <v>1417.7846582939912</v>
      </c>
    </row>
    <row r="8" spans="1:18" s="92" customFormat="1">
      <c r="A8" s="143"/>
      <c r="B8" s="143"/>
      <c r="C8" s="144"/>
      <c r="D8" s="144"/>
      <c r="E8" s="143"/>
      <c r="F8" s="143"/>
      <c r="G8" s="143"/>
      <c r="H8" s="143"/>
      <c r="I8" s="166">
        <v>2</v>
      </c>
      <c r="J8" s="145" t="s">
        <v>414</v>
      </c>
      <c r="K8" s="130"/>
      <c r="L8" s="92">
        <v>0.97499999999999998</v>
      </c>
      <c r="N8" s="92">
        <v>8.75</v>
      </c>
      <c r="O8" s="92">
        <f t="shared" ref="O8:O14" si="0">N8-$J$3</f>
        <v>-29.450000000000003</v>
      </c>
      <c r="P8" s="92">
        <f t="shared" ref="P8:P14" si="1">O8*L8</f>
        <v>-28.713750000000001</v>
      </c>
      <c r="Q8" s="92">
        <v>5.5</v>
      </c>
      <c r="R8" s="92">
        <v>5.3624999999999998</v>
      </c>
    </row>
    <row r="9" spans="1:18" s="92" customFormat="1">
      <c r="A9" s="143"/>
      <c r="B9" s="143"/>
      <c r="C9" s="144"/>
      <c r="D9" s="144"/>
      <c r="E9" s="143"/>
      <c r="F9" s="143"/>
      <c r="G9" s="143"/>
      <c r="H9" s="143"/>
      <c r="I9" s="166">
        <v>3</v>
      </c>
      <c r="J9" s="145" t="s">
        <v>417</v>
      </c>
      <c r="K9" s="130"/>
      <c r="L9" s="92">
        <v>0.88500000000000001</v>
      </c>
      <c r="N9" s="92">
        <v>12.34</v>
      </c>
      <c r="O9" s="92">
        <f t="shared" si="0"/>
        <v>-25.860000000000003</v>
      </c>
      <c r="P9" s="92">
        <f t="shared" si="1"/>
        <v>-22.886100000000003</v>
      </c>
      <c r="Q9" s="92">
        <v>3.07</v>
      </c>
      <c r="R9" s="92">
        <v>2.7169499999999998</v>
      </c>
    </row>
    <row r="10" spans="1:18" s="92" customFormat="1">
      <c r="A10" s="143"/>
      <c r="B10" s="143"/>
      <c r="C10" s="143"/>
      <c r="D10" s="143"/>
      <c r="E10" s="143"/>
      <c r="F10" s="143"/>
      <c r="G10" s="143"/>
      <c r="H10" s="143"/>
      <c r="I10" s="170">
        <v>4</v>
      </c>
      <c r="J10" s="92" t="s">
        <v>394</v>
      </c>
      <c r="L10" s="92">
        <v>7.000000000000001E-3</v>
      </c>
      <c r="N10" s="92">
        <v>4.5999999999999996</v>
      </c>
      <c r="O10" s="92">
        <f t="shared" si="0"/>
        <v>-33.6</v>
      </c>
      <c r="P10" s="92">
        <f t="shared" si="1"/>
        <v>-0.23520000000000005</v>
      </c>
      <c r="Q10" s="92">
        <v>3</v>
      </c>
      <c r="R10" s="92">
        <v>2.1000000000000005E-2</v>
      </c>
    </row>
    <row r="11" spans="1:18" s="92" customFormat="1">
      <c r="A11" s="143"/>
      <c r="B11" s="143"/>
      <c r="C11" s="144"/>
      <c r="D11" s="144"/>
      <c r="E11" s="143"/>
      <c r="F11" s="143"/>
      <c r="G11" s="143"/>
      <c r="H11" s="143"/>
      <c r="I11" s="170">
        <v>7</v>
      </c>
      <c r="J11" s="92" t="s">
        <v>395</v>
      </c>
      <c r="L11" s="92">
        <v>0.5</v>
      </c>
      <c r="N11" s="92">
        <v>64</v>
      </c>
      <c r="O11" s="92">
        <f t="shared" si="0"/>
        <v>25.799999999999997</v>
      </c>
      <c r="P11" s="92">
        <f t="shared" si="1"/>
        <v>12.899999999999999</v>
      </c>
      <c r="Q11" s="92">
        <v>2.8</v>
      </c>
      <c r="R11" s="92">
        <v>1.4</v>
      </c>
    </row>
    <row r="12" spans="1:18" s="92" customFormat="1">
      <c r="A12" s="143"/>
      <c r="B12" s="143"/>
      <c r="C12" s="143"/>
      <c r="D12" s="143"/>
      <c r="E12" s="143"/>
      <c r="F12" s="143"/>
      <c r="G12" s="143"/>
      <c r="H12" s="143"/>
      <c r="I12" s="170">
        <v>9</v>
      </c>
      <c r="J12" s="92" t="s">
        <v>390</v>
      </c>
      <c r="L12" s="92">
        <v>450</v>
      </c>
      <c r="N12" s="92">
        <v>52.67</v>
      </c>
      <c r="O12" s="92">
        <f t="shared" si="0"/>
        <v>14.469999999999999</v>
      </c>
      <c r="P12" s="92">
        <f t="shared" si="1"/>
        <v>6511.4999999999991</v>
      </c>
      <c r="Q12" s="92">
        <v>2.92</v>
      </c>
      <c r="R12" s="92">
        <v>1314</v>
      </c>
    </row>
    <row r="13" spans="1:18" s="92" customFormat="1">
      <c r="A13" s="143"/>
      <c r="B13" s="143"/>
      <c r="C13" s="144"/>
      <c r="D13" s="144"/>
      <c r="E13" s="143"/>
      <c r="F13" s="143"/>
      <c r="G13" s="143"/>
      <c r="H13" s="143"/>
      <c r="I13" s="170">
        <v>10</v>
      </c>
      <c r="J13" s="92" t="s">
        <v>391</v>
      </c>
      <c r="L13" s="92">
        <v>568</v>
      </c>
      <c r="N13" s="92">
        <v>37.54</v>
      </c>
      <c r="O13" s="92">
        <f t="shared" si="0"/>
        <v>-0.66000000000000369</v>
      </c>
      <c r="P13" s="92">
        <f t="shared" si="1"/>
        <v>-374.8800000000021</v>
      </c>
      <c r="Q13" s="92">
        <v>2.92</v>
      </c>
      <c r="R13" s="92">
        <v>1658.56</v>
      </c>
    </row>
    <row r="14" spans="1:18" s="92" customFormat="1">
      <c r="A14" s="143"/>
      <c r="B14" s="143"/>
      <c r="C14" s="144"/>
      <c r="D14" s="144"/>
      <c r="E14" s="143"/>
      <c r="F14" s="143"/>
      <c r="G14" s="143"/>
      <c r="H14" s="143"/>
      <c r="I14" s="170">
        <v>11</v>
      </c>
      <c r="J14" s="92" t="s">
        <v>392</v>
      </c>
      <c r="L14" s="92">
        <v>568</v>
      </c>
      <c r="N14" s="92">
        <v>21.13</v>
      </c>
      <c r="O14" s="92">
        <f t="shared" si="0"/>
        <v>-17.070000000000004</v>
      </c>
      <c r="P14" s="92">
        <f t="shared" si="1"/>
        <v>-9695.760000000002</v>
      </c>
      <c r="Q14" s="92">
        <v>2.92</v>
      </c>
      <c r="R14" s="92">
        <v>1658.56</v>
      </c>
    </row>
    <row r="15" spans="1:18" s="92" customFormat="1" ht="31.5" customHeight="1">
      <c r="A15" s="142"/>
      <c r="B15" s="142"/>
      <c r="C15" s="141"/>
      <c r="D15" s="141"/>
      <c r="E15" s="141"/>
      <c r="F15" s="141"/>
      <c r="G15" s="141"/>
      <c r="H15" s="141"/>
    </row>
    <row r="16" spans="1:18" s="92" customFormat="1">
      <c r="J16" s="7" t="s">
        <v>393</v>
      </c>
      <c r="L16" s="92">
        <f>SUM(L7:L14)</f>
        <v>2298.7669999999998</v>
      </c>
      <c r="P16" s="92">
        <f>SUM(P7:P14)</f>
        <v>-10035.593956750199</v>
      </c>
      <c r="Q16" s="92">
        <v>2.8358634106033804</v>
      </c>
      <c r="R16" s="92">
        <v>6058.4051082939914</v>
      </c>
    </row>
    <row r="17" spans="2:14" s="92" customFormat="1"/>
    <row r="18" spans="2:14" s="92" customFormat="1">
      <c r="B18" s="147" t="s">
        <v>436</v>
      </c>
    </row>
    <row r="19" spans="2:14" s="92" customFormat="1"/>
    <row r="20" spans="2:14" s="92" customFormat="1">
      <c r="B20" s="8" t="s">
        <v>421</v>
      </c>
      <c r="C20" s="92">
        <v>0.66</v>
      </c>
      <c r="D20" s="146" t="s">
        <v>422</v>
      </c>
      <c r="E20" s="92">
        <f>ABS(C20)</f>
        <v>0.66</v>
      </c>
      <c r="F20" s="92" t="s">
        <v>437</v>
      </c>
    </row>
    <row r="21" spans="2:14" s="92" customFormat="1">
      <c r="B21" s="147" t="s">
        <v>439</v>
      </c>
      <c r="C21" s="92">
        <f>J3</f>
        <v>38.200000000000003</v>
      </c>
    </row>
    <row r="22" spans="2:14" s="92" customFormat="1">
      <c r="B22" s="147" t="s">
        <v>440</v>
      </c>
      <c r="C22" s="92">
        <v>-0.223</v>
      </c>
      <c r="D22" s="146" t="s">
        <v>422</v>
      </c>
      <c r="E22" s="92">
        <f>ABS(C22)</f>
        <v>0.223</v>
      </c>
      <c r="F22" s="92" t="s">
        <v>438</v>
      </c>
      <c r="N22" s="92">
        <v>21.13</v>
      </c>
    </row>
    <row r="23" spans="2:14" s="92" customFormat="1">
      <c r="B23" s="147" t="s">
        <v>441</v>
      </c>
      <c r="C23" s="92">
        <v>-1.45</v>
      </c>
      <c r="D23" s="92" t="s">
        <v>178</v>
      </c>
      <c r="F23" s="8" t="s">
        <v>443</v>
      </c>
      <c r="G23" s="44">
        <f>C21+C23</f>
        <v>36.75</v>
      </c>
      <c r="H23" s="92" t="s">
        <v>178</v>
      </c>
    </row>
    <row r="24" spans="2:14" s="92" customFormat="1">
      <c r="B24" s="147" t="s">
        <v>442</v>
      </c>
      <c r="C24" s="92">
        <v>30.32</v>
      </c>
      <c r="D24" s="92" t="s">
        <v>423</v>
      </c>
      <c r="F24" s="8" t="s">
        <v>444</v>
      </c>
      <c r="G24" s="92">
        <f>C21-C23</f>
        <v>39.650000000000006</v>
      </c>
      <c r="H24" s="92" t="s">
        <v>178</v>
      </c>
    </row>
    <row r="25" spans="2:14" s="92" customFormat="1"/>
    <row r="26" spans="2:14" s="92" customFormat="1"/>
    <row r="27" spans="2:14" s="92" customFormat="1">
      <c r="B27" s="181" t="s">
        <v>424</v>
      </c>
      <c r="C27" s="8" t="s">
        <v>421</v>
      </c>
      <c r="D27" s="92">
        <f>(E20-E22)*L16/(C24*100)</f>
        <v>0.33131965006596309</v>
      </c>
      <c r="E27" s="92" t="s">
        <v>178</v>
      </c>
    </row>
    <row r="28" spans="2:14" s="92" customFormat="1"/>
    <row r="29" spans="2:14" s="92" customFormat="1"/>
    <row r="30" spans="2:14" s="92" customFormat="1">
      <c r="B30" s="181" t="s">
        <v>425</v>
      </c>
    </row>
    <row r="31" spans="2:14" s="92" customFormat="1"/>
    <row r="32" spans="2:14" s="92" customFormat="1">
      <c r="C32" s="8" t="s">
        <v>421</v>
      </c>
      <c r="D32" s="92">
        <f>G23/J2*D27</f>
        <v>0.15937169031314324</v>
      </c>
      <c r="E32" s="92" t="s">
        <v>178</v>
      </c>
    </row>
    <row r="33" spans="2:8" s="92" customFormat="1"/>
    <row r="34" spans="2:8" s="92" customFormat="1">
      <c r="B34" s="181" t="s">
        <v>426</v>
      </c>
    </row>
    <row r="35" spans="2:8" s="92" customFormat="1"/>
    <row r="36" spans="2:8" s="92" customFormat="1">
      <c r="C36" s="8" t="s">
        <v>421</v>
      </c>
      <c r="D36" s="92">
        <f>G24/J2*D27</f>
        <v>0.17194795975281987</v>
      </c>
      <c r="E36" s="92" t="s">
        <v>178</v>
      </c>
    </row>
    <row r="37" spans="2:8" s="92" customFormat="1"/>
    <row r="38" spans="2:8" s="92" customFormat="1"/>
    <row r="39" spans="2:8" s="92" customFormat="1" ht="21">
      <c r="B39" s="177" t="s">
        <v>427</v>
      </c>
      <c r="C39" s="178"/>
      <c r="D39" s="178"/>
      <c r="E39" s="178"/>
      <c r="F39" s="178"/>
      <c r="G39" s="178"/>
      <c r="H39" s="179"/>
    </row>
    <row r="40" spans="2:8" s="92" customFormat="1">
      <c r="B40" s="149"/>
      <c r="C40" s="150" t="s">
        <v>428</v>
      </c>
      <c r="D40" s="150"/>
      <c r="E40" s="150" t="s">
        <v>429</v>
      </c>
      <c r="F40" s="150"/>
      <c r="G40" s="151" t="s">
        <v>430</v>
      </c>
      <c r="H40" s="152"/>
    </row>
    <row r="41" spans="2:8" s="92" customFormat="1">
      <c r="B41" s="81" t="s">
        <v>431</v>
      </c>
      <c r="C41" s="101">
        <v>3.65</v>
      </c>
      <c r="D41" s="101"/>
      <c r="E41" s="101">
        <v>3.65</v>
      </c>
      <c r="F41" s="101"/>
      <c r="G41" s="171" t="s">
        <v>432</v>
      </c>
      <c r="H41" s="172"/>
    </row>
    <row r="42" spans="2:8" s="92" customFormat="1">
      <c r="B42" s="155" t="s">
        <v>433</v>
      </c>
      <c r="C42" s="101">
        <f>ABS(D32)</f>
        <v>0.15937169031314324</v>
      </c>
      <c r="D42" s="101"/>
      <c r="E42" s="101">
        <f>ABS(D36)</f>
        <v>0.17194795975281987</v>
      </c>
      <c r="F42" s="101"/>
      <c r="G42" s="173"/>
      <c r="H42" s="174"/>
    </row>
    <row r="43" spans="2:8" s="92" customFormat="1" ht="21">
      <c r="B43" s="158" t="s">
        <v>434</v>
      </c>
      <c r="C43" s="180">
        <f>C41+(C42)</f>
        <v>3.8093716903131432</v>
      </c>
      <c r="D43" s="180"/>
      <c r="E43" s="180">
        <f>E41-(E42)</f>
        <v>3.4780520402471802</v>
      </c>
      <c r="F43" s="180"/>
      <c r="G43" s="175"/>
      <c r="H43" s="176"/>
    </row>
  </sheetData>
  <mergeCells count="57">
    <mergeCell ref="I5:Q5"/>
    <mergeCell ref="C41:D41"/>
    <mergeCell ref="E41:F41"/>
    <mergeCell ref="G41:H43"/>
    <mergeCell ref="C42:D42"/>
    <mergeCell ref="E42:F42"/>
    <mergeCell ref="C43:D43"/>
    <mergeCell ref="E43:F43"/>
    <mergeCell ref="A15:B15"/>
    <mergeCell ref="C15:D15"/>
    <mergeCell ref="E15:F15"/>
    <mergeCell ref="G15:H15"/>
    <mergeCell ref="B39:H39"/>
    <mergeCell ref="C40:D40"/>
    <mergeCell ref="E40:F40"/>
    <mergeCell ref="G40:H40"/>
    <mergeCell ref="A13:B13"/>
    <mergeCell ref="C13:D13"/>
    <mergeCell ref="E13:F13"/>
    <mergeCell ref="G13:H13"/>
    <mergeCell ref="A14:B14"/>
    <mergeCell ref="C14:D14"/>
    <mergeCell ref="E14:F14"/>
    <mergeCell ref="G14:H14"/>
    <mergeCell ref="A11:B11"/>
    <mergeCell ref="C11:D11"/>
    <mergeCell ref="E11:F11"/>
    <mergeCell ref="G11:H11"/>
    <mergeCell ref="A12:B12"/>
    <mergeCell ref="C12:D12"/>
    <mergeCell ref="E12:F12"/>
    <mergeCell ref="G12:H12"/>
    <mergeCell ref="A9:B9"/>
    <mergeCell ref="C9:D9"/>
    <mergeCell ref="E9:F9"/>
    <mergeCell ref="G9:H9"/>
    <mergeCell ref="A10:B10"/>
    <mergeCell ref="C10:D10"/>
    <mergeCell ref="E10:F10"/>
    <mergeCell ref="G10:H10"/>
    <mergeCell ref="A7:B7"/>
    <mergeCell ref="C7:D7"/>
    <mergeCell ref="E7:F7"/>
    <mergeCell ref="G7:H7"/>
    <mergeCell ref="A8:B8"/>
    <mergeCell ref="C8:D8"/>
    <mergeCell ref="E8:F8"/>
    <mergeCell ref="G8:H8"/>
    <mergeCell ref="A3:H3"/>
    <mergeCell ref="A5:B5"/>
    <mergeCell ref="C5:D5"/>
    <mergeCell ref="E5:F5"/>
    <mergeCell ref="G5:H5"/>
    <mergeCell ref="A6:B6"/>
    <mergeCell ref="C6:D6"/>
    <mergeCell ref="E6:F6"/>
    <mergeCell ref="G6:H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7169" r:id="rId3">
          <objectPr defaultSize="0" autoPict="0" r:id="rId4">
            <anchor moveWithCells="1" sizeWithCells="1">
              <from>
                <xdr:col>3</xdr:col>
                <xdr:colOff>63500</xdr:colOff>
                <xdr:row>16</xdr:row>
                <xdr:rowOff>31750</xdr:rowOff>
              </from>
              <to>
                <xdr:col>4</xdr:col>
                <xdr:colOff>571500</xdr:colOff>
                <xdr:row>19</xdr:row>
                <xdr:rowOff>31750</xdr:rowOff>
              </to>
            </anchor>
          </objectPr>
        </oleObject>
      </mc:Choice>
      <mc:Fallback>
        <oleObject progId="Equation.3" shapeId="7169" r:id="rId3"/>
      </mc:Fallback>
    </mc:AlternateContent>
    <mc:AlternateContent xmlns:mc="http://schemas.openxmlformats.org/markup-compatibility/2006">
      <mc:Choice Requires="x14">
        <oleObject progId="Equation.3" shapeId="7170" r:id="rId5">
          <objectPr defaultSize="0" autoPict="0" r:id="rId6">
            <anchor moveWithCells="1" sizeWithCells="1">
              <from>
                <xdr:col>1</xdr:col>
                <xdr:colOff>895350</xdr:colOff>
                <xdr:row>25</xdr:row>
                <xdr:rowOff>158750</xdr:rowOff>
              </from>
              <to>
                <xdr:col>2</xdr:col>
                <xdr:colOff>590550</xdr:colOff>
                <xdr:row>27</xdr:row>
                <xdr:rowOff>82550</xdr:rowOff>
              </to>
            </anchor>
          </objectPr>
        </oleObject>
      </mc:Choice>
      <mc:Fallback>
        <oleObject progId="Equation.3" shapeId="7170" r:id="rId5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8">
            <anchor moveWithCells="1" sizeWithCells="1">
              <from>
                <xdr:col>3</xdr:col>
                <xdr:colOff>254000</xdr:colOff>
                <xdr:row>28</xdr:row>
                <xdr:rowOff>114300</xdr:rowOff>
              </from>
              <to>
                <xdr:col>7</xdr:col>
                <xdr:colOff>177800</xdr:colOff>
                <xdr:row>30</xdr:row>
                <xdr:rowOff>120650</xdr:rowOff>
              </to>
            </anchor>
          </objectPr>
        </oleObject>
      </mc:Choice>
      <mc:Fallback>
        <oleObject progId="Equation.3" shapeId="7171" r:id="rId7"/>
      </mc:Fallback>
    </mc:AlternateContent>
    <mc:AlternateContent xmlns:mc="http://schemas.openxmlformats.org/markup-compatibility/2006">
      <mc:Choice Requires="x14">
        <oleObject progId="Equation.3" shapeId="7172" r:id="rId9">
          <objectPr defaultSize="0" autoPict="0" r:id="rId10">
            <anchor moveWithCells="1" sizeWithCells="1">
              <from>
                <xdr:col>3</xdr:col>
                <xdr:colOff>342900</xdr:colOff>
                <xdr:row>32</xdr:row>
                <xdr:rowOff>107950</xdr:rowOff>
              </from>
              <to>
                <xdr:col>7</xdr:col>
                <xdr:colOff>222250</xdr:colOff>
                <xdr:row>34</xdr:row>
                <xdr:rowOff>107950</xdr:rowOff>
              </to>
            </anchor>
          </objectPr>
        </oleObject>
      </mc:Choice>
      <mc:Fallback>
        <oleObject progId="Equation.3" shapeId="7172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workbookViewId="0"/>
  </sheetViews>
  <sheetFormatPr defaultRowHeight="14.5"/>
  <cols>
    <col min="2" max="2" width="26.1796875" customWidth="1"/>
    <col min="10" max="10" width="9.453125" customWidth="1"/>
    <col min="11" max="11" width="20.81640625" customWidth="1"/>
    <col min="12" max="12" width="11.1796875" customWidth="1"/>
    <col min="13" max="13" width="14.81640625" customWidth="1"/>
    <col min="14" max="14" width="10.1796875" customWidth="1"/>
    <col min="15" max="15" width="10.26953125" customWidth="1"/>
    <col min="16" max="16" width="23.1796875" customWidth="1"/>
    <col min="17" max="17" width="9.6328125" customWidth="1"/>
    <col min="18" max="18" width="21.08984375" customWidth="1"/>
  </cols>
  <sheetData>
    <row r="1" spans="1:18" s="92" customFormat="1">
      <c r="A1" s="139"/>
      <c r="B1" s="139"/>
      <c r="C1" s="139"/>
      <c r="D1" s="139"/>
      <c r="E1" s="139"/>
      <c r="F1" s="139"/>
      <c r="G1" s="139"/>
      <c r="H1" s="139"/>
    </row>
    <row r="2" spans="1:18" s="92" customFormat="1">
      <c r="A2" s="139"/>
      <c r="B2" s="139"/>
      <c r="C2" s="139"/>
      <c r="D2" s="139"/>
      <c r="E2" s="139"/>
      <c r="F2" s="139"/>
      <c r="G2" s="139"/>
      <c r="H2" s="139"/>
      <c r="K2" s="7" t="s">
        <v>419</v>
      </c>
      <c r="L2" s="92">
        <v>76.400000000000006</v>
      </c>
    </row>
    <row r="3" spans="1:18" s="92" customFormat="1" ht="26.25" customHeight="1">
      <c r="A3" s="140"/>
      <c r="B3" s="140"/>
      <c r="C3" s="140"/>
      <c r="D3" s="140"/>
      <c r="E3" s="140"/>
      <c r="F3" s="140"/>
      <c r="G3" s="140"/>
      <c r="H3" s="140"/>
      <c r="L3" s="92">
        <f>L2/2</f>
        <v>38.200000000000003</v>
      </c>
    </row>
    <row r="4" spans="1:18" s="92" customFormat="1" ht="13.5" customHeight="1">
      <c r="A4" s="161"/>
      <c r="B4" s="161"/>
      <c r="C4" s="161"/>
      <c r="D4" s="161"/>
      <c r="E4" s="161"/>
      <c r="F4" s="161"/>
      <c r="G4" s="161"/>
      <c r="H4" s="161"/>
    </row>
    <row r="5" spans="1:18" s="92" customFormat="1" ht="27.75" customHeight="1">
      <c r="A5" s="141"/>
      <c r="B5" s="141"/>
      <c r="C5" s="142"/>
      <c r="D5" s="142"/>
      <c r="E5" s="142"/>
      <c r="F5" s="142"/>
      <c r="G5" s="142"/>
      <c r="H5" s="142"/>
      <c r="J5" s="182" t="s">
        <v>258</v>
      </c>
      <c r="K5" s="182" t="s">
        <v>257</v>
      </c>
      <c r="L5" s="182"/>
      <c r="M5" s="182" t="s">
        <v>260</v>
      </c>
      <c r="N5" s="182" t="s">
        <v>194</v>
      </c>
      <c r="O5" s="182" t="s">
        <v>420</v>
      </c>
      <c r="P5" s="182" t="s">
        <v>435</v>
      </c>
      <c r="Q5" s="182" t="s">
        <v>196</v>
      </c>
      <c r="R5" s="182" t="s">
        <v>345</v>
      </c>
    </row>
    <row r="6" spans="1:18" s="92" customFormat="1">
      <c r="A6" s="143"/>
      <c r="B6" s="143"/>
      <c r="C6" s="143"/>
      <c r="D6" s="143"/>
      <c r="E6" s="143"/>
      <c r="F6" s="143"/>
      <c r="G6" s="143"/>
      <c r="H6" s="143"/>
      <c r="J6" s="170">
        <v>1</v>
      </c>
      <c r="K6" s="92" t="s">
        <v>236</v>
      </c>
      <c r="M6" s="26">
        <v>640.95000000000005</v>
      </c>
      <c r="N6" s="92">
        <v>29.8667336824263</v>
      </c>
      <c r="O6" s="92">
        <f>N6-$L$3</f>
        <v>-8.3332663175737025</v>
      </c>
      <c r="P6" s="92">
        <f>O6*M6</f>
        <v>-5341.2070462488646</v>
      </c>
      <c r="Q6" s="92">
        <v>2.3963415813194717</v>
      </c>
      <c r="R6" s="92">
        <v>1181.4952603791394</v>
      </c>
    </row>
    <row r="7" spans="1:18" s="92" customFormat="1">
      <c r="A7" s="143"/>
      <c r="B7" s="143"/>
      <c r="C7" s="144"/>
      <c r="D7" s="144"/>
      <c r="E7" s="143"/>
      <c r="F7" s="143"/>
      <c r="G7" s="143"/>
      <c r="H7" s="143"/>
      <c r="J7" s="170">
        <v>2</v>
      </c>
      <c r="K7" s="145" t="s">
        <v>408</v>
      </c>
      <c r="L7" s="145"/>
      <c r="M7" s="130">
        <v>11.49</v>
      </c>
      <c r="N7" s="92">
        <v>8.1866971958389883</v>
      </c>
      <c r="O7" s="92">
        <f t="shared" ref="O7:O8" si="0">N7-$L$3</f>
        <v>-30.013302804161015</v>
      </c>
      <c r="P7" s="92">
        <f>O7*M7</f>
        <v>-344.85284921981008</v>
      </c>
      <c r="Q7" s="92">
        <v>7.0901854364540933</v>
      </c>
      <c r="R7" s="92">
        <v>62.705600000000011</v>
      </c>
    </row>
    <row r="8" spans="1:18" s="92" customFormat="1">
      <c r="A8" s="143"/>
      <c r="B8" s="143"/>
      <c r="C8" s="144"/>
      <c r="D8" s="144"/>
      <c r="E8" s="143"/>
      <c r="F8" s="143"/>
      <c r="G8" s="143"/>
      <c r="H8" s="143"/>
      <c r="J8" s="170">
        <v>3</v>
      </c>
      <c r="K8" s="145" t="s">
        <v>384</v>
      </c>
      <c r="L8" s="145"/>
      <c r="M8" s="130">
        <v>57.96</v>
      </c>
      <c r="N8" s="92">
        <v>25.365705275824247</v>
      </c>
      <c r="O8" s="92">
        <f t="shared" si="0"/>
        <v>-12.834294724175756</v>
      </c>
      <c r="P8" s="92">
        <f>O8*M8</f>
        <v>-743.87572221322682</v>
      </c>
      <c r="Q8" s="92">
        <v>3.7653200273494982</v>
      </c>
      <c r="R8" s="92">
        <v>173.58379791485191</v>
      </c>
    </row>
    <row r="9" spans="1:18" s="92" customFormat="1">
      <c r="A9" s="143"/>
      <c r="B9" s="143"/>
      <c r="C9" s="144"/>
      <c r="D9" s="144"/>
      <c r="E9" s="143"/>
      <c r="F9" s="143"/>
      <c r="G9" s="143"/>
      <c r="H9" s="143"/>
      <c r="K9" s="169" t="s">
        <v>385</v>
      </c>
      <c r="L9" s="145"/>
      <c r="M9" s="130">
        <v>710.4</v>
      </c>
      <c r="P9" s="92">
        <f>SUM(P6:P8)</f>
        <v>-6429.9356176819019</v>
      </c>
      <c r="Q9" s="92">
        <v>2.5872647067693242</v>
      </c>
      <c r="R9" s="92">
        <v>1417.7846582939912</v>
      </c>
    </row>
    <row r="10" spans="1:18" s="92" customFormat="1">
      <c r="A10" s="143"/>
      <c r="B10" s="143"/>
      <c r="C10" s="143"/>
      <c r="D10" s="143"/>
      <c r="E10" s="143"/>
      <c r="F10" s="143"/>
      <c r="G10" s="143"/>
      <c r="H10" s="143"/>
    </row>
    <row r="11" spans="1:18" s="92" customFormat="1">
      <c r="A11" s="143"/>
      <c r="B11" s="143"/>
      <c r="C11" s="144"/>
      <c r="D11" s="144"/>
      <c r="E11" s="143"/>
      <c r="F11" s="143"/>
      <c r="G11" s="143"/>
      <c r="H11" s="143"/>
    </row>
    <row r="12" spans="1:18" s="92" customFormat="1">
      <c r="A12" s="143"/>
      <c r="B12" s="143"/>
      <c r="C12" s="143"/>
      <c r="D12" s="143"/>
      <c r="E12" s="143"/>
      <c r="F12" s="143"/>
      <c r="G12" s="143"/>
      <c r="H12" s="143"/>
    </row>
    <row r="13" spans="1:18" s="92" customFormat="1">
      <c r="A13" s="143"/>
      <c r="B13" s="143"/>
      <c r="C13" s="144"/>
      <c r="D13" s="144"/>
      <c r="E13" s="143"/>
      <c r="F13" s="143"/>
      <c r="G13" s="143"/>
      <c r="H13" s="143"/>
    </row>
    <row r="14" spans="1:18" s="92" customFormat="1">
      <c r="A14" s="143"/>
      <c r="B14" s="143"/>
      <c r="C14" s="144"/>
      <c r="D14" s="144"/>
      <c r="E14" s="143"/>
      <c r="F14" s="143"/>
      <c r="G14" s="143"/>
      <c r="H14" s="143"/>
      <c r="M14" s="143"/>
      <c r="N14" s="129"/>
    </row>
    <row r="15" spans="1:18" s="92" customFormat="1" ht="31.5" customHeight="1">
      <c r="A15" s="142"/>
      <c r="B15" s="142"/>
      <c r="C15" s="141"/>
      <c r="D15" s="141"/>
      <c r="E15" s="141"/>
      <c r="F15" s="141"/>
      <c r="G15" s="141"/>
      <c r="H15" s="141"/>
      <c r="M15" s="139"/>
      <c r="N15" s="145"/>
    </row>
    <row r="16" spans="1:18" s="92" customFormat="1">
      <c r="M16" s="143"/>
      <c r="N16" s="129"/>
    </row>
    <row r="17" spans="2:16" s="92" customFormat="1">
      <c r="M17" s="141"/>
      <c r="N17" s="183"/>
    </row>
    <row r="18" spans="2:16" s="92" customFormat="1">
      <c r="B18" s="147" t="s">
        <v>436</v>
      </c>
    </row>
    <row r="19" spans="2:16" s="92" customFormat="1"/>
    <row r="20" spans="2:16" s="92" customFormat="1">
      <c r="B20" s="8" t="s">
        <v>421</v>
      </c>
      <c r="C20" s="92">
        <v>-4.4400000000000004</v>
      </c>
      <c r="D20" s="146" t="s">
        <v>422</v>
      </c>
      <c r="E20" s="92">
        <f>ABS(C20)</f>
        <v>4.4400000000000004</v>
      </c>
      <c r="F20" s="92" t="s">
        <v>437</v>
      </c>
    </row>
    <row r="21" spans="2:16" s="92" customFormat="1">
      <c r="B21" s="147" t="s">
        <v>439</v>
      </c>
      <c r="C21" s="92">
        <f>L3</f>
        <v>38.200000000000003</v>
      </c>
    </row>
    <row r="22" spans="2:16" s="92" customFormat="1">
      <c r="B22" s="147" t="s">
        <v>440</v>
      </c>
      <c r="C22" s="92">
        <v>-0.22</v>
      </c>
      <c r="D22" s="146" t="s">
        <v>422</v>
      </c>
      <c r="E22" s="92">
        <f>ABS(C22)</f>
        <v>0.22</v>
      </c>
      <c r="F22" s="92" t="s">
        <v>438</v>
      </c>
      <c r="P22" s="92">
        <v>21.13</v>
      </c>
    </row>
    <row r="23" spans="2:16" s="92" customFormat="1">
      <c r="B23" s="147" t="s">
        <v>441</v>
      </c>
      <c r="C23" s="92">
        <v>1.194</v>
      </c>
      <c r="D23" s="92" t="s">
        <v>178</v>
      </c>
      <c r="F23" s="8" t="s">
        <v>443</v>
      </c>
      <c r="G23" s="44">
        <f>C21+C23</f>
        <v>39.394000000000005</v>
      </c>
      <c r="H23" s="92" t="s">
        <v>178</v>
      </c>
    </row>
    <row r="24" spans="2:16" s="92" customFormat="1">
      <c r="B24" s="147" t="s">
        <v>442</v>
      </c>
      <c r="C24" s="92">
        <v>20.149000000000001</v>
      </c>
      <c r="D24" s="92" t="s">
        <v>423</v>
      </c>
      <c r="F24" s="8" t="s">
        <v>444</v>
      </c>
      <c r="G24" s="92">
        <f>C21-C23</f>
        <v>37.006</v>
      </c>
      <c r="H24" s="92" t="s">
        <v>178</v>
      </c>
    </row>
    <row r="25" spans="2:16" s="92" customFormat="1"/>
    <row r="26" spans="2:16" s="92" customFormat="1"/>
    <row r="27" spans="2:16" s="92" customFormat="1">
      <c r="B27" s="148" t="s">
        <v>424</v>
      </c>
      <c r="C27" s="8" t="s">
        <v>421</v>
      </c>
      <c r="D27" s="92">
        <f>(E20-E22)*M9/(C24*100)</f>
        <v>1.4878594471189639</v>
      </c>
      <c r="E27" s="92" t="s">
        <v>178</v>
      </c>
    </row>
    <row r="28" spans="2:16" s="92" customFormat="1"/>
    <row r="29" spans="2:16" s="92" customFormat="1"/>
    <row r="30" spans="2:16" s="92" customFormat="1">
      <c r="B30" s="148" t="s">
        <v>425</v>
      </c>
    </row>
    <row r="31" spans="2:16" s="92" customFormat="1"/>
    <row r="32" spans="2:16" s="92" customFormat="1">
      <c r="C32" s="8" t="s">
        <v>421</v>
      </c>
      <c r="D32" s="92">
        <f>G23/L2*D27</f>
        <v>0.76718239607073913</v>
      </c>
      <c r="E32" s="92" t="s">
        <v>178</v>
      </c>
    </row>
    <row r="33" spans="2:8" s="92" customFormat="1"/>
    <row r="34" spans="2:8" s="92" customFormat="1">
      <c r="B34" s="148" t="s">
        <v>426</v>
      </c>
    </row>
    <row r="35" spans="2:8" s="92" customFormat="1"/>
    <row r="36" spans="2:8" s="92" customFormat="1">
      <c r="C36" s="8" t="s">
        <v>421</v>
      </c>
      <c r="D36" s="92">
        <f>G24/L2*D27</f>
        <v>0.72067705104822477</v>
      </c>
      <c r="E36" s="92" t="s">
        <v>178</v>
      </c>
    </row>
    <row r="37" spans="2:8" s="92" customFormat="1"/>
    <row r="38" spans="2:8" s="92" customFormat="1"/>
    <row r="39" spans="2:8" s="92" customFormat="1" ht="21">
      <c r="B39" s="177" t="s">
        <v>427</v>
      </c>
      <c r="C39" s="178"/>
      <c r="D39" s="178"/>
      <c r="E39" s="178"/>
      <c r="F39" s="178"/>
      <c r="G39" s="178"/>
      <c r="H39" s="179"/>
    </row>
    <row r="40" spans="2:8" s="92" customFormat="1">
      <c r="B40" s="149"/>
      <c r="C40" s="150" t="s">
        <v>428</v>
      </c>
      <c r="D40" s="150"/>
      <c r="E40" s="150" t="s">
        <v>429</v>
      </c>
      <c r="F40" s="150"/>
      <c r="G40" s="151" t="s">
        <v>430</v>
      </c>
      <c r="H40" s="152"/>
    </row>
    <row r="41" spans="2:8" s="92" customFormat="1">
      <c r="B41" s="81" t="s">
        <v>431</v>
      </c>
      <c r="C41" s="101">
        <v>3.65</v>
      </c>
      <c r="D41" s="101"/>
      <c r="E41" s="101">
        <v>3.65</v>
      </c>
      <c r="F41" s="101"/>
      <c r="G41" s="153" t="s">
        <v>432</v>
      </c>
      <c r="H41" s="154"/>
    </row>
    <row r="42" spans="2:8" s="92" customFormat="1" ht="43.5">
      <c r="B42" s="155" t="s">
        <v>433</v>
      </c>
      <c r="C42" s="101">
        <f>ABS(D32)</f>
        <v>0.76718239607073913</v>
      </c>
      <c r="D42" s="101"/>
      <c r="E42" s="101">
        <f>ABS(D36)</f>
        <v>0.72067705104822477</v>
      </c>
      <c r="F42" s="101"/>
      <c r="G42" s="156"/>
      <c r="H42" s="157"/>
    </row>
    <row r="43" spans="2:8" s="92" customFormat="1" ht="21">
      <c r="B43" s="158" t="s">
        <v>434</v>
      </c>
      <c r="C43" s="180">
        <f>C41+(C42)</f>
        <v>4.4171823960707393</v>
      </c>
      <c r="D43" s="180"/>
      <c r="E43" s="180">
        <f>E41-(E42)</f>
        <v>2.9293229489517749</v>
      </c>
      <c r="F43" s="180"/>
      <c r="G43" s="159"/>
      <c r="H43" s="160"/>
    </row>
    <row r="44" spans="2:8" s="92" customFormat="1"/>
  </sheetData>
  <mergeCells count="59">
    <mergeCell ref="M16:N16"/>
    <mergeCell ref="M17:N17"/>
    <mergeCell ref="M14:N14"/>
    <mergeCell ref="C41:D41"/>
    <mergeCell ref="E41:F41"/>
    <mergeCell ref="G41:H43"/>
    <mergeCell ref="C42:D42"/>
    <mergeCell ref="E42:F42"/>
    <mergeCell ref="C43:D43"/>
    <mergeCell ref="E43:F43"/>
    <mergeCell ref="A15:B15"/>
    <mergeCell ref="C15:D15"/>
    <mergeCell ref="E15:F15"/>
    <mergeCell ref="G15:H15"/>
    <mergeCell ref="B39:H39"/>
    <mergeCell ref="C40:D40"/>
    <mergeCell ref="E40:F40"/>
    <mergeCell ref="G40:H40"/>
    <mergeCell ref="A13:B13"/>
    <mergeCell ref="C13:D13"/>
    <mergeCell ref="E13:F13"/>
    <mergeCell ref="G13:H13"/>
    <mergeCell ref="A14:B14"/>
    <mergeCell ref="C14:D14"/>
    <mergeCell ref="E14:F14"/>
    <mergeCell ref="G14:H14"/>
    <mergeCell ref="A11:B11"/>
    <mergeCell ref="C11:D11"/>
    <mergeCell ref="E11:F11"/>
    <mergeCell ref="G11:H11"/>
    <mergeCell ref="A12:B12"/>
    <mergeCell ref="C12:D12"/>
    <mergeCell ref="E12:F12"/>
    <mergeCell ref="G12:H12"/>
    <mergeCell ref="A9:B9"/>
    <mergeCell ref="C9:D9"/>
    <mergeCell ref="E9:F9"/>
    <mergeCell ref="G9:H9"/>
    <mergeCell ref="A10:B10"/>
    <mergeCell ref="C10:D10"/>
    <mergeCell ref="E10:F10"/>
    <mergeCell ref="G10:H10"/>
    <mergeCell ref="A7:B7"/>
    <mergeCell ref="C7:D7"/>
    <mergeCell ref="E7:F7"/>
    <mergeCell ref="G7:H7"/>
    <mergeCell ref="A8:B8"/>
    <mergeCell ref="C8:D8"/>
    <mergeCell ref="E8:F8"/>
    <mergeCell ref="G8:H8"/>
    <mergeCell ref="A3:H3"/>
    <mergeCell ref="A5:B5"/>
    <mergeCell ref="C5:D5"/>
    <mergeCell ref="E5:F5"/>
    <mergeCell ref="G5:H5"/>
    <mergeCell ref="A6:B6"/>
    <mergeCell ref="C6:D6"/>
    <mergeCell ref="E6:F6"/>
    <mergeCell ref="G6:H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3</xdr:col>
                <xdr:colOff>63500</xdr:colOff>
                <xdr:row>16</xdr:row>
                <xdr:rowOff>31750</xdr:rowOff>
              </from>
              <to>
                <xdr:col>4</xdr:col>
                <xdr:colOff>571500</xdr:colOff>
                <xdr:row>19</xdr:row>
                <xdr:rowOff>31750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1</xdr:col>
                <xdr:colOff>914400</xdr:colOff>
                <xdr:row>25</xdr:row>
                <xdr:rowOff>158750</xdr:rowOff>
              </from>
              <to>
                <xdr:col>2</xdr:col>
                <xdr:colOff>546100</xdr:colOff>
                <xdr:row>27</xdr:row>
                <xdr:rowOff>69850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3</xdr:col>
                <xdr:colOff>254000</xdr:colOff>
                <xdr:row>28</xdr:row>
                <xdr:rowOff>114300</xdr:rowOff>
              </from>
              <to>
                <xdr:col>7</xdr:col>
                <xdr:colOff>177800</xdr:colOff>
                <xdr:row>30</xdr:row>
                <xdr:rowOff>120650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9">
          <objectPr defaultSize="0" autoPict="0" r:id="rId10">
            <anchor moveWithCells="1" sizeWithCells="1">
              <from>
                <xdr:col>3</xdr:col>
                <xdr:colOff>342900</xdr:colOff>
                <xdr:row>32</xdr:row>
                <xdr:rowOff>107950</xdr:rowOff>
              </from>
              <to>
                <xdr:col>7</xdr:col>
                <xdr:colOff>222250</xdr:colOff>
                <xdr:row>34</xdr:row>
                <xdr:rowOff>107950</xdr:rowOff>
              </to>
            </anchor>
          </objectPr>
        </oleObject>
      </mc:Choice>
      <mc:Fallback>
        <oleObject progId="Equation.3" shapeId="8196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Steel Weight</vt:lpstr>
      <vt:lpstr>Wood &amp; Outfit Weight</vt:lpstr>
      <vt:lpstr>Machinery Weight</vt:lpstr>
      <vt:lpstr>Hull Weight</vt:lpstr>
      <vt:lpstr>Trim</vt:lpstr>
      <vt:lpstr>Trim2</vt:lpstr>
      <vt:lpstr>Trim3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2023-01-12T10:05:02Z</dcterms:modified>
</cp:coreProperties>
</file>