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Offset Table" sheetId="1" r:id="rId1"/>
    <sheet name="WL1" sheetId="2" r:id="rId2"/>
    <sheet name="WL2" sheetId="3" r:id="rId3"/>
    <sheet name="WL3" sheetId="4" r:id="rId4"/>
    <sheet name="WL4" sheetId="5" r:id="rId5"/>
    <sheet name="LCF &amp; BML" sheetId="6" r:id="rId6"/>
    <sheet name="BMT" sheetId="7" r:id="rId7"/>
    <sheet name="Separated Hydrostatic Curves" sheetId="8" r:id="rId8"/>
    <sheet name="Merged Hydrostatic Curves" sheetId="10" r:id="rId9"/>
  </sheets>
  <externalReferences>
    <externalReference r:id="rId10"/>
    <externalReference r:id="rId11"/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0" l="1"/>
  <c r="O8" i="10"/>
  <c r="O7" i="10"/>
  <c r="O6" i="10"/>
  <c r="G9" i="10"/>
  <c r="Z6" i="10"/>
  <c r="Z7" i="10"/>
  <c r="Z8" i="10"/>
  <c r="Z9" i="10"/>
  <c r="AB9" i="10"/>
  <c r="W9" i="10"/>
  <c r="U9" i="10"/>
  <c r="S9" i="10"/>
  <c r="Q9" i="10"/>
  <c r="M9" i="10"/>
  <c r="AB8" i="10"/>
  <c r="W8" i="10"/>
  <c r="U8" i="10"/>
  <c r="S8" i="10"/>
  <c r="Q8" i="10"/>
  <c r="M8" i="10"/>
  <c r="G8" i="10"/>
  <c r="AB7" i="10"/>
  <c r="W7" i="10"/>
  <c r="U7" i="10"/>
  <c r="S7" i="10"/>
  <c r="Q7" i="10"/>
  <c r="M7" i="10"/>
  <c r="G7" i="10"/>
  <c r="AB6" i="10"/>
  <c r="W6" i="10"/>
  <c r="U6" i="10"/>
  <c r="S6" i="10"/>
  <c r="Q6" i="10"/>
  <c r="M6" i="10"/>
  <c r="G6" i="10"/>
  <c r="Z99" i="8"/>
  <c r="Z98" i="8"/>
  <c r="Z97" i="8"/>
  <c r="O99" i="8"/>
  <c r="O98" i="8"/>
  <c r="O97" i="8"/>
  <c r="C98" i="8"/>
  <c r="C97" i="8"/>
  <c r="C96" i="8"/>
  <c r="AD71" i="8"/>
  <c r="AD70" i="8"/>
  <c r="AD69" i="8"/>
  <c r="V70" i="8"/>
  <c r="V69" i="8"/>
  <c r="V68" i="8"/>
  <c r="O70" i="8"/>
  <c r="O69" i="8"/>
  <c r="O68" i="8"/>
  <c r="C69" i="8"/>
  <c r="C68" i="8"/>
  <c r="C67" i="8"/>
  <c r="AE44" i="8"/>
  <c r="AE43" i="8"/>
  <c r="AE42" i="8"/>
  <c r="W44" i="8"/>
  <c r="W43" i="8"/>
  <c r="W42" i="8"/>
  <c r="O44" i="8"/>
  <c r="O43" i="8"/>
  <c r="O42" i="8"/>
  <c r="C44" i="8"/>
  <c r="C43" i="8"/>
  <c r="C42" i="8"/>
  <c r="T16" i="8"/>
  <c r="T15" i="8"/>
  <c r="T14" i="8"/>
  <c r="M16" i="8"/>
  <c r="M15" i="8"/>
  <c r="M14" i="8"/>
  <c r="D16" i="8"/>
  <c r="D15" i="8"/>
  <c r="D14" i="8"/>
  <c r="L6" i="8"/>
  <c r="L5" i="8"/>
  <c r="L4" i="8"/>
  <c r="L3" i="8"/>
  <c r="K6" i="8"/>
  <c r="K5" i="8"/>
  <c r="K4" i="8"/>
  <c r="K3" i="8"/>
  <c r="J6" i="8"/>
  <c r="J5" i="8"/>
  <c r="J4" i="8"/>
  <c r="P4" i="8" s="1"/>
  <c r="J3" i="8"/>
  <c r="I6" i="8"/>
  <c r="I5" i="8"/>
  <c r="I4" i="8"/>
  <c r="I3" i="8"/>
  <c r="H6" i="8"/>
  <c r="H5" i="8"/>
  <c r="H4" i="8"/>
  <c r="H3" i="8"/>
  <c r="G6" i="8"/>
  <c r="G5" i="8"/>
  <c r="G4" i="8"/>
  <c r="G3" i="8"/>
  <c r="P3" i="8" s="1"/>
  <c r="F6" i="8"/>
  <c r="F5" i="8"/>
  <c r="F4" i="8"/>
  <c r="F3" i="8"/>
  <c r="E6" i="8"/>
  <c r="E5" i="8"/>
  <c r="E4" i="8"/>
  <c r="E3" i="8"/>
  <c r="D4" i="8"/>
  <c r="O23" i="7"/>
  <c r="L23" i="7"/>
  <c r="I23" i="7"/>
  <c r="F23" i="7"/>
  <c r="P32" i="6"/>
  <c r="H26" i="6"/>
  <c r="T22" i="6"/>
  <c r="P22" i="6"/>
  <c r="P31" i="6" s="1"/>
  <c r="L22" i="6"/>
  <c r="H22" i="6"/>
  <c r="H31" i="6" s="1"/>
  <c r="M9" i="4"/>
  <c r="N9" i="4" s="1"/>
  <c r="P9" i="4" s="1"/>
  <c r="M10" i="4"/>
  <c r="M11" i="4"/>
  <c r="M12" i="4"/>
  <c r="N12" i="4" s="1"/>
  <c r="P12" i="4" s="1"/>
  <c r="M13" i="4"/>
  <c r="N13" i="4" s="1"/>
  <c r="P13" i="4" s="1"/>
  <c r="M14" i="4"/>
  <c r="N14" i="4" s="1"/>
  <c r="P14" i="4" s="1"/>
  <c r="M15" i="4"/>
  <c r="M16" i="4"/>
  <c r="M17" i="4"/>
  <c r="N17" i="4" s="1"/>
  <c r="P17" i="4" s="1"/>
  <c r="M18" i="4"/>
  <c r="M19" i="4"/>
  <c r="N19" i="4" s="1"/>
  <c r="P19" i="4" s="1"/>
  <c r="M20" i="4"/>
  <c r="N20" i="4" s="1"/>
  <c r="P20" i="4" s="1"/>
  <c r="M8" i="4"/>
  <c r="N8" i="4" s="1"/>
  <c r="P8" i="4" s="1"/>
  <c r="M7" i="4"/>
  <c r="N7" i="4" s="1"/>
  <c r="P7" i="4" s="1"/>
  <c r="M6" i="4"/>
  <c r="N6" i="4" s="1"/>
  <c r="P6" i="4" s="1"/>
  <c r="N18" i="4"/>
  <c r="P18" i="4" s="1"/>
  <c r="N16" i="4"/>
  <c r="P16" i="4" s="1"/>
  <c r="N15" i="4"/>
  <c r="P15" i="4" s="1"/>
  <c r="N11" i="4"/>
  <c r="P11" i="4" s="1"/>
  <c r="N10" i="4"/>
  <c r="P10" i="4" s="1"/>
  <c r="O6" i="8"/>
  <c r="D6" i="8"/>
  <c r="O5" i="8"/>
  <c r="D5" i="8"/>
  <c r="O4" i="8"/>
  <c r="O3" i="8"/>
  <c r="O20" i="7"/>
  <c r="N20" i="7"/>
  <c r="K20" i="7"/>
  <c r="L20" i="7" s="1"/>
  <c r="H20" i="7"/>
  <c r="I20" i="7" s="1"/>
  <c r="E20" i="7"/>
  <c r="F20" i="7" s="1"/>
  <c r="O19" i="7"/>
  <c r="N19" i="7"/>
  <c r="K19" i="7"/>
  <c r="L19" i="7" s="1"/>
  <c r="H19" i="7"/>
  <c r="I19" i="7" s="1"/>
  <c r="E19" i="7"/>
  <c r="F19" i="7" s="1"/>
  <c r="O18" i="7"/>
  <c r="N18" i="7"/>
  <c r="K18" i="7"/>
  <c r="L18" i="7" s="1"/>
  <c r="H18" i="7"/>
  <c r="I18" i="7" s="1"/>
  <c r="E18" i="7"/>
  <c r="F18" i="7" s="1"/>
  <c r="O17" i="7"/>
  <c r="N17" i="7"/>
  <c r="K17" i="7"/>
  <c r="L17" i="7" s="1"/>
  <c r="H17" i="7"/>
  <c r="I17" i="7" s="1"/>
  <c r="E17" i="7"/>
  <c r="F17" i="7" s="1"/>
  <c r="O16" i="7"/>
  <c r="N16" i="7"/>
  <c r="K16" i="7"/>
  <c r="L16" i="7" s="1"/>
  <c r="H16" i="7"/>
  <c r="I16" i="7" s="1"/>
  <c r="E16" i="7"/>
  <c r="F16" i="7" s="1"/>
  <c r="O15" i="7"/>
  <c r="N15" i="7"/>
  <c r="K15" i="7"/>
  <c r="L15" i="7" s="1"/>
  <c r="H15" i="7"/>
  <c r="I15" i="7" s="1"/>
  <c r="E15" i="7"/>
  <c r="F15" i="7" s="1"/>
  <c r="O14" i="7"/>
  <c r="N14" i="7"/>
  <c r="K14" i="7"/>
  <c r="L14" i="7" s="1"/>
  <c r="H14" i="7"/>
  <c r="I14" i="7" s="1"/>
  <c r="E14" i="7"/>
  <c r="F14" i="7" s="1"/>
  <c r="O13" i="7"/>
  <c r="N13" i="7"/>
  <c r="K13" i="7"/>
  <c r="L13" i="7" s="1"/>
  <c r="H13" i="7"/>
  <c r="I13" i="7" s="1"/>
  <c r="E13" i="7"/>
  <c r="F13" i="7" s="1"/>
  <c r="O12" i="7"/>
  <c r="N12" i="7"/>
  <c r="K12" i="7"/>
  <c r="L12" i="7" s="1"/>
  <c r="H12" i="7"/>
  <c r="I12" i="7" s="1"/>
  <c r="E12" i="7"/>
  <c r="F12" i="7" s="1"/>
  <c r="O11" i="7"/>
  <c r="N11" i="7"/>
  <c r="K11" i="7"/>
  <c r="L11" i="7" s="1"/>
  <c r="H11" i="7"/>
  <c r="I11" i="7" s="1"/>
  <c r="E11" i="7"/>
  <c r="F11" i="7" s="1"/>
  <c r="O10" i="7"/>
  <c r="N10" i="7"/>
  <c r="K10" i="7"/>
  <c r="L10" i="7" s="1"/>
  <c r="H10" i="7"/>
  <c r="I10" i="7" s="1"/>
  <c r="E10" i="7"/>
  <c r="F10" i="7" s="1"/>
  <c r="O9" i="7"/>
  <c r="N9" i="7"/>
  <c r="K9" i="7"/>
  <c r="L9" i="7" s="1"/>
  <c r="H9" i="7"/>
  <c r="I9" i="7" s="1"/>
  <c r="E9" i="7"/>
  <c r="F9" i="7" s="1"/>
  <c r="O8" i="7"/>
  <c r="N8" i="7"/>
  <c r="K8" i="7"/>
  <c r="L8" i="7" s="1"/>
  <c r="H8" i="7"/>
  <c r="I8" i="7" s="1"/>
  <c r="E8" i="7"/>
  <c r="F8" i="7" s="1"/>
  <c r="O7" i="7"/>
  <c r="N7" i="7"/>
  <c r="K7" i="7"/>
  <c r="L7" i="7" s="1"/>
  <c r="H7" i="7"/>
  <c r="I7" i="7" s="1"/>
  <c r="E7" i="7"/>
  <c r="F7" i="7" s="1"/>
  <c r="O6" i="7"/>
  <c r="O21" i="7" s="1"/>
  <c r="O24" i="7" s="1"/>
  <c r="N6" i="7"/>
  <c r="K6" i="7"/>
  <c r="L6" i="7" s="1"/>
  <c r="H6" i="7"/>
  <c r="I6" i="7" s="1"/>
  <c r="E6" i="7"/>
  <c r="F6" i="7" s="1"/>
  <c r="T31" i="6"/>
  <c r="L31" i="6"/>
  <c r="R19" i="6"/>
  <c r="S19" i="6" s="1"/>
  <c r="T19" i="6" s="1"/>
  <c r="O19" i="6"/>
  <c r="P19" i="6" s="1"/>
  <c r="N19" i="6"/>
  <c r="K19" i="6"/>
  <c r="L19" i="6" s="1"/>
  <c r="J19" i="6"/>
  <c r="F19" i="6"/>
  <c r="G19" i="6" s="1"/>
  <c r="H19" i="6" s="1"/>
  <c r="R18" i="6"/>
  <c r="S18" i="6" s="1"/>
  <c r="T18" i="6" s="1"/>
  <c r="P18" i="6"/>
  <c r="O18" i="6"/>
  <c r="N18" i="6"/>
  <c r="J18" i="6"/>
  <c r="K18" i="6" s="1"/>
  <c r="L18" i="6" s="1"/>
  <c r="F18" i="6"/>
  <c r="G18" i="6" s="1"/>
  <c r="H18" i="6" s="1"/>
  <c r="R17" i="6"/>
  <c r="S17" i="6" s="1"/>
  <c r="T17" i="6" s="1"/>
  <c r="O17" i="6"/>
  <c r="P17" i="6" s="1"/>
  <c r="N17" i="6"/>
  <c r="K17" i="6"/>
  <c r="L17" i="6" s="1"/>
  <c r="J17" i="6"/>
  <c r="F17" i="6"/>
  <c r="G17" i="6" s="1"/>
  <c r="H17" i="6" s="1"/>
  <c r="R16" i="6"/>
  <c r="S16" i="6" s="1"/>
  <c r="T16" i="6" s="1"/>
  <c r="P16" i="6"/>
  <c r="O16" i="6"/>
  <c r="N16" i="6"/>
  <c r="J16" i="6"/>
  <c r="K16" i="6" s="1"/>
  <c r="L16" i="6" s="1"/>
  <c r="F16" i="6"/>
  <c r="G16" i="6" s="1"/>
  <c r="H16" i="6" s="1"/>
  <c r="R15" i="6"/>
  <c r="S15" i="6" s="1"/>
  <c r="T15" i="6" s="1"/>
  <c r="O15" i="6"/>
  <c r="P15" i="6" s="1"/>
  <c r="N15" i="6"/>
  <c r="K15" i="6"/>
  <c r="L15" i="6" s="1"/>
  <c r="J15" i="6"/>
  <c r="F15" i="6"/>
  <c r="G15" i="6" s="1"/>
  <c r="H15" i="6" s="1"/>
  <c r="R14" i="6"/>
  <c r="S14" i="6" s="1"/>
  <c r="T14" i="6" s="1"/>
  <c r="P14" i="6"/>
  <c r="O14" i="6"/>
  <c r="N14" i="6"/>
  <c r="J14" i="6"/>
  <c r="K14" i="6" s="1"/>
  <c r="L14" i="6" s="1"/>
  <c r="F14" i="6"/>
  <c r="G14" i="6" s="1"/>
  <c r="H14" i="6" s="1"/>
  <c r="R13" i="6"/>
  <c r="S13" i="6" s="1"/>
  <c r="T13" i="6" s="1"/>
  <c r="O13" i="6"/>
  <c r="P13" i="6" s="1"/>
  <c r="N13" i="6"/>
  <c r="K13" i="6"/>
  <c r="L13" i="6" s="1"/>
  <c r="J13" i="6"/>
  <c r="F13" i="6"/>
  <c r="G13" i="6" s="1"/>
  <c r="H13" i="6" s="1"/>
  <c r="R12" i="6"/>
  <c r="S12" i="6" s="1"/>
  <c r="T12" i="6" s="1"/>
  <c r="P12" i="6"/>
  <c r="O12" i="6"/>
  <c r="N12" i="6"/>
  <c r="J12" i="6"/>
  <c r="K12" i="6" s="1"/>
  <c r="L12" i="6" s="1"/>
  <c r="F12" i="6"/>
  <c r="G12" i="6" s="1"/>
  <c r="H12" i="6" s="1"/>
  <c r="R11" i="6"/>
  <c r="S11" i="6" s="1"/>
  <c r="T11" i="6" s="1"/>
  <c r="O11" i="6"/>
  <c r="P11" i="6" s="1"/>
  <c r="N11" i="6"/>
  <c r="K11" i="6"/>
  <c r="L11" i="6" s="1"/>
  <c r="J11" i="6"/>
  <c r="F11" i="6"/>
  <c r="G11" i="6" s="1"/>
  <c r="H11" i="6" s="1"/>
  <c r="R10" i="6"/>
  <c r="S10" i="6" s="1"/>
  <c r="T10" i="6" s="1"/>
  <c r="P10" i="6"/>
  <c r="O10" i="6"/>
  <c r="N10" i="6"/>
  <c r="J10" i="6"/>
  <c r="K10" i="6" s="1"/>
  <c r="L10" i="6" s="1"/>
  <c r="F10" i="6"/>
  <c r="G10" i="6" s="1"/>
  <c r="H10" i="6" s="1"/>
  <c r="R9" i="6"/>
  <c r="S9" i="6" s="1"/>
  <c r="T9" i="6" s="1"/>
  <c r="O9" i="6"/>
  <c r="P9" i="6" s="1"/>
  <c r="N9" i="6"/>
  <c r="K9" i="6"/>
  <c r="L9" i="6" s="1"/>
  <c r="J9" i="6"/>
  <c r="F9" i="6"/>
  <c r="G9" i="6" s="1"/>
  <c r="H9" i="6" s="1"/>
  <c r="R8" i="6"/>
  <c r="S8" i="6" s="1"/>
  <c r="T8" i="6" s="1"/>
  <c r="P8" i="6"/>
  <c r="O8" i="6"/>
  <c r="N8" i="6"/>
  <c r="J8" i="6"/>
  <c r="K8" i="6" s="1"/>
  <c r="L8" i="6" s="1"/>
  <c r="F8" i="6"/>
  <c r="G8" i="6" s="1"/>
  <c r="H8" i="6" s="1"/>
  <c r="R7" i="6"/>
  <c r="S7" i="6" s="1"/>
  <c r="T7" i="6" s="1"/>
  <c r="O7" i="6"/>
  <c r="P7" i="6" s="1"/>
  <c r="N7" i="6"/>
  <c r="K7" i="6"/>
  <c r="L7" i="6" s="1"/>
  <c r="J7" i="6"/>
  <c r="F7" i="6"/>
  <c r="G7" i="6" s="1"/>
  <c r="H7" i="6" s="1"/>
  <c r="R6" i="6"/>
  <c r="S6" i="6" s="1"/>
  <c r="T6" i="6" s="1"/>
  <c r="P6" i="6"/>
  <c r="O6" i="6"/>
  <c r="N6" i="6"/>
  <c r="J6" i="6"/>
  <c r="K6" i="6" s="1"/>
  <c r="L6" i="6" s="1"/>
  <c r="F6" i="6"/>
  <c r="G6" i="6" s="1"/>
  <c r="H6" i="6" s="1"/>
  <c r="R5" i="6"/>
  <c r="S5" i="6" s="1"/>
  <c r="O5" i="6"/>
  <c r="O20" i="6" s="1"/>
  <c r="P25" i="6" s="1"/>
  <c r="N5" i="6"/>
  <c r="N20" i="6" s="1"/>
  <c r="P23" i="6" s="1"/>
  <c r="P24" i="6" s="1"/>
  <c r="K5" i="6"/>
  <c r="K20" i="6" s="1"/>
  <c r="J5" i="6"/>
  <c r="F5" i="6"/>
  <c r="G5" i="6" s="1"/>
  <c r="N20" i="5"/>
  <c r="O20" i="5" s="1"/>
  <c r="P20" i="5" s="1"/>
  <c r="R20" i="5" s="1"/>
  <c r="M20" i="5"/>
  <c r="K20" i="5"/>
  <c r="I20" i="5"/>
  <c r="G20" i="5"/>
  <c r="E20" i="5"/>
  <c r="O19" i="5"/>
  <c r="P19" i="5" s="1"/>
  <c r="R19" i="5" s="1"/>
  <c r="N19" i="5"/>
  <c r="M19" i="5"/>
  <c r="K19" i="5"/>
  <c r="I19" i="5"/>
  <c r="G19" i="5"/>
  <c r="E19" i="5"/>
  <c r="O18" i="5"/>
  <c r="P18" i="5" s="1"/>
  <c r="R18" i="5" s="1"/>
  <c r="N18" i="5"/>
  <c r="M18" i="5"/>
  <c r="K18" i="5"/>
  <c r="I18" i="5"/>
  <c r="G18" i="5"/>
  <c r="E18" i="5"/>
  <c r="N17" i="5"/>
  <c r="O17" i="5" s="1"/>
  <c r="P17" i="5" s="1"/>
  <c r="R17" i="5" s="1"/>
  <c r="M17" i="5"/>
  <c r="K17" i="5"/>
  <c r="I17" i="5"/>
  <c r="G17" i="5"/>
  <c r="E17" i="5"/>
  <c r="N16" i="5"/>
  <c r="O16" i="5" s="1"/>
  <c r="P16" i="5" s="1"/>
  <c r="R16" i="5" s="1"/>
  <c r="M16" i="5"/>
  <c r="K16" i="5"/>
  <c r="I16" i="5"/>
  <c r="G16" i="5"/>
  <c r="E16" i="5"/>
  <c r="O15" i="5"/>
  <c r="P15" i="5" s="1"/>
  <c r="R15" i="5" s="1"/>
  <c r="N15" i="5"/>
  <c r="M15" i="5"/>
  <c r="K15" i="5"/>
  <c r="I15" i="5"/>
  <c r="G15" i="5"/>
  <c r="E15" i="5"/>
  <c r="N14" i="5"/>
  <c r="O14" i="5" s="1"/>
  <c r="P14" i="5" s="1"/>
  <c r="R14" i="5" s="1"/>
  <c r="M14" i="5"/>
  <c r="K14" i="5"/>
  <c r="I14" i="5"/>
  <c r="G14" i="5"/>
  <c r="E14" i="5"/>
  <c r="N13" i="5"/>
  <c r="O13" i="5" s="1"/>
  <c r="P13" i="5" s="1"/>
  <c r="R13" i="5" s="1"/>
  <c r="M13" i="5"/>
  <c r="K13" i="5"/>
  <c r="I13" i="5"/>
  <c r="G13" i="5"/>
  <c r="E13" i="5"/>
  <c r="N12" i="5"/>
  <c r="O12" i="5" s="1"/>
  <c r="P12" i="5" s="1"/>
  <c r="R12" i="5" s="1"/>
  <c r="M12" i="5"/>
  <c r="K12" i="5"/>
  <c r="I12" i="5"/>
  <c r="G12" i="5"/>
  <c r="E12" i="5"/>
  <c r="O11" i="5"/>
  <c r="P11" i="5" s="1"/>
  <c r="R11" i="5" s="1"/>
  <c r="N11" i="5"/>
  <c r="M11" i="5"/>
  <c r="K11" i="5"/>
  <c r="I11" i="5"/>
  <c r="G11" i="5"/>
  <c r="E11" i="5"/>
  <c r="P10" i="5"/>
  <c r="R10" i="5" s="1"/>
  <c r="O10" i="5"/>
  <c r="N10" i="5"/>
  <c r="M10" i="5"/>
  <c r="K10" i="5"/>
  <c r="I10" i="5"/>
  <c r="G10" i="5"/>
  <c r="E10" i="5"/>
  <c r="O9" i="5"/>
  <c r="P9" i="5" s="1"/>
  <c r="R9" i="5" s="1"/>
  <c r="N9" i="5"/>
  <c r="M9" i="5"/>
  <c r="K9" i="5"/>
  <c r="I9" i="5"/>
  <c r="G9" i="5"/>
  <c r="E9" i="5"/>
  <c r="E21" i="5" s="1"/>
  <c r="D22" i="5" s="1"/>
  <c r="D24" i="5" s="1"/>
  <c r="N8" i="5"/>
  <c r="O8" i="5" s="1"/>
  <c r="P8" i="5" s="1"/>
  <c r="R8" i="5" s="1"/>
  <c r="M8" i="5"/>
  <c r="K8" i="5"/>
  <c r="I8" i="5"/>
  <c r="G8" i="5"/>
  <c r="E8" i="5"/>
  <c r="O7" i="5"/>
  <c r="P7" i="5" s="1"/>
  <c r="R7" i="5" s="1"/>
  <c r="N7" i="5"/>
  <c r="M7" i="5"/>
  <c r="K7" i="5"/>
  <c r="I7" i="5"/>
  <c r="G7" i="5"/>
  <c r="E7" i="5"/>
  <c r="N6" i="5"/>
  <c r="O6" i="5" s="1"/>
  <c r="P6" i="5" s="1"/>
  <c r="M6" i="5"/>
  <c r="K6" i="5"/>
  <c r="K21" i="5" s="1"/>
  <c r="J22" i="5" s="1"/>
  <c r="J24" i="5" s="1"/>
  <c r="J26" i="5" s="1"/>
  <c r="I6" i="5"/>
  <c r="I21" i="5" s="1"/>
  <c r="H22" i="5" s="1"/>
  <c r="H24" i="5" s="1"/>
  <c r="H26" i="5" s="1"/>
  <c r="G6" i="5"/>
  <c r="G21" i="5" s="1"/>
  <c r="F22" i="5" s="1"/>
  <c r="F24" i="5" s="1"/>
  <c r="F26" i="5" s="1"/>
  <c r="E6" i="5"/>
  <c r="L20" i="4"/>
  <c r="K20" i="4"/>
  <c r="I20" i="4"/>
  <c r="G20" i="4"/>
  <c r="E20" i="4"/>
  <c r="L19" i="4"/>
  <c r="K19" i="4"/>
  <c r="I19" i="4"/>
  <c r="G19" i="4"/>
  <c r="E19" i="4"/>
  <c r="L18" i="4"/>
  <c r="K18" i="4"/>
  <c r="I18" i="4"/>
  <c r="G18" i="4"/>
  <c r="E18" i="4"/>
  <c r="L17" i="4"/>
  <c r="K17" i="4"/>
  <c r="I17" i="4"/>
  <c r="G17" i="4"/>
  <c r="E17" i="4"/>
  <c r="L16" i="4"/>
  <c r="K16" i="4"/>
  <c r="I16" i="4"/>
  <c r="G16" i="4"/>
  <c r="E16" i="4"/>
  <c r="L15" i="4"/>
  <c r="K15" i="4"/>
  <c r="I15" i="4"/>
  <c r="G15" i="4"/>
  <c r="E15" i="4"/>
  <c r="L14" i="4"/>
  <c r="K14" i="4"/>
  <c r="I14" i="4"/>
  <c r="G14" i="4"/>
  <c r="E14" i="4"/>
  <c r="L13" i="4"/>
  <c r="K13" i="4"/>
  <c r="I13" i="4"/>
  <c r="G13" i="4"/>
  <c r="E13" i="4"/>
  <c r="L12" i="4"/>
  <c r="K12" i="4"/>
  <c r="I12" i="4"/>
  <c r="G12" i="4"/>
  <c r="E12" i="4"/>
  <c r="L11" i="4"/>
  <c r="K11" i="4"/>
  <c r="I11" i="4"/>
  <c r="G11" i="4"/>
  <c r="E11" i="4"/>
  <c r="L10" i="4"/>
  <c r="K10" i="4"/>
  <c r="I10" i="4"/>
  <c r="G10" i="4"/>
  <c r="E10" i="4"/>
  <c r="L9" i="4"/>
  <c r="K9" i="4"/>
  <c r="I9" i="4"/>
  <c r="G9" i="4"/>
  <c r="E9" i="4"/>
  <c r="L8" i="4"/>
  <c r="K8" i="4"/>
  <c r="I8" i="4"/>
  <c r="G8" i="4"/>
  <c r="E8" i="4"/>
  <c r="L7" i="4"/>
  <c r="K7" i="4"/>
  <c r="I7" i="4"/>
  <c r="G7" i="4"/>
  <c r="E7" i="4"/>
  <c r="L6" i="4"/>
  <c r="K6" i="4"/>
  <c r="K21" i="4" s="1"/>
  <c r="J22" i="4" s="1"/>
  <c r="J24" i="4" s="1"/>
  <c r="J26" i="4" s="1"/>
  <c r="I6" i="4"/>
  <c r="I21" i="4" s="1"/>
  <c r="H22" i="4" s="1"/>
  <c r="H24" i="4" s="1"/>
  <c r="H26" i="4" s="1"/>
  <c r="G6" i="4"/>
  <c r="G21" i="4" s="1"/>
  <c r="F22" i="4" s="1"/>
  <c r="F24" i="4" s="1"/>
  <c r="F26" i="4" s="1"/>
  <c r="E6" i="4"/>
  <c r="E21" i="4" s="1"/>
  <c r="D22" i="4" s="1"/>
  <c r="D24" i="4" s="1"/>
  <c r="K20" i="3"/>
  <c r="L20" i="3" s="1"/>
  <c r="N20" i="3" s="1"/>
  <c r="J20" i="3"/>
  <c r="I20" i="3"/>
  <c r="G20" i="3"/>
  <c r="E20" i="3"/>
  <c r="J19" i="3"/>
  <c r="K19" i="3" s="1"/>
  <c r="L19" i="3" s="1"/>
  <c r="N19" i="3" s="1"/>
  <c r="I19" i="3"/>
  <c r="G19" i="3"/>
  <c r="E19" i="3"/>
  <c r="J18" i="3"/>
  <c r="K18" i="3" s="1"/>
  <c r="L18" i="3" s="1"/>
  <c r="N18" i="3" s="1"/>
  <c r="I18" i="3"/>
  <c r="G18" i="3"/>
  <c r="E18" i="3"/>
  <c r="J17" i="3"/>
  <c r="K17" i="3" s="1"/>
  <c r="L17" i="3" s="1"/>
  <c r="N17" i="3" s="1"/>
  <c r="I17" i="3"/>
  <c r="G17" i="3"/>
  <c r="E17" i="3"/>
  <c r="J16" i="3"/>
  <c r="K16" i="3" s="1"/>
  <c r="L16" i="3" s="1"/>
  <c r="N16" i="3" s="1"/>
  <c r="I16" i="3"/>
  <c r="G16" i="3"/>
  <c r="E16" i="3"/>
  <c r="K15" i="3"/>
  <c r="L15" i="3" s="1"/>
  <c r="N15" i="3" s="1"/>
  <c r="J15" i="3"/>
  <c r="I15" i="3"/>
  <c r="G15" i="3"/>
  <c r="E15" i="3"/>
  <c r="J14" i="3"/>
  <c r="K14" i="3" s="1"/>
  <c r="L14" i="3" s="1"/>
  <c r="N14" i="3" s="1"/>
  <c r="I14" i="3"/>
  <c r="G14" i="3"/>
  <c r="E14" i="3"/>
  <c r="J13" i="3"/>
  <c r="K13" i="3" s="1"/>
  <c r="L13" i="3" s="1"/>
  <c r="N13" i="3" s="1"/>
  <c r="I13" i="3"/>
  <c r="I21" i="3" s="1"/>
  <c r="H22" i="3" s="1"/>
  <c r="H24" i="3" s="1"/>
  <c r="H26" i="3" s="1"/>
  <c r="G13" i="3"/>
  <c r="E13" i="3"/>
  <c r="K12" i="3"/>
  <c r="L12" i="3" s="1"/>
  <c r="N12" i="3" s="1"/>
  <c r="J12" i="3"/>
  <c r="I12" i="3"/>
  <c r="G12" i="3"/>
  <c r="E12" i="3"/>
  <c r="J11" i="3"/>
  <c r="K11" i="3" s="1"/>
  <c r="L11" i="3" s="1"/>
  <c r="N11" i="3" s="1"/>
  <c r="I11" i="3"/>
  <c r="G11" i="3"/>
  <c r="E11" i="3"/>
  <c r="J10" i="3"/>
  <c r="K10" i="3" s="1"/>
  <c r="L10" i="3" s="1"/>
  <c r="N10" i="3" s="1"/>
  <c r="I10" i="3"/>
  <c r="G10" i="3"/>
  <c r="E10" i="3"/>
  <c r="K9" i="3"/>
  <c r="L9" i="3" s="1"/>
  <c r="N9" i="3" s="1"/>
  <c r="J9" i="3"/>
  <c r="I9" i="3"/>
  <c r="G9" i="3"/>
  <c r="E9" i="3"/>
  <c r="J8" i="3"/>
  <c r="K8" i="3" s="1"/>
  <c r="L8" i="3" s="1"/>
  <c r="N8" i="3" s="1"/>
  <c r="I8" i="3"/>
  <c r="G8" i="3"/>
  <c r="E8" i="3"/>
  <c r="K7" i="3"/>
  <c r="L7" i="3" s="1"/>
  <c r="N7" i="3" s="1"/>
  <c r="J7" i="3"/>
  <c r="I7" i="3"/>
  <c r="G7" i="3"/>
  <c r="E7" i="3"/>
  <c r="J6" i="3"/>
  <c r="K6" i="3" s="1"/>
  <c r="L6" i="3" s="1"/>
  <c r="I6" i="3"/>
  <c r="G6" i="3"/>
  <c r="G21" i="3" s="1"/>
  <c r="F22" i="3" s="1"/>
  <c r="F24" i="3" s="1"/>
  <c r="F26" i="3" s="1"/>
  <c r="E6" i="3"/>
  <c r="E21" i="3" s="1"/>
  <c r="D22" i="3" s="1"/>
  <c r="D24" i="3" s="1"/>
  <c r="K20" i="2"/>
  <c r="L20" i="2" s="1"/>
  <c r="N20" i="2" s="1"/>
  <c r="J20" i="2"/>
  <c r="I20" i="2"/>
  <c r="G20" i="2"/>
  <c r="E20" i="2"/>
  <c r="J19" i="2"/>
  <c r="K19" i="2" s="1"/>
  <c r="L19" i="2" s="1"/>
  <c r="N19" i="2" s="1"/>
  <c r="I19" i="2"/>
  <c r="G19" i="2"/>
  <c r="E19" i="2"/>
  <c r="J18" i="2"/>
  <c r="K18" i="2" s="1"/>
  <c r="L18" i="2" s="1"/>
  <c r="N18" i="2" s="1"/>
  <c r="I18" i="2"/>
  <c r="G18" i="2"/>
  <c r="E18" i="2"/>
  <c r="J17" i="2"/>
  <c r="K17" i="2" s="1"/>
  <c r="L17" i="2" s="1"/>
  <c r="N17" i="2" s="1"/>
  <c r="I17" i="2"/>
  <c r="G17" i="2"/>
  <c r="E17" i="2"/>
  <c r="J16" i="2"/>
  <c r="K16" i="2" s="1"/>
  <c r="L16" i="2" s="1"/>
  <c r="N16" i="2" s="1"/>
  <c r="I16" i="2"/>
  <c r="G16" i="2"/>
  <c r="E16" i="2"/>
  <c r="J15" i="2"/>
  <c r="K15" i="2" s="1"/>
  <c r="L15" i="2" s="1"/>
  <c r="N15" i="2" s="1"/>
  <c r="I15" i="2"/>
  <c r="G15" i="2"/>
  <c r="E15" i="2"/>
  <c r="J14" i="2"/>
  <c r="K14" i="2" s="1"/>
  <c r="L14" i="2" s="1"/>
  <c r="N14" i="2" s="1"/>
  <c r="I14" i="2"/>
  <c r="G14" i="2"/>
  <c r="E14" i="2"/>
  <c r="J13" i="2"/>
  <c r="K13" i="2" s="1"/>
  <c r="L13" i="2" s="1"/>
  <c r="N13" i="2" s="1"/>
  <c r="I13" i="2"/>
  <c r="G13" i="2"/>
  <c r="E13" i="2"/>
  <c r="K12" i="2"/>
  <c r="L12" i="2" s="1"/>
  <c r="N12" i="2" s="1"/>
  <c r="J12" i="2"/>
  <c r="I12" i="2"/>
  <c r="G12" i="2"/>
  <c r="E12" i="2"/>
  <c r="J11" i="2"/>
  <c r="K11" i="2" s="1"/>
  <c r="L11" i="2" s="1"/>
  <c r="N11" i="2" s="1"/>
  <c r="I11" i="2"/>
  <c r="G11" i="2"/>
  <c r="E11" i="2"/>
  <c r="J10" i="2"/>
  <c r="K10" i="2" s="1"/>
  <c r="L10" i="2" s="1"/>
  <c r="N10" i="2" s="1"/>
  <c r="I10" i="2"/>
  <c r="G10" i="2"/>
  <c r="E10" i="2"/>
  <c r="J9" i="2"/>
  <c r="K9" i="2" s="1"/>
  <c r="L9" i="2" s="1"/>
  <c r="N9" i="2" s="1"/>
  <c r="I9" i="2"/>
  <c r="G9" i="2"/>
  <c r="E9" i="2"/>
  <c r="J8" i="2"/>
  <c r="K8" i="2" s="1"/>
  <c r="L8" i="2" s="1"/>
  <c r="N8" i="2" s="1"/>
  <c r="I8" i="2"/>
  <c r="G8" i="2"/>
  <c r="E8" i="2"/>
  <c r="J7" i="2"/>
  <c r="K7" i="2" s="1"/>
  <c r="L7" i="2" s="1"/>
  <c r="N7" i="2" s="1"/>
  <c r="I7" i="2"/>
  <c r="G7" i="2"/>
  <c r="E7" i="2"/>
  <c r="J6" i="2"/>
  <c r="K6" i="2" s="1"/>
  <c r="L6" i="2" s="1"/>
  <c r="I6" i="2"/>
  <c r="I21" i="2" s="1"/>
  <c r="H22" i="2" s="1"/>
  <c r="H24" i="2" s="1"/>
  <c r="H26" i="2" s="1"/>
  <c r="G6" i="2"/>
  <c r="G21" i="2" s="1"/>
  <c r="F22" i="2" s="1"/>
  <c r="F24" i="2" s="1"/>
  <c r="F26" i="2" s="1"/>
  <c r="E6" i="2"/>
  <c r="E21" i="2" s="1"/>
  <c r="D22" i="2" s="1"/>
  <c r="D24" i="2" s="1"/>
  <c r="Q3" i="8" l="1"/>
  <c r="Q5" i="8"/>
  <c r="P5" i="8"/>
  <c r="P6" i="8"/>
  <c r="Q4" i="8"/>
  <c r="Q6" i="8"/>
  <c r="O25" i="7"/>
  <c r="M21" i="5"/>
  <c r="L22" i="5" s="1"/>
  <c r="L24" i="5" s="1"/>
  <c r="L26" i="5" s="1"/>
  <c r="F21" i="7"/>
  <c r="F24" i="7" s="1"/>
  <c r="F25" i="7" s="1"/>
  <c r="I21" i="7"/>
  <c r="I24" i="7" s="1"/>
  <c r="I25" i="7" s="1"/>
  <c r="L21" i="7"/>
  <c r="L24" i="7" s="1"/>
  <c r="L25" i="7" s="1"/>
  <c r="H5" i="6"/>
  <c r="H20" i="6" s="1"/>
  <c r="G20" i="6"/>
  <c r="T5" i="6"/>
  <c r="T20" i="6" s="1"/>
  <c r="T26" i="6" s="1"/>
  <c r="T27" i="6" s="1"/>
  <c r="T28" i="6" s="1"/>
  <c r="T32" i="6" s="1"/>
  <c r="S20" i="6"/>
  <c r="T25" i="6" s="1"/>
  <c r="L5" i="6"/>
  <c r="L20" i="6" s="1"/>
  <c r="L26" i="6" s="1"/>
  <c r="R20" i="6"/>
  <c r="T23" i="6" s="1"/>
  <c r="T24" i="6" s="1"/>
  <c r="J20" i="6"/>
  <c r="L23" i="6" s="1"/>
  <c r="L24" i="6" s="1"/>
  <c r="P5" i="6"/>
  <c r="P20" i="6" s="1"/>
  <c r="P26" i="6" s="1"/>
  <c r="P27" i="6" s="1"/>
  <c r="P28" i="6" s="1"/>
  <c r="F20" i="6"/>
  <c r="H23" i="6" s="1"/>
  <c r="H24" i="6" s="1"/>
  <c r="R6" i="5"/>
  <c r="R21" i="5" s="1"/>
  <c r="P21" i="5"/>
  <c r="P23" i="5" s="1"/>
  <c r="D26" i="5"/>
  <c r="O26" i="5" s="1"/>
  <c r="P21" i="4"/>
  <c r="N21" i="4"/>
  <c r="N23" i="4" s="1"/>
  <c r="M24" i="4"/>
  <c r="P24" i="4" s="1"/>
  <c r="D26" i="4"/>
  <c r="M26" i="4" s="1"/>
  <c r="N6" i="3"/>
  <c r="N21" i="3" s="1"/>
  <c r="N23" i="3" s="1"/>
  <c r="L21" i="3"/>
  <c r="L23" i="3" s="1"/>
  <c r="D26" i="3"/>
  <c r="K26" i="3" s="1"/>
  <c r="K24" i="3"/>
  <c r="N24" i="3" s="1"/>
  <c r="K24" i="2"/>
  <c r="N24" i="2" s="1"/>
  <c r="D26" i="2"/>
  <c r="K26" i="2" s="1"/>
  <c r="N26" i="2" s="1"/>
  <c r="L21" i="2"/>
  <c r="L23" i="2" s="1"/>
  <c r="N6" i="2"/>
  <c r="N21" i="2" s="1"/>
  <c r="N23" i="2" s="1"/>
  <c r="N26" i="3" l="1"/>
  <c r="O24" i="5"/>
  <c r="R24" i="5" s="1"/>
  <c r="R26" i="5"/>
  <c r="P23" i="4"/>
  <c r="H25" i="6"/>
  <c r="H27" i="6" s="1"/>
  <c r="H28" i="6" s="1"/>
  <c r="H32" i="6" s="1"/>
  <c r="L25" i="6"/>
  <c r="L27" i="6" s="1"/>
  <c r="L28" i="6" s="1"/>
  <c r="L32" i="6" s="1"/>
  <c r="R23" i="5"/>
  <c r="P26" i="4"/>
</calcChain>
</file>

<file path=xl/sharedStrings.xml><?xml version="1.0" encoding="utf-8"?>
<sst xmlns="http://schemas.openxmlformats.org/spreadsheetml/2006/main" count="312" uniqueCount="133">
  <si>
    <t>WL1</t>
  </si>
  <si>
    <t>WL2</t>
  </si>
  <si>
    <t>WL3</t>
  </si>
  <si>
    <t>WL4</t>
  </si>
  <si>
    <t>WL5</t>
  </si>
  <si>
    <t>Deck At Side</t>
  </si>
  <si>
    <t>BTK1</t>
  </si>
  <si>
    <t>BTK2</t>
  </si>
  <si>
    <t>BTK3</t>
  </si>
  <si>
    <t>BTK4</t>
  </si>
  <si>
    <t>BTK5</t>
  </si>
  <si>
    <t xml:space="preserve">                                                              Half Breadth (mm)</t>
  </si>
  <si>
    <t>Height above Base Line (mm)</t>
  </si>
  <si>
    <t>Station</t>
  </si>
  <si>
    <t>Keel</t>
  </si>
  <si>
    <t xml:space="preserve">        -</t>
  </si>
  <si>
    <t>-</t>
  </si>
  <si>
    <t xml:space="preserve">          -</t>
  </si>
  <si>
    <t xml:space="preserve">         -</t>
  </si>
  <si>
    <t xml:space="preserve">  -</t>
  </si>
  <si>
    <t>WL Spacing</t>
  </si>
  <si>
    <t>St. Spacing</t>
  </si>
  <si>
    <t>BTK Spacing</t>
  </si>
  <si>
    <t>mm</t>
  </si>
  <si>
    <t>Water planes</t>
  </si>
  <si>
    <t>SM</t>
  </si>
  <si>
    <t xml:space="preserve">Area products for sectional area </t>
  </si>
  <si>
    <t>Sectional area below waterline</t>
  </si>
  <si>
    <t xml:space="preserve">Volume function </t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</si>
  <si>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</si>
  <si>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t>y x SM</t>
  </si>
  <si>
    <r>
      <rPr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</si>
  <si>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</si>
  <si>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t>VOLUME</t>
  </si>
  <si>
    <t>LCB</t>
  </si>
  <si>
    <t>VCB</t>
  </si>
  <si>
    <t>Section</t>
  </si>
  <si>
    <t>y</t>
  </si>
  <si>
    <t>Sections</t>
  </si>
  <si>
    <t>Levers from amidsips (x)</t>
  </si>
  <si>
    <r>
      <t>y</t>
    </r>
    <r>
      <rPr>
        <sz val="11"/>
        <color theme="1"/>
        <rFont val="Calibri"/>
        <family val="2"/>
        <scheme val="minor"/>
      </rPr>
      <t>´sm</t>
    </r>
  </si>
  <si>
    <r>
      <t>(y</t>
    </r>
    <r>
      <rPr>
        <sz val="11"/>
        <color theme="1"/>
        <rFont val="Calibri"/>
        <family val="2"/>
        <scheme val="minor"/>
      </rPr>
      <t>´sm) x</t>
    </r>
  </si>
  <si>
    <r>
      <t>(y</t>
    </r>
    <r>
      <rPr>
        <sz val="11"/>
        <color theme="1"/>
        <rFont val="Calibri"/>
        <family val="2"/>
        <scheme val="minor"/>
      </rPr>
      <t>´sm) x</t>
    </r>
    <r>
      <rPr>
        <vertAlign val="superscript"/>
        <sz val="11"/>
        <color theme="1"/>
        <rFont val="Calibri"/>
        <family val="2"/>
        <scheme val="minor"/>
      </rPr>
      <t>2</t>
    </r>
  </si>
  <si>
    <t>TOTALS</t>
  </si>
  <si>
    <t xml:space="preserve">Displacement </t>
  </si>
  <si>
    <t>TPC</t>
  </si>
  <si>
    <t>LCF from Amidship</t>
  </si>
  <si>
    <t>Length</t>
  </si>
  <si>
    <t>Δ</t>
  </si>
  <si>
    <t>MCT 1 cm</t>
  </si>
  <si>
    <r>
      <t>y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</si>
  <si>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r>
      <t>y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X SM</t>
    </r>
  </si>
  <si>
    <t>Summation of y3 x SM</t>
  </si>
  <si>
    <t xml:space="preserve"> </t>
  </si>
  <si>
    <t>H</t>
  </si>
  <si>
    <t>I</t>
  </si>
  <si>
    <r>
      <t>BM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</si>
  <si>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Displacement (ton)</t>
  </si>
  <si>
    <t>VCB (m)</t>
  </si>
  <si>
    <t>LCB (m from amidship)</t>
  </si>
  <si>
    <r>
      <t>BM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(m)</t>
    </r>
  </si>
  <si>
    <r>
      <t>BM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(m)</t>
    </r>
  </si>
  <si>
    <t>MCTC (t-m/cm)</t>
  </si>
  <si>
    <t>CB</t>
  </si>
  <si>
    <t>CP</t>
  </si>
  <si>
    <t>CM</t>
  </si>
  <si>
    <t>Displacement</t>
  </si>
  <si>
    <t>LCF</t>
  </si>
  <si>
    <t>MCTC</t>
  </si>
  <si>
    <t>BMT (m)</t>
  </si>
  <si>
    <t>BMT</t>
  </si>
  <si>
    <t>BML</t>
  </si>
  <si>
    <t>Waterplane Area, Displacement, LCB, VCB Calculation for WL-0.5</t>
  </si>
  <si>
    <t>Levers</t>
  </si>
  <si>
    <t>Moments about amidship</t>
  </si>
  <si>
    <t>Sum of the Area Products of Water Plane 0</t>
  </si>
  <si>
    <t>Sum of the Area Products of Water Plane 0.5</t>
  </si>
  <si>
    <t>Sum of the Area Products of Water Plane 1</t>
  </si>
  <si>
    <t>Summation of Volume Functions</t>
  </si>
  <si>
    <t>Summation of Moments</t>
  </si>
  <si>
    <t>Summation of Volume Products</t>
  </si>
  <si>
    <t xml:space="preserve">Summation of Moments </t>
  </si>
  <si>
    <t>Volume Products</t>
  </si>
  <si>
    <t xml:space="preserve"> Moment about Keel</t>
  </si>
  <si>
    <t xml:space="preserve">Distance between Two Consecutive Sections </t>
  </si>
  <si>
    <t>Distance between Two Consecutive Waterlines</t>
  </si>
  <si>
    <t>Waterplane Area, Displacement, LCB, VCB Calculation for WL-2</t>
  </si>
  <si>
    <t xml:space="preserve">Area Products for Sectional Area </t>
  </si>
  <si>
    <t>Sectional Area Below Waterline</t>
  </si>
  <si>
    <t xml:space="preserve">Volume Function </t>
  </si>
  <si>
    <t>Moments about Amidship</t>
  </si>
  <si>
    <t xml:space="preserve">Different Totals </t>
  </si>
  <si>
    <t>Waterplane Area</t>
  </si>
  <si>
    <t xml:space="preserve"> Waterplane Area, Displacement, LCB, VCB Calculation for WL-03</t>
  </si>
  <si>
    <t xml:space="preserve"> Waterplane Area, Displacement, LCB, VCB Calculation for WL-04</t>
  </si>
  <si>
    <t>Sum of the Area Products of Water Plane 2</t>
  </si>
  <si>
    <t>Sum of the Area Products of Water Plane 3</t>
  </si>
  <si>
    <t>Distance between Two Sections</t>
  </si>
  <si>
    <t xml:space="preserve">Moment of Inertia about the Amidship </t>
  </si>
  <si>
    <t>Moment of Inertia about the LCF</t>
  </si>
  <si>
    <r>
      <t>Longitudinal Metacenter, BM</t>
    </r>
    <r>
      <rPr>
        <b/>
        <vertAlign val="subscript"/>
        <sz val="11"/>
        <color theme="1"/>
        <rFont val="Calibri"/>
        <family val="2"/>
        <scheme val="minor"/>
      </rPr>
      <t>L</t>
    </r>
  </si>
  <si>
    <t>Density of Fresh Water  (t/m^3)</t>
  </si>
  <si>
    <t>WL 1 to WL 4: LCF and BML Calculations</t>
  </si>
  <si>
    <t>Waterlines above Base Line</t>
  </si>
  <si>
    <t xml:space="preserve">Distance between Two Stations </t>
  </si>
  <si>
    <t>Displacement of Ship</t>
  </si>
  <si>
    <t>Moment of Inertia</t>
  </si>
  <si>
    <t xml:space="preserve">Transverse Metacentric Height </t>
  </si>
  <si>
    <t>For Waterplane 1</t>
  </si>
  <si>
    <t>For Waterplane 2</t>
  </si>
  <si>
    <t>For Waterplane 3</t>
  </si>
  <si>
    <t>For Waterplane 4</t>
  </si>
  <si>
    <r>
      <t>Transverse metacentric height, BM</t>
    </r>
    <r>
      <rPr>
        <b/>
        <vertAlign val="subscript"/>
        <sz val="22"/>
        <color theme="1"/>
        <rFont val="Calibri"/>
        <family val="2"/>
        <scheme val="minor"/>
      </rPr>
      <t>T</t>
    </r>
    <r>
      <rPr>
        <b/>
        <sz val="22"/>
        <color theme="1"/>
        <rFont val="Calibri"/>
        <family val="2"/>
        <scheme val="minor"/>
      </rPr>
      <t xml:space="preserve"> calculation</t>
    </r>
  </si>
  <si>
    <t>Waterline</t>
  </si>
  <si>
    <t>Position of Waterline (m)</t>
  </si>
  <si>
    <t>LCF (m from amidship)</t>
  </si>
  <si>
    <t>KML</t>
  </si>
  <si>
    <t>KMT</t>
  </si>
  <si>
    <t>WPA</t>
  </si>
  <si>
    <t>TPC (tonnes/cm)</t>
  </si>
  <si>
    <t>KML (m)</t>
  </si>
  <si>
    <t>KMT (m)</t>
  </si>
  <si>
    <t>Draft</t>
  </si>
  <si>
    <t>Midship</t>
  </si>
  <si>
    <t>WL-1</t>
  </si>
  <si>
    <t>WL-2</t>
  </si>
  <si>
    <t>WL-3</t>
  </si>
  <si>
    <t>WL-4</t>
  </si>
  <si>
    <t>Displacement (tonnes)</t>
  </si>
  <si>
    <t>BML (m )</t>
  </si>
  <si>
    <t>W.P.A (m^2)</t>
  </si>
  <si>
    <t>LCB (m forward of amidship)</t>
  </si>
  <si>
    <t>LCF (m forward of amidship)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</si>
</sst>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2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7" xfId="0" applyFont="1" applyBorder="1"/>
    <xf numFmtId="0" fontId="4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Border="1"/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/>
    <xf numFmtId="0" fontId="0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 wrapText="1"/>
    </xf>
    <xf numFmtId="164" fontId="0" fillId="0" borderId="8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center" vertical="center" wrapText="1"/>
    </xf>
    <xf numFmtId="164" fontId="3" fillId="0" borderId="8" xfId="1" applyNumberFormat="1" applyFont="1" applyFill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vertical="center"/>
    </xf>
    <xf numFmtId="164" fontId="3" fillId="0" borderId="8" xfId="0" applyNumberFormat="1" applyFont="1" applyFill="1" applyBorder="1" applyAlignment="1">
      <alignment vertical="center" wrapText="1"/>
    </xf>
    <xf numFmtId="164" fontId="3" fillId="0" borderId="8" xfId="1" applyNumberFormat="1" applyFont="1" applyFill="1" applyBorder="1" applyAlignment="1">
      <alignment vertical="center"/>
    </xf>
    <xf numFmtId="164" fontId="0" fillId="0" borderId="8" xfId="1" applyNumberFormat="1" applyFont="1" applyFill="1" applyBorder="1" applyAlignment="1">
      <alignment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2" fontId="3" fillId="0" borderId="8" xfId="1" applyNumberFormat="1" applyFont="1" applyFill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textRotation="90" wrapText="1"/>
    </xf>
    <xf numFmtId="0" fontId="0" fillId="0" borderId="13" xfId="0" applyNumberFormat="1" applyFont="1" applyBorder="1" applyAlignment="1">
      <alignment horizontal="center" vertical="center" textRotation="90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11" fontId="0" fillId="0" borderId="7" xfId="0" applyNumberFormat="1" applyFont="1" applyBorder="1" applyAlignment="1">
      <alignment horizontal="center" vertical="center"/>
    </xf>
    <xf numFmtId="11" fontId="0" fillId="0" borderId="8" xfId="0" applyNumberFormat="1" applyFont="1" applyBorder="1" applyAlignment="1">
      <alignment horizontal="center" vertical="center"/>
    </xf>
    <xf numFmtId="11" fontId="0" fillId="0" borderId="9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textRotation="90"/>
    </xf>
    <xf numFmtId="0" fontId="0" fillId="0" borderId="8" xfId="0" applyNumberFormat="1" applyFont="1" applyBorder="1" applyAlignment="1">
      <alignment horizontal="center" vertical="center" textRotation="90" wrapText="1"/>
    </xf>
    <xf numFmtId="164" fontId="0" fillId="0" borderId="8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/>
    <xf numFmtId="164" fontId="0" fillId="0" borderId="8" xfId="0" applyNumberFormat="1" applyFont="1" applyBorder="1"/>
    <xf numFmtId="164" fontId="0" fillId="0" borderId="9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vertical="center"/>
    </xf>
    <xf numFmtId="0" fontId="0" fillId="0" borderId="15" xfId="0" applyNumberFormat="1" applyFont="1" applyBorder="1" applyAlignment="1">
      <alignment horizontal="center" vertical="center" textRotation="90"/>
    </xf>
    <xf numFmtId="0" fontId="0" fillId="0" borderId="19" xfId="0" applyNumberFormat="1" applyFont="1" applyBorder="1" applyAlignment="1">
      <alignment horizontal="center" vertical="center" textRotation="90"/>
    </xf>
    <xf numFmtId="0" fontId="12" fillId="0" borderId="8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0" fillId="0" borderId="6" xfId="0" applyNumberFormat="1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 vs. Displacement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Curves'!$C$13:$C$16</c:f>
              <c:numCache>
                <c:formatCode>0.000</c:formatCode>
                <c:ptCount val="4"/>
                <c:pt idx="0">
                  <c:v>420.73700000000002</c:v>
                </c:pt>
                <c:pt idx="1">
                  <c:v>1226.9010000000001</c:v>
                </c:pt>
                <c:pt idx="2">
                  <c:v>1996.59</c:v>
                </c:pt>
                <c:pt idx="3">
                  <c:v>2993.1280000000002</c:v>
                </c:pt>
              </c:numCache>
            </c:numRef>
          </c:xVal>
          <c:yVal>
            <c:numRef>
              <c:f>'Separated Hydrostatic Curves'!$D$13:$D$16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3-4590-ABB0-419DBB36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72720"/>
        <c:axId val="575875280"/>
      </c:scatterChart>
      <c:valAx>
        <c:axId val="57587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(tonnes)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75280"/>
        <c:crosses val="autoZero"/>
        <c:crossBetween val="midCat"/>
      </c:valAx>
      <c:valAx>
        <c:axId val="5758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vs. WPA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Curves'!$U$67:$U$70</c:f>
              <c:numCache>
                <c:formatCode>0.000</c:formatCode>
                <c:ptCount val="4"/>
                <c:pt idx="0">
                  <c:v>661.33</c:v>
                </c:pt>
                <c:pt idx="1">
                  <c:v>700.77499999999998</c:v>
                </c:pt>
                <c:pt idx="2">
                  <c:v>753.904</c:v>
                </c:pt>
                <c:pt idx="3">
                  <c:v>775.06100000000004</c:v>
                </c:pt>
              </c:numCache>
            </c:numRef>
          </c:xVal>
          <c:yVal>
            <c:numRef>
              <c:f>'Separated Hydrostatic Curves'!$V$67:$V$70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6-4913-8858-7B5C17DB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68272"/>
        <c:axId val="595367632"/>
      </c:scatterChart>
      <c:valAx>
        <c:axId val="5953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WPA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7632"/>
        <c:crosses val="autoZero"/>
        <c:crossBetween val="midCat"/>
      </c:valAx>
      <c:valAx>
        <c:axId val="5953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vs BMt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[1]Summary!$AB$124:$AB$128</c:f>
              <c:numCache>
                <c:formatCode>0.000</c:formatCode>
                <c:ptCount val="5"/>
                <c:pt idx="0">
                  <c:v>16.170162834434333</c:v>
                </c:pt>
                <c:pt idx="1">
                  <c:v>6.293587292219474</c:v>
                </c:pt>
                <c:pt idx="2">
                  <c:v>4.1236971524455504</c:v>
                </c:pt>
                <c:pt idx="3">
                  <c:v>2.8585124373588608</c:v>
                </c:pt>
                <c:pt idx="4">
                  <c:v>2.2349999999999999</c:v>
                </c:pt>
              </c:numCache>
            </c:numRef>
          </c:xVal>
          <c:yVal>
            <c:numRef>
              <c:f>[1]Summary!$AC$124:$AC$128</c:f>
              <c:numCache>
                <c:formatCode>0.000</c:formatCode>
                <c:ptCount val="5"/>
                <c:pt idx="0">
                  <c:v>0.9</c:v>
                </c:pt>
                <c:pt idx="1">
                  <c:v>1.8</c:v>
                </c:pt>
                <c:pt idx="2">
                  <c:v>2.7</c:v>
                </c:pt>
                <c:pt idx="3">
                  <c:v>3.6</c:v>
                </c:pt>
                <c:pt idx="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42EA-84E3-8CD6D14B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99696"/>
        <c:axId val="613800656"/>
      </c:scatterChart>
      <c:valAx>
        <c:axId val="6137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0656"/>
        <c:crosses val="autoZero"/>
        <c:crossBetween val="midCat"/>
      </c:valAx>
      <c:valAx>
        <c:axId val="6138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vs. BML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Curves'!$B$95:$B$98</c:f>
              <c:numCache>
                <c:formatCode>0.000</c:formatCode>
                <c:ptCount val="4"/>
                <c:pt idx="0">
                  <c:v>589.31700000000001</c:v>
                </c:pt>
                <c:pt idx="1">
                  <c:v>227.12100000000001</c:v>
                </c:pt>
                <c:pt idx="2">
                  <c:v>173.22900000000001</c:v>
                </c:pt>
                <c:pt idx="3">
                  <c:v>124.685</c:v>
                </c:pt>
              </c:numCache>
            </c:numRef>
          </c:xVal>
          <c:yVal>
            <c:numRef>
              <c:f>'Separated Hydrostatic Curves'!$C$95:$C$98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1-400D-9908-3F37D86A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24816"/>
        <c:axId val="421825136"/>
      </c:scatterChart>
      <c:valAx>
        <c:axId val="4218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BML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25136"/>
        <c:crosses val="autoZero"/>
        <c:crossBetween val="midCat"/>
      </c:valAx>
      <c:valAx>
        <c:axId val="4218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vs. KML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Curves'!$N$96:$N$99</c:f>
              <c:numCache>
                <c:formatCode>0.000</c:formatCode>
                <c:ptCount val="4"/>
                <c:pt idx="0">
                  <c:v>590.78599999999994</c:v>
                </c:pt>
                <c:pt idx="1">
                  <c:v>228.46</c:v>
                </c:pt>
                <c:pt idx="2">
                  <c:v>174.09</c:v>
                </c:pt>
                <c:pt idx="3">
                  <c:v>124.41200000000001</c:v>
                </c:pt>
              </c:numCache>
            </c:numRef>
          </c:xVal>
          <c:yVal>
            <c:numRef>
              <c:f>'Separated Hydrostatic Curves'!$O$96:$O$99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69-4E13-88F3-A8D420C5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87224"/>
        <c:axId val="609690104"/>
      </c:scatterChart>
      <c:valAx>
        <c:axId val="60968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KML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0104"/>
        <c:crosses val="autoZero"/>
        <c:crossBetween val="midCat"/>
      </c:valAx>
      <c:valAx>
        <c:axId val="6096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vs. KMT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Curves'!$Y$96:$Y$99</c:f>
              <c:numCache>
                <c:formatCode>0.000</c:formatCode>
                <c:ptCount val="4"/>
                <c:pt idx="0">
                  <c:v>14.162000000000001</c:v>
                </c:pt>
                <c:pt idx="1">
                  <c:v>6.48</c:v>
                </c:pt>
                <c:pt idx="2">
                  <c:v>5.2939999999999996</c:v>
                </c:pt>
                <c:pt idx="3">
                  <c:v>4.806</c:v>
                </c:pt>
              </c:numCache>
            </c:numRef>
          </c:xVal>
          <c:yVal>
            <c:numRef>
              <c:f>'Separated Hydrostatic Curves'!$Z$96:$Z$99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8-433A-8C99-8B286BFA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87544"/>
        <c:axId val="609687864"/>
      </c:scatterChart>
      <c:valAx>
        <c:axId val="60968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864"/>
        <c:crosses val="autoZero"/>
        <c:crossBetween val="midCat"/>
      </c:valAx>
      <c:valAx>
        <c:axId val="6096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Displacement (*10^-2) (tonnes)</c:v>
          </c:tx>
          <c:spPr>
            <a:ln w="9525" cap="rnd">
              <a:solidFill>
                <a:srgbClr val="CC99FF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CC99FF"/>
                </a:solidFill>
                <a:round/>
              </a:ln>
              <a:effectLst/>
            </c:spPr>
          </c:marker>
          <c:xVal>
            <c:numRef>
              <c:f>[3]Sheet1!$G$6:$G$9</c:f>
              <c:numCache>
                <c:formatCode>General</c:formatCode>
                <c:ptCount val="4"/>
                <c:pt idx="0">
                  <c:v>5.6327523196077767</c:v>
                </c:pt>
                <c:pt idx="1">
                  <c:v>12.371945232235559</c:v>
                </c:pt>
                <c:pt idx="2">
                  <c:v>19.415214623980003</c:v>
                </c:pt>
                <c:pt idx="3">
                  <c:v>27.028586511235563</c:v>
                </c:pt>
              </c:numCache>
            </c:numRef>
          </c:xVal>
          <c:yVal>
            <c:numRef>
              <c:f>[3]Sheet1!$AE$6:$AE$9</c:f>
              <c:numCache>
                <c:formatCode>General</c:formatCode>
                <c:ptCount val="4"/>
                <c:pt idx="0">
                  <c:v>0.8</c:v>
                </c:pt>
                <c:pt idx="1">
                  <c:v>1.6</c:v>
                </c:pt>
                <c:pt idx="2">
                  <c:v>2.4</c:v>
                </c:pt>
                <c:pt idx="3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6-44EA-98FC-720B31C1EF94}"/>
            </c:ext>
          </c:extLst>
        </c:ser>
        <c:ser>
          <c:idx val="1"/>
          <c:order val="1"/>
          <c:tx>
            <c:v>VCB (m)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'Merged Hydrostatic Curves'!$H$6:$H$9</c:f>
              <c:numCache>
                <c:formatCode>General</c:formatCode>
                <c:ptCount val="4"/>
                <c:pt idx="0">
                  <c:v>0.93200000000000005</c:v>
                </c:pt>
                <c:pt idx="1">
                  <c:v>1.33</c:v>
                </c:pt>
                <c:pt idx="2">
                  <c:v>1.92</c:v>
                </c:pt>
                <c:pt idx="3">
                  <c:v>2.4670000000000001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6-44EA-98FC-720B31C1EF94}"/>
            </c:ext>
          </c:extLst>
        </c:ser>
        <c:ser>
          <c:idx val="3"/>
          <c:order val="2"/>
          <c:tx>
            <c:v>TPC (tonnes/cm)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'Merged Hydrostatic Curves'!$I$6:$I$9</c:f>
              <c:numCache>
                <c:formatCode>General</c:formatCode>
                <c:ptCount val="4"/>
                <c:pt idx="0">
                  <c:v>6.6130000000000004</c:v>
                </c:pt>
                <c:pt idx="1">
                  <c:v>7.008</c:v>
                </c:pt>
                <c:pt idx="2">
                  <c:v>7.5389999999999997</c:v>
                </c:pt>
                <c:pt idx="3">
                  <c:v>7.7510000000000003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6-44EA-98FC-720B31C1EF94}"/>
            </c:ext>
          </c:extLst>
        </c:ser>
        <c:ser>
          <c:idx val="2"/>
          <c:order val="3"/>
          <c:tx>
            <c:v>MCTC (t-m/cm)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3399"/>
                </a:solidFill>
                <a:round/>
              </a:ln>
              <a:effectLst/>
            </c:spPr>
          </c:marker>
          <c:xVal>
            <c:numRef>
              <c:f>'Merged Hydrostatic Curves'!$J$6:$J$9</c:f>
              <c:numCache>
                <c:formatCode>General</c:formatCode>
                <c:ptCount val="4"/>
                <c:pt idx="0">
                  <c:v>33.326000000000001</c:v>
                </c:pt>
                <c:pt idx="1">
                  <c:v>37.454000000000001</c:v>
                </c:pt>
                <c:pt idx="2">
                  <c:v>46.487000000000002</c:v>
                </c:pt>
                <c:pt idx="3">
                  <c:v>50.161000000000001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46-44EA-98FC-720B31C1EF94}"/>
            </c:ext>
          </c:extLst>
        </c:ser>
        <c:ser>
          <c:idx val="4"/>
          <c:order val="4"/>
          <c:tx>
            <c:v>BMT (m)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'Merged Hydrostatic Curves'!$K$6:$K$9</c:f>
              <c:numCache>
                <c:formatCode>General</c:formatCode>
                <c:ptCount val="4"/>
                <c:pt idx="0">
                  <c:v>13.23</c:v>
                </c:pt>
                <c:pt idx="1">
                  <c:v>5.149</c:v>
                </c:pt>
                <c:pt idx="2">
                  <c:v>3.3740000000000001</c:v>
                </c:pt>
                <c:pt idx="3">
                  <c:v>2.339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46-44EA-98FC-720B31C1EF94}"/>
            </c:ext>
          </c:extLst>
        </c:ser>
        <c:ser>
          <c:idx val="5"/>
          <c:order val="5"/>
          <c:tx>
            <c:v>Midship (m)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'Merged Hydrostatic Curves'!$AE$7:$AE$10</c:f>
              <c:numCache>
                <c:formatCode>General</c:formatCode>
                <c:ptCount val="4"/>
                <c:pt idx="0">
                  <c:v>37.200000000000003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37.200000000000003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46-44EA-98FC-720B31C1EF94}"/>
            </c:ext>
          </c:extLst>
        </c:ser>
        <c:ser>
          <c:idx val="6"/>
          <c:order val="6"/>
          <c:tx>
            <c:v>LCB (m forward of amidship)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'Merged Hydrostatic Curves'!$O$6:$O$9</c:f>
              <c:numCache>
                <c:formatCode>General</c:formatCode>
                <c:ptCount val="4"/>
                <c:pt idx="0">
                  <c:v>38.669000000000004</c:v>
                </c:pt>
                <c:pt idx="1">
                  <c:v>38.539000000000001</c:v>
                </c:pt>
                <c:pt idx="2">
                  <c:v>38.061</c:v>
                </c:pt>
                <c:pt idx="3">
                  <c:v>36.926000000000002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46-44EA-98FC-720B31C1EF94}"/>
            </c:ext>
          </c:extLst>
        </c:ser>
        <c:ser>
          <c:idx val="7"/>
          <c:order val="7"/>
          <c:tx>
            <c:v>LCF (m forward of amidship)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'Merged Hydrostatic Curves'!$Q$6:$Q$9</c:f>
              <c:numCache>
                <c:formatCode>General</c:formatCode>
                <c:ptCount val="4"/>
                <c:pt idx="0">
                  <c:v>38.614000000000004</c:v>
                </c:pt>
                <c:pt idx="1">
                  <c:v>38.255000000000003</c:v>
                </c:pt>
                <c:pt idx="2">
                  <c:v>36.065000000000005</c:v>
                </c:pt>
                <c:pt idx="3">
                  <c:v>35.416000000000004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46-44EA-98FC-720B31C1EF94}"/>
            </c:ext>
          </c:extLst>
        </c:ser>
        <c:ser>
          <c:idx val="8"/>
          <c:order val="8"/>
          <c:tx>
            <c:v>CB (*10)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'Merged Hydrostatic Curves'!$S$6:$S$9</c:f>
              <c:numCache>
                <c:formatCode>General</c:formatCode>
                <c:ptCount val="4"/>
                <c:pt idx="0">
                  <c:v>7.22</c:v>
                </c:pt>
                <c:pt idx="1">
                  <c:v>7.65</c:v>
                </c:pt>
                <c:pt idx="2">
                  <c:v>7.79</c:v>
                </c:pt>
                <c:pt idx="3">
                  <c:v>7.84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46-44EA-98FC-720B31C1EF94}"/>
            </c:ext>
          </c:extLst>
        </c:ser>
        <c:ser>
          <c:idx val="9"/>
          <c:order val="9"/>
          <c:tx>
            <c:v>CM (*10)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'Merged Hydrostatic Curves'!$U$6:$U$9</c:f>
              <c:numCache>
                <c:formatCode>General</c:formatCode>
                <c:ptCount val="4"/>
                <c:pt idx="0">
                  <c:v>9.17</c:v>
                </c:pt>
                <c:pt idx="1">
                  <c:v>9.49</c:v>
                </c:pt>
                <c:pt idx="2">
                  <c:v>9.64</c:v>
                </c:pt>
                <c:pt idx="3">
                  <c:v>9.73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46-44EA-98FC-720B31C1EF94}"/>
            </c:ext>
          </c:extLst>
        </c:ser>
        <c:ser>
          <c:idx val="10"/>
          <c:order val="10"/>
          <c:tx>
            <c:v>CP (*10)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'Merged Hydrostatic Curves'!$W$6:$W$9</c:f>
              <c:numCache>
                <c:formatCode>General</c:formatCode>
                <c:ptCount val="4"/>
                <c:pt idx="0">
                  <c:v>7.87</c:v>
                </c:pt>
                <c:pt idx="1">
                  <c:v>8.06</c:v>
                </c:pt>
                <c:pt idx="2">
                  <c:v>8.08</c:v>
                </c:pt>
                <c:pt idx="3">
                  <c:v>8.06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46-44EA-98FC-720B31C1EF94}"/>
            </c:ext>
          </c:extLst>
        </c:ser>
        <c:ser>
          <c:idx val="12"/>
          <c:order val="11"/>
          <c:tx>
            <c:v>KMT (m)</c:v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'Merged Hydrostatic Curves'!$X$6:$X$9</c:f>
              <c:numCache>
                <c:formatCode>General</c:formatCode>
                <c:ptCount val="4"/>
                <c:pt idx="0">
                  <c:v>14.162000000000001</c:v>
                </c:pt>
                <c:pt idx="1">
                  <c:v>6.48</c:v>
                </c:pt>
                <c:pt idx="2">
                  <c:v>5.2939999999999996</c:v>
                </c:pt>
                <c:pt idx="3">
                  <c:v>4.806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46-44EA-98FC-720B31C1EF94}"/>
            </c:ext>
          </c:extLst>
        </c:ser>
        <c:ser>
          <c:idx val="13"/>
          <c:order val="12"/>
          <c:tx>
            <c:v>KML (*10^-1) (m)</c:v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'Merged Hydrostatic Curves'!$Z$6:$Z$9</c:f>
              <c:numCache>
                <c:formatCode>General</c:formatCode>
                <c:ptCount val="4"/>
                <c:pt idx="0">
                  <c:v>59.078599999999994</c:v>
                </c:pt>
                <c:pt idx="1">
                  <c:v>22.846</c:v>
                </c:pt>
                <c:pt idx="2">
                  <c:v>17.408999999999999</c:v>
                </c:pt>
                <c:pt idx="3">
                  <c:v>12.4412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46-44EA-98FC-720B31C1EF94}"/>
            </c:ext>
          </c:extLst>
        </c:ser>
        <c:ser>
          <c:idx val="14"/>
          <c:order val="13"/>
          <c:tx>
            <c:v>WPA (*10^-2) (m^2)</c:v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CC99FF"/>
                </a:solidFill>
                <a:round/>
              </a:ln>
              <a:effectLst/>
            </c:spPr>
          </c:marker>
          <c:xVal>
            <c:numRef>
              <c:f>'Merged Hydrostatic Curves'!$AB$6:$AB$9</c:f>
              <c:numCache>
                <c:formatCode>General</c:formatCode>
                <c:ptCount val="4"/>
                <c:pt idx="0">
                  <c:v>6.6133000000000006</c:v>
                </c:pt>
                <c:pt idx="1">
                  <c:v>7.0077499999999997</c:v>
                </c:pt>
                <c:pt idx="2">
                  <c:v>7.53904</c:v>
                </c:pt>
                <c:pt idx="3">
                  <c:v>7.75061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46-44EA-98FC-720B31C1EF94}"/>
            </c:ext>
          </c:extLst>
        </c:ser>
        <c:ser>
          <c:idx val="15"/>
          <c:order val="14"/>
          <c:tx>
            <c:v>BML (*10^-1) (m)</c:v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'Merged Hydrostatic Curves'!$M$6:$M$9</c:f>
              <c:numCache>
                <c:formatCode>General</c:formatCode>
                <c:ptCount val="4"/>
                <c:pt idx="0">
                  <c:v>58.931699999999999</c:v>
                </c:pt>
                <c:pt idx="1">
                  <c:v>22.7121</c:v>
                </c:pt>
                <c:pt idx="2">
                  <c:v>17.322900000000001</c:v>
                </c:pt>
                <c:pt idx="3">
                  <c:v>12.468500000000001</c:v>
                </c:pt>
              </c:numCache>
            </c:numRef>
          </c:xVal>
          <c:yVal>
            <c:numRef>
              <c:f>'Merged Hydrostatic Curves'!$AD$7:$AD$10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46-44EA-98FC-720B31C1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90464"/>
        <c:axId val="638594272"/>
      </c:scatterChart>
      <c:valAx>
        <c:axId val="638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Hydrostatic Curves</a:t>
                </a:r>
              </a:p>
            </c:rich>
          </c:tx>
          <c:layout>
            <c:manualLayout>
              <c:xMode val="edge"/>
              <c:yMode val="edge"/>
              <c:x val="0.42655897519444075"/>
              <c:y val="0.93663250855421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4272"/>
        <c:crosses val="autoZero"/>
        <c:crossBetween val="midCat"/>
      </c:valAx>
      <c:valAx>
        <c:axId val="6385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Draft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05550445156091"/>
          <c:y val="0.17195306512550887"/>
          <c:w val="8.7343455783650284E-2"/>
          <c:h val="0.59363092005697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 vs. VCB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Curves'!$L$13:$L$16</c:f>
              <c:numCache>
                <c:formatCode>0.000</c:formatCode>
                <c:ptCount val="4"/>
                <c:pt idx="0">
                  <c:v>0.93200000000000005</c:v>
                </c:pt>
                <c:pt idx="1">
                  <c:v>1.33</c:v>
                </c:pt>
                <c:pt idx="2">
                  <c:v>1.92</c:v>
                </c:pt>
                <c:pt idx="3">
                  <c:v>2.4670000000000001</c:v>
                </c:pt>
              </c:numCache>
            </c:numRef>
          </c:xVal>
          <c:yVal>
            <c:numRef>
              <c:f>'Separated Hydrostatic Curves'!$M$13:$M$16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1-43A7-8842-D1187F46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87760"/>
        <c:axId val="575889040"/>
      </c:scatterChart>
      <c:valAx>
        <c:axId val="5758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89040"/>
        <c:crosses val="autoZero"/>
        <c:crossBetween val="midCat"/>
      </c:valAx>
      <c:valAx>
        <c:axId val="5758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vs. LCB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32351026019317E-2"/>
          <c:y val="0.17967850020674495"/>
          <c:w val="0.86185233325395416"/>
          <c:h val="0.605214473059840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Curves'!$S$13:$S$16</c:f>
              <c:numCache>
                <c:formatCode>0.000</c:formatCode>
                <c:ptCount val="4"/>
                <c:pt idx="0">
                  <c:v>1.4690000000000001</c:v>
                </c:pt>
                <c:pt idx="1">
                  <c:v>1.339</c:v>
                </c:pt>
                <c:pt idx="2">
                  <c:v>0.86099999999999999</c:v>
                </c:pt>
                <c:pt idx="3">
                  <c:v>-0.27400000000000002</c:v>
                </c:pt>
              </c:numCache>
            </c:numRef>
          </c:xVal>
          <c:yVal>
            <c:numRef>
              <c:f>'Separated Hydrostatic Curves'!$T$13:$T$16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2-4797-8745-B794C9CF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93432"/>
        <c:axId val="589691512"/>
      </c:scatterChart>
      <c:valAx>
        <c:axId val="58969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LCB (m from amidship)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91512"/>
        <c:crosses val="autoZero"/>
        <c:crossBetween val="midCat"/>
      </c:valAx>
      <c:valAx>
        <c:axId val="5896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9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vs. TPC</a:t>
            </a:r>
          </a:p>
        </c:rich>
      </c:tx>
      <c:layout>
        <c:manualLayout>
          <c:xMode val="edge"/>
          <c:yMode val="edge"/>
          <c:x val="0.42705134624345548"/>
          <c:y val="4.7763165812377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Curves'!$B$41:$B$44</c:f>
              <c:numCache>
                <c:formatCode>0.000</c:formatCode>
                <c:ptCount val="4"/>
                <c:pt idx="0">
                  <c:v>6.6130000000000004</c:v>
                </c:pt>
                <c:pt idx="1">
                  <c:v>7.008</c:v>
                </c:pt>
                <c:pt idx="2">
                  <c:v>7.5389999999999997</c:v>
                </c:pt>
                <c:pt idx="3">
                  <c:v>7.7510000000000003</c:v>
                </c:pt>
              </c:numCache>
            </c:numRef>
          </c:xVal>
          <c:yVal>
            <c:numRef>
              <c:f>'Separated Hydrostatic Curves'!$C$41:$C$44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E-4FEB-99EE-0B82D583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59120"/>
        <c:axId val="605761680"/>
      </c:scatterChart>
      <c:valAx>
        <c:axId val="6057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TPC (tonnes/cm)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1680"/>
        <c:crosses val="autoZero"/>
        <c:crossBetween val="midCat"/>
      </c:valAx>
      <c:valAx>
        <c:axId val="6057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55595654709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vs. LCF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Curves'!$N$41:$N$44</c:f>
              <c:numCache>
                <c:formatCode>0.000</c:formatCode>
                <c:ptCount val="4"/>
                <c:pt idx="0">
                  <c:v>1.4139999999999999</c:v>
                </c:pt>
                <c:pt idx="1">
                  <c:v>1.0549999999999999</c:v>
                </c:pt>
                <c:pt idx="2">
                  <c:v>-1.135</c:v>
                </c:pt>
                <c:pt idx="3">
                  <c:v>-1.784</c:v>
                </c:pt>
              </c:numCache>
            </c:numRef>
          </c:xVal>
          <c:yVal>
            <c:numRef>
              <c:f>'Separated Hydrostatic Curves'!$O$41:$O$44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0-45DF-A6ED-556A788C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95216"/>
        <c:axId val="613798416"/>
      </c:scatterChart>
      <c:valAx>
        <c:axId val="6137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LCF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98416"/>
        <c:crosses val="autoZero"/>
        <c:crossBetween val="midCat"/>
      </c:valAx>
      <c:valAx>
        <c:axId val="613798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6137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vs. MCT1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Curves'!$V$41:$V$44</c:f>
              <c:numCache>
                <c:formatCode>0.000</c:formatCode>
                <c:ptCount val="4"/>
                <c:pt idx="0">
                  <c:v>33.326000000000001</c:v>
                </c:pt>
                <c:pt idx="1">
                  <c:v>37.454000000000001</c:v>
                </c:pt>
                <c:pt idx="2">
                  <c:v>46.487000000000002</c:v>
                </c:pt>
                <c:pt idx="3">
                  <c:v>50.161000000000001</c:v>
                </c:pt>
              </c:numCache>
            </c:numRef>
          </c:xVal>
          <c:yVal>
            <c:numRef>
              <c:f>'Separated Hydrostatic Curves'!$W$41:$W$44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3-4110-9D47-DF4EC450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9360"/>
        <c:axId val="605767760"/>
      </c:scatterChart>
      <c:valAx>
        <c:axId val="605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MCT1cm (t-m/cm)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7760"/>
        <c:crosses val="autoZero"/>
        <c:crossBetween val="midCat"/>
      </c:valAx>
      <c:valAx>
        <c:axId val="6057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 vs.</a:t>
            </a:r>
            <a:r>
              <a:rPr lang="en-US" baseline="0"/>
              <a:t> CB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Curves'!$AD$41:$AD$44</c:f>
              <c:numCache>
                <c:formatCode>0.000</c:formatCode>
                <c:ptCount val="4"/>
                <c:pt idx="0">
                  <c:v>0.72199999999999998</c:v>
                </c:pt>
                <c:pt idx="1">
                  <c:v>0.76500000000000001</c:v>
                </c:pt>
                <c:pt idx="2">
                  <c:v>0.77900000000000003</c:v>
                </c:pt>
                <c:pt idx="3">
                  <c:v>0.78400000000000003</c:v>
                </c:pt>
              </c:numCache>
            </c:numRef>
          </c:xVal>
          <c:yVal>
            <c:numRef>
              <c:f>'Separated Hydrostatic Curves'!$AE$41:$AE$44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8-4637-8E31-968B089D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00792"/>
        <c:axId val="606979216"/>
      </c:scatterChart>
      <c:valAx>
        <c:axId val="57470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9216"/>
        <c:crosses val="autoZero"/>
        <c:crossBetween val="midCat"/>
      </c:valAx>
      <c:valAx>
        <c:axId val="6069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0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vs. CP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Curves'!$B$66:$B$69</c:f>
              <c:numCache>
                <c:formatCode>0.000</c:formatCode>
                <c:ptCount val="4"/>
                <c:pt idx="0">
                  <c:v>0.78700000000000003</c:v>
                </c:pt>
                <c:pt idx="1">
                  <c:v>0.80600000000000005</c:v>
                </c:pt>
                <c:pt idx="2">
                  <c:v>0.80800000000000005</c:v>
                </c:pt>
                <c:pt idx="3">
                  <c:v>0.80900000000000005</c:v>
                </c:pt>
              </c:numCache>
            </c:numRef>
          </c:xVal>
          <c:yVal>
            <c:numRef>
              <c:f>'Separated Hydrostatic Curves'!$C$66:$C$69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D-4154-B9CA-868E2A6D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0400"/>
        <c:axId val="605760720"/>
      </c:scatterChart>
      <c:valAx>
        <c:axId val="6057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0720"/>
        <c:crosses val="autoZero"/>
        <c:crossBetween val="midCat"/>
      </c:valAx>
      <c:valAx>
        <c:axId val="6057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vs. CM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'Separated Hydrostatic Curves'!$N$67:$N$70</c:f>
              <c:numCache>
                <c:formatCode>0.000</c:formatCode>
                <c:ptCount val="4"/>
                <c:pt idx="0">
                  <c:v>0.917407878017789</c:v>
                </c:pt>
                <c:pt idx="1">
                  <c:v>0.94913151364764259</c:v>
                </c:pt>
                <c:pt idx="2">
                  <c:v>0.96410891089108908</c:v>
                </c:pt>
                <c:pt idx="3">
                  <c:v>0.97270471464019848</c:v>
                </c:pt>
              </c:numCache>
            </c:numRef>
          </c:xVal>
          <c:yVal>
            <c:numRef>
              <c:f>'Separated Hydrostatic Curves'!$O$67:$O$70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1-4BC3-B259-66613EBC6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94256"/>
        <c:axId val="613792336"/>
      </c:scatterChart>
      <c:valAx>
        <c:axId val="6137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92336"/>
        <c:crosses val="autoZero"/>
        <c:crossBetween val="midCat"/>
      </c:valAx>
      <c:valAx>
        <c:axId val="6137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19</xdr:row>
      <xdr:rowOff>15241</xdr:rowOff>
    </xdr:from>
    <xdr:to>
      <xdr:col>7</xdr:col>
      <xdr:colOff>413712</xdr:colOff>
      <xdr:row>33</xdr:row>
      <xdr:rowOff>48107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6C8E1-2517-49DE-88CB-D1F0B5CBC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509270</xdr:colOff>
      <xdr:row>18</xdr:row>
      <xdr:rowOff>161290</xdr:rowOff>
    </xdr:from>
    <xdr:to>
      <xdr:col>16</xdr:col>
      <xdr:colOff>38485</xdr:colOff>
      <xdr:row>33</xdr:row>
      <xdr:rowOff>48106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E167D-369E-4601-886F-09EFFE3AB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553412</xdr:colOff>
      <xdr:row>18</xdr:row>
      <xdr:rowOff>149322</xdr:rowOff>
    </xdr:from>
    <xdr:to>
      <xdr:col>24</xdr:col>
      <xdr:colOff>67348</xdr:colOff>
      <xdr:row>33</xdr:row>
      <xdr:rowOff>28865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2A0FA-56FC-462B-91E5-00F6C1E1E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141932</xdr:rowOff>
    </xdr:from>
    <xdr:to>
      <xdr:col>7</xdr:col>
      <xdr:colOff>48106</xdr:colOff>
      <xdr:row>60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AEBABB-CC49-48E4-BD7B-3FE2E668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552644</xdr:colOff>
      <xdr:row>45</xdr:row>
      <xdr:rowOff>149167</xdr:rowOff>
    </xdr:from>
    <xdr:to>
      <xdr:col>16</xdr:col>
      <xdr:colOff>490683</xdr:colOff>
      <xdr:row>60</xdr:row>
      <xdr:rowOff>57727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2153E6-4E0F-43A2-B3BD-D03F828F3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240530</xdr:colOff>
      <xdr:row>45</xdr:row>
      <xdr:rowOff>143164</xdr:rowOff>
    </xdr:from>
    <xdr:to>
      <xdr:col>25</xdr:col>
      <xdr:colOff>413020</xdr:colOff>
      <xdr:row>60</xdr:row>
      <xdr:rowOff>67349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4C6076-3ACC-40CF-B6CC-FF49E6FD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529167</xdr:colOff>
      <xdr:row>45</xdr:row>
      <xdr:rowOff>133927</xdr:rowOff>
    </xdr:from>
    <xdr:to>
      <xdr:col>34</xdr:col>
      <xdr:colOff>79972</xdr:colOff>
      <xdr:row>60</xdr:row>
      <xdr:rowOff>67349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C8991E-009A-4A8B-9226-0BFA51F36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220980</xdr:colOff>
      <xdr:row>73</xdr:row>
      <xdr:rowOff>106680</xdr:rowOff>
    </xdr:from>
    <xdr:to>
      <xdr:col>7</xdr:col>
      <xdr:colOff>567651</xdr:colOff>
      <xdr:row>87</xdr:row>
      <xdr:rowOff>19242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0A3DA3-9960-4403-BA44-A8D8CF1B4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327121</xdr:colOff>
      <xdr:row>72</xdr:row>
      <xdr:rowOff>114300</xdr:rowOff>
    </xdr:from>
    <xdr:to>
      <xdr:col>16</xdr:col>
      <xdr:colOff>388620</xdr:colOff>
      <xdr:row>86</xdr:row>
      <xdr:rowOff>144318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7C8CB1-8B6F-473E-8F5F-966501D2B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19242</xdr:colOff>
      <xdr:row>71</xdr:row>
      <xdr:rowOff>99060</xdr:rowOff>
    </xdr:from>
    <xdr:to>
      <xdr:col>25</xdr:col>
      <xdr:colOff>57727</xdr:colOff>
      <xdr:row>86</xdr:row>
      <xdr:rowOff>67348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049FDB-64AB-4959-9876-D374946D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601980</xdr:colOff>
      <xdr:row>73</xdr:row>
      <xdr:rowOff>83820</xdr:rowOff>
    </xdr:from>
    <xdr:to>
      <xdr:col>34</xdr:col>
      <xdr:colOff>297180</xdr:colOff>
      <xdr:row>88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D09319-4804-4A20-B4A6-54ADE1BCE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137160</xdr:colOff>
      <xdr:row>100</xdr:row>
      <xdr:rowOff>0</xdr:rowOff>
    </xdr:from>
    <xdr:to>
      <xdr:col>7</xdr:col>
      <xdr:colOff>298258</xdr:colOff>
      <xdr:row>113</xdr:row>
      <xdr:rowOff>173182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5A1877-62C7-4A81-94CE-6FA68D5C2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105833</xdr:colOff>
      <xdr:row>100</xdr:row>
      <xdr:rowOff>114300</xdr:rowOff>
    </xdr:from>
    <xdr:to>
      <xdr:col>18</xdr:col>
      <xdr:colOff>137160</xdr:colOff>
      <xdr:row>114</xdr:row>
      <xdr:rowOff>144318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9C8FAD-06CE-4AED-AF20-858C52A63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355985</xdr:colOff>
      <xdr:row>100</xdr:row>
      <xdr:rowOff>66194</xdr:rowOff>
    </xdr:from>
    <xdr:to>
      <xdr:col>28</xdr:col>
      <xdr:colOff>451196</xdr:colOff>
      <xdr:row>114</xdr:row>
      <xdr:rowOff>67348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D71367-44C5-4C63-9D36-AF42F48DB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582708</xdr:colOff>
      <xdr:row>12</xdr:row>
      <xdr:rowOff>123265</xdr:rowOff>
    </xdr:from>
    <xdr:to>
      <xdr:col>30</xdr:col>
      <xdr:colOff>403414</xdr:colOff>
      <xdr:row>50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155483</xdr:colOff>
      <xdr:row>39</xdr:row>
      <xdr:rowOff>82176</xdr:rowOff>
    </xdr:from>
    <xdr:to>
      <xdr:col>4</xdr:col>
      <xdr:colOff>233924</xdr:colOff>
      <xdr:row>40</xdr:row>
      <xdr:rowOff>70971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89046" y="7202114"/>
          <a:ext cx="689628" cy="171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VCB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0.06576</cdr:x>
      <cdr:y>0.41671</cdr:y>
    </cdr:from>
    <cdr:to>
      <cdr:x>0.10314</cdr:x>
      <cdr:y>0.44159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396379" y="2876845"/>
          <a:ext cx="793805" cy="171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BMT</a:t>
          </a:r>
        </a:p>
      </cdr:txBody>
    </cdr:sp>
  </cdr:relSizeAnchor>
  <cdr:relSizeAnchor xmlns:cdr="http://schemas.openxmlformats.org/drawingml/2006/chartDrawing">
    <cdr:from>
      <cdr:x>0.09619</cdr:x>
      <cdr:y>0.25447</cdr:y>
    </cdr:from>
    <cdr:to>
      <cdr:x>0.13356</cdr:x>
      <cdr:y>0.27935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42649" y="1756772"/>
          <a:ext cx="793593" cy="171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KMT</a:t>
          </a:r>
        </a:p>
      </cdr:txBody>
    </cdr:sp>
  </cdr:relSizeAnchor>
  <cdr:relSizeAnchor xmlns:cdr="http://schemas.openxmlformats.org/drawingml/2006/chartDrawing">
    <cdr:from>
      <cdr:x>0.10112</cdr:x>
      <cdr:y>0.7026</cdr:y>
    </cdr:from>
    <cdr:to>
      <cdr:x>0.1385</cdr:x>
      <cdr:y>0.72748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2147475" y="4850573"/>
          <a:ext cx="793804" cy="171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WPA</a:t>
          </a:r>
        </a:p>
      </cdr:txBody>
    </cdr:sp>
  </cdr:relSizeAnchor>
  <cdr:relSizeAnchor xmlns:cdr="http://schemas.openxmlformats.org/drawingml/2006/chartDrawing">
    <cdr:from>
      <cdr:x>0.11283</cdr:x>
      <cdr:y>0.6039</cdr:y>
    </cdr:from>
    <cdr:to>
      <cdr:x>0.1502</cdr:x>
      <cdr:y>0.62878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2391490" y="4289733"/>
          <a:ext cx="792096" cy="1767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TPC</a:t>
          </a:r>
        </a:p>
      </cdr:txBody>
    </cdr:sp>
  </cdr:relSizeAnchor>
  <cdr:relSizeAnchor xmlns:cdr="http://schemas.openxmlformats.org/drawingml/2006/chartDrawing">
    <cdr:from>
      <cdr:x>0.11604</cdr:x>
      <cdr:y>0.70257</cdr:y>
    </cdr:from>
    <cdr:to>
      <cdr:x>0.15341</cdr:x>
      <cdr:y>0.72746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464160" y="4850395"/>
          <a:ext cx="793593" cy="171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CB</a:t>
          </a:r>
        </a:p>
      </cdr:txBody>
    </cdr:sp>
  </cdr:relSizeAnchor>
  <cdr:relSizeAnchor xmlns:cdr="http://schemas.openxmlformats.org/drawingml/2006/chartDrawing">
    <cdr:from>
      <cdr:x>0.1252</cdr:x>
      <cdr:y>0.70192</cdr:y>
    </cdr:from>
    <cdr:to>
      <cdr:x>0.16258</cdr:x>
      <cdr:y>0.7268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2658750" y="4845862"/>
          <a:ext cx="793805" cy="171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CP</a:t>
          </a:r>
        </a:p>
      </cdr:txBody>
    </cdr:sp>
  </cdr:relSizeAnchor>
  <cdr:relSizeAnchor xmlns:cdr="http://schemas.openxmlformats.org/drawingml/2006/chartDrawing">
    <cdr:from>
      <cdr:x>0.14002</cdr:x>
      <cdr:y>0.70386</cdr:y>
    </cdr:from>
    <cdr:to>
      <cdr:x>0.1774</cdr:x>
      <cdr:y>0.72875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2973384" y="4859244"/>
          <a:ext cx="793805" cy="171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CM</a:t>
          </a:r>
        </a:p>
      </cdr:txBody>
    </cdr:sp>
  </cdr:relSizeAnchor>
  <cdr:relSizeAnchor xmlns:cdr="http://schemas.openxmlformats.org/drawingml/2006/chartDrawing">
    <cdr:from>
      <cdr:x>0.23169</cdr:x>
      <cdr:y>0.30386</cdr:y>
    </cdr:from>
    <cdr:to>
      <cdr:x>0.26906</cdr:x>
      <cdr:y>0.32874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4913147" y="2118499"/>
          <a:ext cx="792463" cy="173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BML</a:t>
          </a:r>
        </a:p>
      </cdr:txBody>
    </cdr:sp>
  </cdr:relSizeAnchor>
  <cdr:relSizeAnchor xmlns:cdr="http://schemas.openxmlformats.org/drawingml/2006/chartDrawing">
    <cdr:from>
      <cdr:x>0.2523</cdr:x>
      <cdr:y>0.30729</cdr:y>
    </cdr:from>
    <cdr:to>
      <cdr:x>0.28968</cdr:x>
      <cdr:y>0.33218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5350269" y="2142410"/>
          <a:ext cx="792675" cy="1735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KML</a:t>
          </a:r>
        </a:p>
      </cdr:txBody>
    </cdr:sp>
  </cdr:relSizeAnchor>
  <cdr:relSizeAnchor xmlns:cdr="http://schemas.openxmlformats.org/drawingml/2006/chartDrawing">
    <cdr:from>
      <cdr:x>0.36837</cdr:x>
      <cdr:y>0.31085</cdr:y>
    </cdr:from>
    <cdr:to>
      <cdr:x>0.42564</cdr:x>
      <cdr:y>0.35357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7822748" y="2146050"/>
          <a:ext cx="1216190" cy="294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Displacement</a:t>
          </a:r>
        </a:p>
      </cdr:txBody>
    </cdr:sp>
  </cdr:relSizeAnchor>
  <cdr:relSizeAnchor xmlns:cdr="http://schemas.openxmlformats.org/drawingml/2006/chartDrawing">
    <cdr:from>
      <cdr:x>0.6455</cdr:x>
      <cdr:y>0.08631</cdr:y>
    </cdr:from>
    <cdr:to>
      <cdr:x>0.68288</cdr:x>
      <cdr:y>0.1112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13707868" y="595863"/>
          <a:ext cx="793805" cy="171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MCTC</a:t>
          </a:r>
        </a:p>
      </cdr:txBody>
    </cdr:sp>
  </cdr:relSizeAnchor>
  <cdr:relSizeAnchor xmlns:cdr="http://schemas.openxmlformats.org/drawingml/2006/chartDrawing">
    <cdr:from>
      <cdr:x>0.50692</cdr:x>
      <cdr:y>0.35993</cdr:y>
    </cdr:from>
    <cdr:to>
      <cdr:x>0.5443</cdr:x>
      <cdr:y>0.38481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10739321" y="2509394"/>
          <a:ext cx="791910" cy="173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LCB</a:t>
          </a:r>
        </a:p>
      </cdr:txBody>
    </cdr:sp>
  </cdr:relSizeAnchor>
  <cdr:relSizeAnchor xmlns:cdr="http://schemas.openxmlformats.org/drawingml/2006/chartDrawing">
    <cdr:from>
      <cdr:x>0.46289</cdr:x>
      <cdr:y>0.086</cdr:y>
    </cdr:from>
    <cdr:to>
      <cdr:x>0.50027</cdr:x>
      <cdr:y>0.11088</cdr:y>
    </cdr:to>
    <cdr:sp macro="" textlink="">
      <cdr:nvSpPr>
        <cdr:cNvPr id="15" name="TextBox 2"/>
        <cdr:cNvSpPr txBox="1"/>
      </cdr:nvSpPr>
      <cdr:spPr>
        <a:xfrm xmlns:a="http://schemas.openxmlformats.org/drawingml/2006/main">
          <a:off x="9806416" y="599580"/>
          <a:ext cx="791910" cy="173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LCF</a:t>
          </a:r>
        </a:p>
      </cdr:txBody>
    </cdr:sp>
  </cdr:relSizeAnchor>
  <cdr:relSizeAnchor xmlns:cdr="http://schemas.openxmlformats.org/drawingml/2006/chartDrawing">
    <cdr:from>
      <cdr:x>0.47932</cdr:x>
      <cdr:y>0.70154</cdr:y>
    </cdr:from>
    <cdr:to>
      <cdr:x>0.52251</cdr:x>
      <cdr:y>0.83291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10147873" y="48831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Midship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use/Desktop/3-1/Rayhan%20Bhai's%20('17)%20Files/Group-LHydrostatics%20&amp;%20Offset%20Table%2033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Hydrostatics_stuff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use/Desktop/3-1/Joy%20Files/Hydrostatics-3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ed Offset"/>
      <sheetName val="WL 1"/>
      <sheetName val="WL 2"/>
      <sheetName val="WL 3"/>
      <sheetName val="WL 4"/>
      <sheetName val="LCF-BML"/>
      <sheetName val="BMT"/>
      <sheetName val="Summar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9">
          <cell r="R69">
            <v>1.1942085763638024</v>
          </cell>
          <cell r="S69">
            <v>0.9</v>
          </cell>
        </row>
        <row r="70">
          <cell r="B70">
            <v>279.86931857249999</v>
          </cell>
          <cell r="C70">
            <v>0.9</v>
          </cell>
          <cell r="K70">
            <v>0.762588964967992</v>
          </cell>
          <cell r="L70">
            <v>0.9</v>
          </cell>
          <cell r="R70">
            <v>1.0885895659225624</v>
          </cell>
          <cell r="S70">
            <v>1.8</v>
          </cell>
        </row>
        <row r="71">
          <cell r="B71">
            <v>816.11952207000013</v>
          </cell>
          <cell r="C71">
            <v>1.8</v>
          </cell>
          <cell r="K71">
            <v>1.0884877481730009</v>
          </cell>
          <cell r="L71">
            <v>1.8</v>
          </cell>
          <cell r="R71">
            <v>0.70016043713682308</v>
          </cell>
          <cell r="S71">
            <v>2.7</v>
          </cell>
        </row>
        <row r="72">
          <cell r="B72">
            <v>1328.1071245425001</v>
          </cell>
          <cell r="C72">
            <v>2.7</v>
          </cell>
          <cell r="K72">
            <v>1.5712754096197123</v>
          </cell>
          <cell r="L72">
            <v>2.7</v>
          </cell>
          <cell r="R72">
            <v>-0.22250466656810738</v>
          </cell>
          <cell r="S72">
            <v>3.6</v>
          </cell>
        </row>
        <row r="73">
          <cell r="B73">
            <v>1990.9919795900003</v>
          </cell>
          <cell r="C73">
            <v>3.6</v>
          </cell>
          <cell r="K73">
            <v>2.018583116361734</v>
          </cell>
          <cell r="L73">
            <v>3.6</v>
          </cell>
          <cell r="R73">
            <v>-0.3</v>
          </cell>
          <cell r="S73">
            <v>4.5</v>
          </cell>
        </row>
        <row r="74">
          <cell r="B74">
            <v>2684</v>
          </cell>
          <cell r="C74">
            <v>4.5</v>
          </cell>
          <cell r="K74">
            <v>2.5</v>
          </cell>
          <cell r="L74">
            <v>4.5</v>
          </cell>
        </row>
        <row r="98">
          <cell r="A98">
            <v>5.3766577676666669</v>
          </cell>
          <cell r="B98">
            <v>0.9</v>
          </cell>
          <cell r="AC98">
            <v>0.72199999999999998</v>
          </cell>
          <cell r="AD98">
            <v>0.9</v>
          </cell>
        </row>
        <row r="99">
          <cell r="A99">
            <v>5.6973529983333346</v>
          </cell>
          <cell r="B99">
            <v>1.8</v>
          </cell>
          <cell r="M99">
            <v>1.1496756775261359</v>
          </cell>
          <cell r="N99">
            <v>0.9</v>
          </cell>
          <cell r="U99">
            <v>20.148598304383931</v>
          </cell>
          <cell r="V99">
            <v>0.9</v>
          </cell>
          <cell r="AC99">
            <v>0.76500000000000001</v>
          </cell>
          <cell r="AD99">
            <v>1.8</v>
          </cell>
        </row>
        <row r="100">
          <cell r="A100">
            <v>6.1292899106666674</v>
          </cell>
          <cell r="B100">
            <v>2.7</v>
          </cell>
          <cell r="M100">
            <v>0.85799889229150217</v>
          </cell>
          <cell r="N100">
            <v>1.8</v>
          </cell>
          <cell r="U100">
            <v>22.643886787822904</v>
          </cell>
          <cell r="V100">
            <v>1.8</v>
          </cell>
          <cell r="AC100">
            <v>0.77900000000000003</v>
          </cell>
          <cell r="AD100">
            <v>2.7</v>
          </cell>
        </row>
        <row r="101">
          <cell r="A101">
            <v>6.3013006536666687</v>
          </cell>
          <cell r="B101">
            <v>3.6</v>
          </cell>
          <cell r="M101">
            <v>-0.9229399805219366</v>
          </cell>
          <cell r="N101">
            <v>2.7</v>
          </cell>
          <cell r="U101">
            <v>28.105633136199213</v>
          </cell>
          <cell r="V101">
            <v>2.7</v>
          </cell>
          <cell r="AC101">
            <v>0.78400000000000003</v>
          </cell>
          <cell r="AD101">
            <v>3.6</v>
          </cell>
        </row>
        <row r="102">
          <cell r="A102">
            <v>6.46</v>
          </cell>
          <cell r="B102">
            <v>4.5</v>
          </cell>
          <cell r="M102">
            <v>-1.4503805240822705</v>
          </cell>
          <cell r="N102">
            <v>3.6</v>
          </cell>
          <cell r="U102">
            <v>30.326714430305447</v>
          </cell>
          <cell r="V102">
            <v>3.6</v>
          </cell>
          <cell r="AC102">
            <v>0.79900000000000004</v>
          </cell>
          <cell r="AD102">
            <v>4.5</v>
          </cell>
        </row>
        <row r="103">
          <cell r="M103">
            <v>-2</v>
          </cell>
          <cell r="N103">
            <v>4.5</v>
          </cell>
          <cell r="U103">
            <v>32</v>
          </cell>
          <cell r="V103">
            <v>4.5</v>
          </cell>
        </row>
        <row r="122">
          <cell r="A122">
            <v>0.78700000000000003</v>
          </cell>
          <cell r="B122">
            <v>0.9</v>
          </cell>
        </row>
        <row r="123">
          <cell r="A123">
            <v>0.80600000000000005</v>
          </cell>
          <cell r="B123">
            <v>1.8</v>
          </cell>
          <cell r="M123">
            <v>0.917407878017789</v>
          </cell>
          <cell r="N123">
            <v>0.9</v>
          </cell>
          <cell r="T123">
            <v>537.66577676666668</v>
          </cell>
          <cell r="U123">
            <v>0.9</v>
          </cell>
        </row>
        <row r="124">
          <cell r="A124">
            <v>0.80800000000000005</v>
          </cell>
          <cell r="B124">
            <v>2.7</v>
          </cell>
          <cell r="M124">
            <v>0.94913151364764259</v>
          </cell>
          <cell r="N124">
            <v>1.8</v>
          </cell>
          <cell r="T124">
            <v>569.73529983333344</v>
          </cell>
          <cell r="U124">
            <v>1.8</v>
          </cell>
          <cell r="AB124">
            <v>16.170162834434333</v>
          </cell>
          <cell r="AC124">
            <v>0.9</v>
          </cell>
        </row>
        <row r="125">
          <cell r="A125">
            <v>0.80900000000000005</v>
          </cell>
          <cell r="B125">
            <v>3.6</v>
          </cell>
          <cell r="M125">
            <v>0.96410891089108908</v>
          </cell>
          <cell r="N125">
            <v>2.7</v>
          </cell>
          <cell r="T125">
            <v>612.92899106666675</v>
          </cell>
          <cell r="U125">
            <v>2.7</v>
          </cell>
          <cell r="AB125">
            <v>6.293587292219474</v>
          </cell>
          <cell r="AC125">
            <v>1.8</v>
          </cell>
        </row>
        <row r="126">
          <cell r="A126">
            <v>0.81399999999999995</v>
          </cell>
          <cell r="B126">
            <v>4.5</v>
          </cell>
          <cell r="M126">
            <v>0.97270471464019848</v>
          </cell>
          <cell r="N126">
            <v>3.6</v>
          </cell>
          <cell r="T126">
            <v>630.13006536666683</v>
          </cell>
          <cell r="U126">
            <v>3.6</v>
          </cell>
          <cell r="AB126">
            <v>4.1236971524455504</v>
          </cell>
          <cell r="AC126">
            <v>2.7</v>
          </cell>
        </row>
        <row r="127">
          <cell r="M127">
            <v>0.97796817625459009</v>
          </cell>
          <cell r="N127">
            <v>4.5</v>
          </cell>
          <cell r="T127">
            <v>653.32000000000005</v>
          </cell>
          <cell r="U127">
            <v>4.5</v>
          </cell>
          <cell r="AB127">
            <v>2.8585124373588608</v>
          </cell>
          <cell r="AC127">
            <v>3.6</v>
          </cell>
        </row>
        <row r="128">
          <cell r="AB128">
            <v>2.2349999999999999</v>
          </cell>
          <cell r="AC128">
            <v>4.5</v>
          </cell>
        </row>
        <row r="151">
          <cell r="A151">
            <v>476.08891630746757</v>
          </cell>
          <cell r="B151">
            <v>0.9</v>
          </cell>
        </row>
        <row r="152">
          <cell r="A152">
            <v>183.48295718752459</v>
          </cell>
          <cell r="B152">
            <v>1.8</v>
          </cell>
          <cell r="M152">
            <v>477.28312488383136</v>
          </cell>
          <cell r="N152">
            <v>0.9</v>
          </cell>
          <cell r="X152">
            <v>16.932751799402325</v>
          </cell>
          <cell r="Y152">
            <v>0.9</v>
          </cell>
        </row>
        <row r="153">
          <cell r="A153">
            <v>139.94545206111326</v>
          </cell>
          <cell r="B153">
            <v>2.7</v>
          </cell>
          <cell r="M153">
            <v>184.57154675344717</v>
          </cell>
          <cell r="N153">
            <v>1.8</v>
          </cell>
          <cell r="X153">
            <v>7.3820750403924746</v>
          </cell>
          <cell r="Y153">
            <v>1.8</v>
          </cell>
        </row>
        <row r="154">
          <cell r="A154">
            <v>100.72896555259292</v>
          </cell>
          <cell r="B154">
            <v>3.6</v>
          </cell>
          <cell r="M154">
            <v>140.64561249825007</v>
          </cell>
          <cell r="N154">
            <v>2.7</v>
          </cell>
          <cell r="X154">
            <v>5.6949725620652627</v>
          </cell>
          <cell r="Y154">
            <v>2.7</v>
          </cell>
        </row>
        <row r="155">
          <cell r="A155">
            <v>65</v>
          </cell>
          <cell r="B155">
            <v>4.5</v>
          </cell>
          <cell r="M155">
            <v>100.50646088602481</v>
          </cell>
          <cell r="N155">
            <v>3.6</v>
          </cell>
          <cell r="X155">
            <v>4.8770955537205953</v>
          </cell>
          <cell r="Y155">
            <v>3.6</v>
          </cell>
        </row>
        <row r="156">
          <cell r="M156">
            <v>64.7</v>
          </cell>
          <cell r="N156">
            <v>4.5</v>
          </cell>
          <cell r="X156">
            <v>4.7349999999999994</v>
          </cell>
          <cell r="Y156">
            <v>4.5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9">
          <cell r="C19" t="str">
            <v>Displacement(tonnes)</v>
          </cell>
          <cell r="E19" t="str">
            <v>VCB(m)</v>
          </cell>
          <cell r="G19" t="str">
            <v>LCB(m)</v>
          </cell>
          <cell r="I19" t="str">
            <v>TPC(tonnes)</v>
          </cell>
          <cell r="J19" t="str">
            <v>BMT(m)</v>
          </cell>
          <cell r="K19" t="str">
            <v>KML(m)</v>
          </cell>
          <cell r="M19" t="str">
            <v>LCF(m)</v>
          </cell>
          <cell r="O19" t="str">
            <v>MCTC(tm/cm)</v>
          </cell>
        </row>
        <row r="20">
          <cell r="B20">
            <v>0.9</v>
          </cell>
          <cell r="D20">
            <v>2.7986931857249999</v>
          </cell>
          <cell r="F20">
            <v>2.2877668949039762</v>
          </cell>
          <cell r="H20">
            <v>15.985521440909507</v>
          </cell>
          <cell r="I20">
            <v>5.3766577676666669</v>
          </cell>
          <cell r="J20">
            <v>16.932751799402325</v>
          </cell>
          <cell r="L20">
            <v>9.5456624976766271</v>
          </cell>
          <cell r="N20">
            <v>15.87418919381534</v>
          </cell>
          <cell r="P20">
            <v>10.074299152191966</v>
          </cell>
        </row>
        <row r="21">
          <cell r="B21">
            <v>1.8</v>
          </cell>
          <cell r="D21">
            <v>8.1611952207000016</v>
          </cell>
          <cell r="F21">
            <v>3.2654632445190028</v>
          </cell>
          <cell r="H21">
            <v>15.721473914806406</v>
          </cell>
          <cell r="I21">
            <v>5.6973529983333346</v>
          </cell>
          <cell r="J21">
            <v>7.3820750403924746</v>
          </cell>
          <cell r="L21">
            <v>3.6914309350689432</v>
          </cell>
          <cell r="N21">
            <v>15.144997230728755</v>
          </cell>
          <cell r="P21">
            <v>11.321943393911452</v>
          </cell>
        </row>
        <row r="22">
          <cell r="B22">
            <v>2.7</v>
          </cell>
          <cell r="D22">
            <v>13.281071245425</v>
          </cell>
          <cell r="F22">
            <v>4.713826228859137</v>
          </cell>
          <cell r="H22">
            <v>14.750401092842058</v>
          </cell>
          <cell r="I22">
            <v>6.1292899106666674</v>
          </cell>
          <cell r="J22">
            <v>5.6949725620652627</v>
          </cell>
          <cell r="L22">
            <v>2.8129122499650014</v>
          </cell>
          <cell r="N22">
            <v>10.692650048695159</v>
          </cell>
          <cell r="P22">
            <v>14.052816568099606</v>
          </cell>
        </row>
        <row r="23">
          <cell r="B23">
            <v>3.6</v>
          </cell>
          <cell r="D23">
            <v>19.909919795900002</v>
          </cell>
          <cell r="F23">
            <v>6.0557493490852021</v>
          </cell>
          <cell r="H23">
            <v>12.443738333579731</v>
          </cell>
          <cell r="I23">
            <v>6.3013006536666687</v>
          </cell>
          <cell r="J23">
            <v>4.8770955537205953</v>
          </cell>
          <cell r="L23">
            <v>2.0101292177204964</v>
          </cell>
          <cell r="N23">
            <v>9.3740486897943249</v>
          </cell>
          <cell r="P23">
            <v>15.163357215152724</v>
          </cell>
        </row>
        <row r="24">
          <cell r="B24">
            <v>4.5</v>
          </cell>
          <cell r="D24">
            <v>26.84</v>
          </cell>
          <cell r="F24">
            <v>7.5</v>
          </cell>
          <cell r="H24">
            <v>12.025</v>
          </cell>
          <cell r="I24">
            <v>6.46</v>
          </cell>
          <cell r="J24">
            <v>4.7349999999999994</v>
          </cell>
          <cell r="L24">
            <v>1.294</v>
          </cell>
          <cell r="N24">
            <v>8</v>
          </cell>
          <cell r="P24">
            <v>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SET TABLE"/>
      <sheetName val="WL-01"/>
      <sheetName val="WL-02"/>
      <sheetName val="WL-03"/>
      <sheetName val="WL-04"/>
      <sheetName val="Hydrostatic values"/>
      <sheetName val="BMT"/>
      <sheetName val="Summary"/>
      <sheetName val="Tables Merged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F4" t="str">
            <v>Midship</v>
          </cell>
        </row>
        <row r="5">
          <cell r="I5" t="str">
            <v>T.P.C</v>
          </cell>
          <cell r="J5" t="str">
            <v>M.C.T.C</v>
          </cell>
          <cell r="K5" t="str">
            <v>BMT(m)</v>
          </cell>
          <cell r="Z5" t="str">
            <v>KMT(m)</v>
          </cell>
          <cell r="AE5">
            <v>0</v>
          </cell>
          <cell r="AF5">
            <v>35</v>
          </cell>
        </row>
        <row r="6">
          <cell r="G6">
            <v>5.6327523196077767</v>
          </cell>
          <cell r="H6">
            <v>0.51151781403133245</v>
          </cell>
          <cell r="I6">
            <v>6.9665108473333301</v>
          </cell>
          <cell r="J6">
            <v>24.760154564231897</v>
          </cell>
          <cell r="K6">
            <v>5.5556515650796996</v>
          </cell>
          <cell r="M6">
            <v>30.770229563669524</v>
          </cell>
          <cell r="O6">
            <v>35.511075568393494</v>
          </cell>
          <cell r="Q6">
            <v>34.910505486175772</v>
          </cell>
          <cell r="S6">
            <v>6.7280844715811945</v>
          </cell>
          <cell r="U6">
            <v>9.2625769230769226</v>
          </cell>
          <cell r="W6">
            <v>7.2637285794828266</v>
          </cell>
          <cell r="Y6">
            <v>7.6555064256410219</v>
          </cell>
          <cell r="Z6">
            <v>6.0671693791110322</v>
          </cell>
          <cell r="AB6">
            <v>30.821381345072655</v>
          </cell>
          <cell r="AD6">
            <v>6.9665108473333301</v>
          </cell>
          <cell r="AE6">
            <v>0.8</v>
          </cell>
          <cell r="AF6">
            <v>35</v>
          </cell>
        </row>
        <row r="7">
          <cell r="G7">
            <v>12.371945232235559</v>
          </cell>
          <cell r="H7">
            <v>0.97485126908613406</v>
          </cell>
          <cell r="I7">
            <v>7.4412809590000002</v>
          </cell>
          <cell r="J7">
            <v>30.001763237477959</v>
          </cell>
          <cell r="K7">
            <v>2.8217648013596381</v>
          </cell>
          <cell r="M7">
            <v>16.974884605466148</v>
          </cell>
          <cell r="O7">
            <v>35.101963347832573</v>
          </cell>
          <cell r="Q7">
            <v>34.787227330564413</v>
          </cell>
          <cell r="S7">
            <v>7.3888827235042758</v>
          </cell>
          <cell r="U7">
            <v>9.7050307692307705</v>
          </cell>
          <cell r="W7">
            <v>7.6134562570685453</v>
          </cell>
          <cell r="Y7">
            <v>8.177231823076923</v>
          </cell>
          <cell r="Z7">
            <v>3.7966160704457721</v>
          </cell>
          <cell r="AB7">
            <v>17.07236973237476</v>
          </cell>
          <cell r="AD7">
            <v>7.4412809590000002</v>
          </cell>
          <cell r="AE7">
            <v>1.6</v>
          </cell>
          <cell r="AF7">
            <v>35</v>
          </cell>
        </row>
        <row r="8">
          <cell r="G8">
            <v>19.415214623980003</v>
          </cell>
          <cell r="H8">
            <v>1.4647340358849645</v>
          </cell>
          <cell r="I8">
            <v>8.016633676333333</v>
          </cell>
          <cell r="J8">
            <v>37.202148373771486</v>
          </cell>
          <cell r="K8">
            <v>1.8664634041265304</v>
          </cell>
          <cell r="M8">
            <v>13.412936383137282</v>
          </cell>
          <cell r="O8">
            <v>34.86462212411066</v>
          </cell>
          <cell r="Q8">
            <v>33.853767856185385</v>
          </cell>
          <cell r="S8">
            <v>7.7302176397435911</v>
          </cell>
          <cell r="U8">
            <v>9.7787730769230805</v>
          </cell>
          <cell r="W8">
            <v>7.9050997287033145</v>
          </cell>
          <cell r="Y8">
            <v>8.8094875564102555</v>
          </cell>
          <cell r="Z8">
            <v>3.3311974400114952</v>
          </cell>
          <cell r="AB8">
            <v>13.559409786725777</v>
          </cell>
          <cell r="AD8">
            <v>8.016633676333333</v>
          </cell>
          <cell r="AE8">
            <v>2.4</v>
          </cell>
          <cell r="AF8">
            <v>35</v>
          </cell>
        </row>
        <row r="9">
          <cell r="G9">
            <v>27.028586511235563</v>
          </cell>
          <cell r="H9">
            <v>1.9516870136057958</v>
          </cell>
          <cell r="I9">
            <v>8.2855798106666647</v>
          </cell>
          <cell r="J9">
            <v>40.632777841012512</v>
          </cell>
          <cell r="K9">
            <v>1.3960270895424902</v>
          </cell>
          <cell r="M9">
            <v>10.523282257799629</v>
          </cell>
          <cell r="O9">
            <v>34.485531392360876</v>
          </cell>
          <cell r="Q9">
            <v>33.65813775852434</v>
          </cell>
          <cell r="S9">
            <v>8.0711259290598303</v>
          </cell>
          <cell r="U9">
            <v>9.8525153846153852</v>
          </cell>
          <cell r="W9">
            <v>8.1919445075547141</v>
          </cell>
          <cell r="Y9">
            <v>9.1050327589743567</v>
          </cell>
          <cell r="Z9">
            <v>3.3477141031482862</v>
          </cell>
          <cell r="AB9">
            <v>10.718450959160208</v>
          </cell>
          <cell r="AD9">
            <v>8.2855798106666647</v>
          </cell>
          <cell r="AE9">
            <v>3.2</v>
          </cell>
          <cell r="AF9">
            <v>35</v>
          </cell>
        </row>
        <row r="10">
          <cell r="AE10">
            <v>3.5</v>
          </cell>
          <cell r="AF10">
            <v>35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tabSelected="1" zoomScale="86" zoomScaleNormal="86" workbookViewId="0"/>
  </sheetViews>
  <sheetFormatPr defaultRowHeight="14.5" x14ac:dyDescent="0.35"/>
  <cols>
    <col min="9" max="9" width="12.7265625" customWidth="1"/>
    <col min="15" max="15" width="9.6328125" customWidth="1"/>
  </cols>
  <sheetData>
    <row r="2" spans="2:15" ht="15" thickBot="1" x14ac:dyDescent="0.4"/>
    <row r="3" spans="2:15" ht="16" thickBot="1" x14ac:dyDescent="0.4">
      <c r="B3" s="1" t="s">
        <v>11</v>
      </c>
      <c r="C3" s="1"/>
      <c r="D3" s="2"/>
      <c r="E3" s="2"/>
      <c r="F3" s="2"/>
      <c r="G3" s="2"/>
      <c r="H3" s="2"/>
      <c r="I3" s="3"/>
      <c r="J3" s="2"/>
      <c r="K3" s="2" t="s">
        <v>12</v>
      </c>
      <c r="L3" s="2"/>
      <c r="M3" s="2"/>
      <c r="N3" s="2"/>
      <c r="O3" s="3"/>
    </row>
    <row r="4" spans="2:15" s="16" customFormat="1" ht="15.5" x14ac:dyDescent="0.35">
      <c r="B4" s="13" t="s">
        <v>13</v>
      </c>
      <c r="C4" s="14" t="s">
        <v>14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5" t="s">
        <v>5</v>
      </c>
      <c r="J4" s="13" t="s">
        <v>14</v>
      </c>
      <c r="K4" s="14" t="s">
        <v>6</v>
      </c>
      <c r="L4" s="14" t="s">
        <v>7</v>
      </c>
      <c r="M4" s="14" t="s">
        <v>8</v>
      </c>
      <c r="N4" s="14" t="s">
        <v>9</v>
      </c>
      <c r="O4" s="15" t="s">
        <v>10</v>
      </c>
    </row>
    <row r="5" spans="2:15" ht="15.5" x14ac:dyDescent="0.35">
      <c r="B5" s="4">
        <v>0</v>
      </c>
      <c r="C5" s="5">
        <v>0</v>
      </c>
      <c r="D5" s="5" t="s">
        <v>15</v>
      </c>
      <c r="E5" s="5" t="s">
        <v>15</v>
      </c>
      <c r="F5" s="5" t="s">
        <v>18</v>
      </c>
      <c r="G5" s="5">
        <v>3854</v>
      </c>
      <c r="H5" s="5">
        <v>4721</v>
      </c>
      <c r="I5" s="6">
        <v>4943</v>
      </c>
      <c r="J5" s="7">
        <v>4121</v>
      </c>
      <c r="K5" s="5">
        <v>4141</v>
      </c>
      <c r="L5" s="5">
        <v>4191</v>
      </c>
      <c r="M5" s="5">
        <v>4430</v>
      </c>
      <c r="N5" s="5">
        <v>3543</v>
      </c>
      <c r="O5" s="18" t="s">
        <v>16</v>
      </c>
    </row>
    <row r="6" spans="2:15" ht="15.5" x14ac:dyDescent="0.35">
      <c r="B6" s="4">
        <v>0.5</v>
      </c>
      <c r="C6" s="5">
        <v>0</v>
      </c>
      <c r="D6" s="17" t="s">
        <v>16</v>
      </c>
      <c r="E6" s="17" t="s">
        <v>16</v>
      </c>
      <c r="F6" s="5">
        <v>4936</v>
      </c>
      <c r="G6" s="5">
        <v>5664</v>
      </c>
      <c r="H6" s="5">
        <v>5964</v>
      </c>
      <c r="I6" s="6">
        <v>6046</v>
      </c>
      <c r="J6" s="7">
        <v>2530</v>
      </c>
      <c r="K6" s="5">
        <v>2554</v>
      </c>
      <c r="L6" s="5">
        <v>2564</v>
      </c>
      <c r="M6" s="5">
        <v>2687</v>
      </c>
      <c r="N6" s="5">
        <v>1858</v>
      </c>
      <c r="O6" s="18" t="s">
        <v>16</v>
      </c>
    </row>
    <row r="7" spans="2:15" ht="15.5" x14ac:dyDescent="0.35">
      <c r="B7" s="4">
        <v>1</v>
      </c>
      <c r="C7" s="5">
        <v>0</v>
      </c>
      <c r="D7" s="5">
        <v>3200</v>
      </c>
      <c r="E7" s="5">
        <v>5913</v>
      </c>
      <c r="F7" s="5">
        <v>6052</v>
      </c>
      <c r="G7" s="5">
        <v>6292</v>
      </c>
      <c r="H7" s="5">
        <v>6447</v>
      </c>
      <c r="I7" s="6">
        <v>6515</v>
      </c>
      <c r="J7" s="7">
        <v>981</v>
      </c>
      <c r="K7" s="5">
        <v>1016</v>
      </c>
      <c r="L7" s="5">
        <v>1050</v>
      </c>
      <c r="M7" s="5">
        <v>1236</v>
      </c>
      <c r="N7" s="5">
        <v>874</v>
      </c>
      <c r="O7" s="6">
        <v>5353</v>
      </c>
    </row>
    <row r="8" spans="2:15" ht="15.5" x14ac:dyDescent="0.35">
      <c r="B8" s="4">
        <v>1.5</v>
      </c>
      <c r="C8" s="5">
        <v>0</v>
      </c>
      <c r="D8" s="5">
        <v>5453</v>
      </c>
      <c r="E8" s="5">
        <v>6125</v>
      </c>
      <c r="F8" s="5">
        <v>6349</v>
      </c>
      <c r="G8" s="5">
        <v>6456</v>
      </c>
      <c r="H8" s="5">
        <v>6544</v>
      </c>
      <c r="I8" s="6">
        <v>6592</v>
      </c>
      <c r="J8" s="7">
        <v>207</v>
      </c>
      <c r="K8" s="5">
        <v>244</v>
      </c>
      <c r="L8" s="5">
        <v>292</v>
      </c>
      <c r="M8" s="5">
        <v>417</v>
      </c>
      <c r="N8" s="5">
        <v>377</v>
      </c>
      <c r="O8" s="6">
        <v>4066</v>
      </c>
    </row>
    <row r="9" spans="2:15" ht="15.5" x14ac:dyDescent="0.35">
      <c r="B9" s="4">
        <v>2</v>
      </c>
      <c r="C9" s="5">
        <v>0</v>
      </c>
      <c r="D9" s="5">
        <v>6113</v>
      </c>
      <c r="E9" s="5">
        <v>6471</v>
      </c>
      <c r="F9" s="5">
        <v>6547</v>
      </c>
      <c r="G9" s="5">
        <v>6603</v>
      </c>
      <c r="H9" s="5">
        <v>6659</v>
      </c>
      <c r="I9" s="6">
        <v>6699</v>
      </c>
      <c r="J9" s="7">
        <v>56</v>
      </c>
      <c r="K9" s="5">
        <v>68</v>
      </c>
      <c r="L9" s="5">
        <v>89</v>
      </c>
      <c r="M9" s="5">
        <v>129</v>
      </c>
      <c r="N9" s="5">
        <v>71</v>
      </c>
      <c r="O9" s="6">
        <v>1922</v>
      </c>
    </row>
    <row r="10" spans="2:15" ht="15.5" x14ac:dyDescent="0.35">
      <c r="B10" s="4">
        <v>3</v>
      </c>
      <c r="C10" s="5">
        <v>0</v>
      </c>
      <c r="D10" s="5">
        <v>6623</v>
      </c>
      <c r="E10" s="5">
        <v>6760</v>
      </c>
      <c r="F10" s="5">
        <v>6765</v>
      </c>
      <c r="G10" s="5">
        <v>6765</v>
      </c>
      <c r="H10" s="5">
        <v>6765</v>
      </c>
      <c r="I10" s="5">
        <v>6765</v>
      </c>
      <c r="J10" s="7">
        <v>0</v>
      </c>
      <c r="K10" s="5">
        <v>0</v>
      </c>
      <c r="L10" s="5">
        <v>4</v>
      </c>
      <c r="M10" s="5">
        <v>6</v>
      </c>
      <c r="N10" s="5">
        <v>71</v>
      </c>
      <c r="O10" s="6">
        <v>742</v>
      </c>
    </row>
    <row r="11" spans="2:15" ht="15.5" x14ac:dyDescent="0.35">
      <c r="B11" s="4">
        <v>4</v>
      </c>
      <c r="C11" s="5">
        <v>0</v>
      </c>
      <c r="D11" s="5">
        <v>6623</v>
      </c>
      <c r="E11" s="5">
        <v>6760</v>
      </c>
      <c r="F11" s="5">
        <v>6765</v>
      </c>
      <c r="G11" s="5">
        <v>6765</v>
      </c>
      <c r="H11" s="5">
        <v>6765</v>
      </c>
      <c r="I11" s="5">
        <v>6765</v>
      </c>
      <c r="J11" s="7">
        <v>0</v>
      </c>
      <c r="K11" s="5">
        <v>0</v>
      </c>
      <c r="L11" s="5">
        <v>4</v>
      </c>
      <c r="M11" s="5">
        <v>6</v>
      </c>
      <c r="N11" s="5">
        <v>71</v>
      </c>
      <c r="O11" s="6">
        <v>742</v>
      </c>
    </row>
    <row r="12" spans="2:15" ht="15.5" x14ac:dyDescent="0.35">
      <c r="B12" s="4">
        <v>5</v>
      </c>
      <c r="C12" s="5">
        <v>0</v>
      </c>
      <c r="D12" s="5">
        <v>6623</v>
      </c>
      <c r="E12" s="5">
        <v>6760</v>
      </c>
      <c r="F12" s="5">
        <v>6765</v>
      </c>
      <c r="G12" s="5">
        <v>6765</v>
      </c>
      <c r="H12" s="5">
        <v>6765</v>
      </c>
      <c r="I12" s="5">
        <v>6765</v>
      </c>
      <c r="J12" s="7">
        <v>0</v>
      </c>
      <c r="K12" s="5">
        <v>0</v>
      </c>
      <c r="L12" s="5">
        <v>4</v>
      </c>
      <c r="M12" s="5">
        <v>6</v>
      </c>
      <c r="N12" s="5">
        <v>71</v>
      </c>
      <c r="O12" s="6">
        <v>742</v>
      </c>
    </row>
    <row r="13" spans="2:15" ht="15.5" x14ac:dyDescent="0.35">
      <c r="B13" s="4">
        <v>6</v>
      </c>
      <c r="C13" s="5">
        <v>0</v>
      </c>
      <c r="D13" s="5">
        <v>6623</v>
      </c>
      <c r="E13" s="5">
        <v>6760</v>
      </c>
      <c r="F13" s="5">
        <v>6765</v>
      </c>
      <c r="G13" s="5">
        <v>6765</v>
      </c>
      <c r="H13" s="5">
        <v>6765</v>
      </c>
      <c r="I13" s="5">
        <v>6765</v>
      </c>
      <c r="J13" s="7">
        <v>0</v>
      </c>
      <c r="K13" s="5">
        <v>0</v>
      </c>
      <c r="L13" s="5">
        <v>4</v>
      </c>
      <c r="M13" s="5">
        <v>6</v>
      </c>
      <c r="N13" s="5">
        <v>71</v>
      </c>
      <c r="O13" s="6">
        <v>742</v>
      </c>
    </row>
    <row r="14" spans="2:15" ht="15.5" x14ac:dyDescent="0.35">
      <c r="B14" s="4">
        <v>7</v>
      </c>
      <c r="C14" s="5">
        <v>0</v>
      </c>
      <c r="D14" s="5">
        <v>6623</v>
      </c>
      <c r="E14" s="5">
        <v>6760</v>
      </c>
      <c r="F14" s="5">
        <v>6765</v>
      </c>
      <c r="G14" s="5">
        <v>6765</v>
      </c>
      <c r="H14" s="5">
        <v>6765</v>
      </c>
      <c r="I14" s="5">
        <v>6765</v>
      </c>
      <c r="J14" s="7">
        <v>0</v>
      </c>
      <c r="K14" s="5">
        <v>0</v>
      </c>
      <c r="L14" s="5">
        <v>4</v>
      </c>
      <c r="M14" s="5">
        <v>6</v>
      </c>
      <c r="N14" s="5">
        <v>71</v>
      </c>
      <c r="O14" s="6">
        <v>742</v>
      </c>
    </row>
    <row r="15" spans="2:15" ht="15.5" x14ac:dyDescent="0.35">
      <c r="B15" s="4">
        <v>8</v>
      </c>
      <c r="C15" s="5">
        <v>0</v>
      </c>
      <c r="D15" s="5">
        <v>6060</v>
      </c>
      <c r="E15" s="5">
        <v>6340</v>
      </c>
      <c r="F15" s="5">
        <v>6376</v>
      </c>
      <c r="G15" s="5">
        <v>6397</v>
      </c>
      <c r="H15" s="5">
        <v>6415</v>
      </c>
      <c r="I15" s="6">
        <v>6424</v>
      </c>
      <c r="J15" s="7">
        <v>0</v>
      </c>
      <c r="K15" s="5">
        <v>25</v>
      </c>
      <c r="L15" s="5">
        <v>56</v>
      </c>
      <c r="M15" s="5">
        <v>102</v>
      </c>
      <c r="N15" s="5">
        <v>310</v>
      </c>
      <c r="O15" s="6">
        <v>5139</v>
      </c>
    </row>
    <row r="16" spans="2:15" ht="15.5" x14ac:dyDescent="0.35">
      <c r="B16" s="4">
        <v>8.5</v>
      </c>
      <c r="C16" s="5">
        <v>0</v>
      </c>
      <c r="D16" s="5">
        <v>5118</v>
      </c>
      <c r="E16" s="5">
        <v>5549</v>
      </c>
      <c r="F16" s="5">
        <v>5699</v>
      </c>
      <c r="G16" s="5">
        <v>5794</v>
      </c>
      <c r="H16" s="5">
        <v>5862</v>
      </c>
      <c r="I16" s="6">
        <v>5890</v>
      </c>
      <c r="J16" s="7">
        <v>25</v>
      </c>
      <c r="K16" s="5">
        <v>81</v>
      </c>
      <c r="L16" s="5">
        <v>139</v>
      </c>
      <c r="M16" s="5">
        <v>313</v>
      </c>
      <c r="N16" s="5">
        <v>1135</v>
      </c>
      <c r="O16" s="18" t="s">
        <v>19</v>
      </c>
    </row>
    <row r="17" spans="2:15" ht="15.5" x14ac:dyDescent="0.35">
      <c r="B17" s="4">
        <v>9</v>
      </c>
      <c r="C17" s="5">
        <v>0</v>
      </c>
      <c r="D17" s="5">
        <v>3678</v>
      </c>
      <c r="E17" s="5">
        <v>4314</v>
      </c>
      <c r="F17" s="5">
        <v>4584</v>
      </c>
      <c r="G17" s="5">
        <v>4803</v>
      </c>
      <c r="H17" s="5">
        <v>4981</v>
      </c>
      <c r="I17" s="6">
        <v>5076</v>
      </c>
      <c r="J17" s="7">
        <v>43</v>
      </c>
      <c r="K17" s="5">
        <v>193</v>
      </c>
      <c r="L17" s="5">
        <v>492</v>
      </c>
      <c r="M17" s="5">
        <v>1306</v>
      </c>
      <c r="N17" s="17" t="s">
        <v>16</v>
      </c>
      <c r="O17" s="18" t="s">
        <v>19</v>
      </c>
    </row>
    <row r="18" spans="2:15" ht="15.5" x14ac:dyDescent="0.35">
      <c r="B18" s="4">
        <v>9.5</v>
      </c>
      <c r="C18" s="5">
        <v>0</v>
      </c>
      <c r="D18" s="5">
        <v>1890</v>
      </c>
      <c r="E18" s="5">
        <v>2389</v>
      </c>
      <c r="F18" s="5">
        <v>2660</v>
      </c>
      <c r="G18" s="5">
        <v>2916</v>
      </c>
      <c r="H18" s="5">
        <v>3140</v>
      </c>
      <c r="I18" s="6">
        <v>3246</v>
      </c>
      <c r="J18" s="7">
        <v>60</v>
      </c>
      <c r="K18" s="5">
        <v>495</v>
      </c>
      <c r="L18" s="5">
        <v>2921</v>
      </c>
      <c r="M18" s="17" t="s">
        <v>16</v>
      </c>
      <c r="N18" s="17" t="s">
        <v>16</v>
      </c>
      <c r="O18" s="18" t="s">
        <v>19</v>
      </c>
    </row>
    <row r="19" spans="2:15" ht="16" thickBot="1" x14ac:dyDescent="0.4">
      <c r="B19" s="8">
        <v>10</v>
      </c>
      <c r="C19" s="9">
        <v>0</v>
      </c>
      <c r="D19" s="9">
        <v>440</v>
      </c>
      <c r="E19" s="9">
        <v>385</v>
      </c>
      <c r="F19" s="9">
        <v>163</v>
      </c>
      <c r="G19" s="9" t="s">
        <v>17</v>
      </c>
      <c r="H19" s="9">
        <v>191</v>
      </c>
      <c r="I19" s="10">
        <v>385</v>
      </c>
      <c r="J19" s="11">
        <v>148</v>
      </c>
      <c r="K19" s="20" t="s">
        <v>16</v>
      </c>
      <c r="L19" s="20" t="s">
        <v>16</v>
      </c>
      <c r="M19" s="20" t="s">
        <v>16</v>
      </c>
      <c r="N19" s="20" t="s">
        <v>16</v>
      </c>
      <c r="O19" s="19" t="s">
        <v>19</v>
      </c>
    </row>
    <row r="23" spans="2:15" ht="15.5" x14ac:dyDescent="0.35">
      <c r="B23" s="21" t="s">
        <v>20</v>
      </c>
      <c r="D23">
        <v>1.1000000000000001</v>
      </c>
      <c r="E23" t="s">
        <v>23</v>
      </c>
    </row>
    <row r="24" spans="2:15" ht="15.5" x14ac:dyDescent="0.35">
      <c r="B24" s="21" t="s">
        <v>21</v>
      </c>
      <c r="D24">
        <v>8.1340000000000003</v>
      </c>
      <c r="E24" t="s">
        <v>23</v>
      </c>
    </row>
    <row r="25" spans="2:15" ht="15.5" x14ac:dyDescent="0.35">
      <c r="B25" s="21" t="s">
        <v>22</v>
      </c>
      <c r="D25">
        <v>1.2849999999999999</v>
      </c>
      <c r="E25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/>
  </sheetViews>
  <sheetFormatPr defaultRowHeight="14.5" x14ac:dyDescent="0.35"/>
  <cols>
    <col min="3" max="3" width="10.08984375" customWidth="1"/>
    <col min="10" max="10" width="10.6328125" customWidth="1"/>
    <col min="13" max="13" width="13.7265625" customWidth="1"/>
  </cols>
  <sheetData>
    <row r="2" spans="2:14" x14ac:dyDescent="0.35">
      <c r="B2" s="35" t="s">
        <v>72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x14ac:dyDescent="0.35">
      <c r="B3" s="22" t="s">
        <v>24</v>
      </c>
      <c r="C3" s="22"/>
      <c r="D3" s="22">
        <v>0</v>
      </c>
      <c r="E3" s="22"/>
      <c r="F3" s="22">
        <v>1</v>
      </c>
      <c r="G3" s="22"/>
      <c r="H3" s="22">
        <v>2</v>
      </c>
      <c r="I3" s="22"/>
      <c r="J3" s="23"/>
      <c r="K3" s="23"/>
      <c r="L3" s="23"/>
      <c r="M3" s="23"/>
      <c r="N3" s="23"/>
    </row>
    <row r="4" spans="2:14" x14ac:dyDescent="0.35">
      <c r="B4" s="24"/>
      <c r="C4" s="24" t="s">
        <v>25</v>
      </c>
      <c r="D4" s="22">
        <v>5</v>
      </c>
      <c r="E4" s="22"/>
      <c r="F4" s="22">
        <v>8</v>
      </c>
      <c r="G4" s="22"/>
      <c r="H4" s="22">
        <v>-1</v>
      </c>
      <c r="I4" s="22"/>
      <c r="J4" s="25" t="s">
        <v>26</v>
      </c>
      <c r="K4" s="25" t="s">
        <v>27</v>
      </c>
      <c r="L4" s="25" t="s">
        <v>28</v>
      </c>
      <c r="M4" s="26" t="s">
        <v>73</v>
      </c>
      <c r="N4" s="25" t="s">
        <v>74</v>
      </c>
    </row>
    <row r="5" spans="2:14" ht="81" customHeight="1" x14ac:dyDescent="0.35">
      <c r="B5" s="24" t="s">
        <v>36</v>
      </c>
      <c r="C5" s="24" t="s">
        <v>25</v>
      </c>
      <c r="D5" s="23" t="s">
        <v>29</v>
      </c>
      <c r="E5" s="23" t="s">
        <v>30</v>
      </c>
      <c r="F5" s="27" t="s">
        <v>31</v>
      </c>
      <c r="G5" s="23" t="s">
        <v>30</v>
      </c>
      <c r="H5" s="23" t="s">
        <v>32</v>
      </c>
      <c r="I5" s="23" t="s">
        <v>30</v>
      </c>
      <c r="J5" s="25"/>
      <c r="K5" s="25"/>
      <c r="L5" s="25"/>
      <c r="M5" s="26"/>
      <c r="N5" s="25"/>
    </row>
    <row r="6" spans="2:14" x14ac:dyDescent="0.35">
      <c r="B6" s="28">
        <v>0</v>
      </c>
      <c r="C6" s="24">
        <v>0.5</v>
      </c>
      <c r="D6" s="28">
        <v>0</v>
      </c>
      <c r="E6" s="23">
        <f>D6*C6</f>
        <v>0</v>
      </c>
      <c r="F6" s="23">
        <v>0</v>
      </c>
      <c r="G6" s="23">
        <f>F6*C6</f>
        <v>0</v>
      </c>
      <c r="H6" s="23">
        <v>0</v>
      </c>
      <c r="I6" s="23">
        <f>H6*C6</f>
        <v>0</v>
      </c>
      <c r="J6" s="23">
        <f>8*D6+8*F6-1*H6</f>
        <v>0</v>
      </c>
      <c r="K6" s="23">
        <f>J6/12*N27*2</f>
        <v>0</v>
      </c>
      <c r="L6" s="23">
        <f>K6*C6</f>
        <v>0</v>
      </c>
      <c r="M6" s="24">
        <v>-5</v>
      </c>
      <c r="N6" s="23">
        <f>L6*M6</f>
        <v>0</v>
      </c>
    </row>
    <row r="7" spans="2:14" x14ac:dyDescent="0.35">
      <c r="B7" s="28">
        <v>0.5</v>
      </c>
      <c r="C7" s="24">
        <v>2</v>
      </c>
      <c r="D7" s="28">
        <v>0</v>
      </c>
      <c r="E7" s="23">
        <f t="shared" ref="E7:E20" si="0">D7*C7</f>
        <v>0</v>
      </c>
      <c r="F7" s="23">
        <v>0</v>
      </c>
      <c r="G7" s="23">
        <f t="shared" ref="G7:G20" si="1">F7*C7</f>
        <v>0</v>
      </c>
      <c r="H7" s="23">
        <v>0</v>
      </c>
      <c r="I7" s="23">
        <f t="shared" ref="I7:I20" si="2">H7*C7</f>
        <v>0</v>
      </c>
      <c r="J7" s="23">
        <f>8*D7+8*F7-1*H7</f>
        <v>0</v>
      </c>
      <c r="K7" s="23">
        <f>J7/12*N27*2</f>
        <v>0</v>
      </c>
      <c r="L7" s="23">
        <f t="shared" ref="L7:L20" si="3">K7*C7</f>
        <v>0</v>
      </c>
      <c r="M7" s="24">
        <v>-4.5</v>
      </c>
      <c r="N7" s="23">
        <f t="shared" ref="N7:N20" si="4">L7*M7</f>
        <v>0</v>
      </c>
    </row>
    <row r="8" spans="2:14" x14ac:dyDescent="0.35">
      <c r="B8" s="28">
        <v>1</v>
      </c>
      <c r="C8" s="24">
        <v>1</v>
      </c>
      <c r="D8" s="28">
        <v>0</v>
      </c>
      <c r="E8" s="23">
        <f t="shared" si="0"/>
        <v>0</v>
      </c>
      <c r="F8" s="23">
        <v>2.5644</v>
      </c>
      <c r="G8" s="23">
        <f t="shared" si="1"/>
        <v>2.5644</v>
      </c>
      <c r="H8" s="23">
        <v>4.4808000000000003</v>
      </c>
      <c r="I8" s="23">
        <f t="shared" si="2"/>
        <v>4.4808000000000003</v>
      </c>
      <c r="J8" s="23">
        <f>8*D8+8*F8-1*H8</f>
        <v>16.034399999999998</v>
      </c>
      <c r="K8" s="23">
        <f>J8/12*N27*2</f>
        <v>2.9396399999999998</v>
      </c>
      <c r="L8" s="23">
        <f t="shared" si="3"/>
        <v>2.9396399999999998</v>
      </c>
      <c r="M8" s="24">
        <v>-4</v>
      </c>
      <c r="N8" s="23">
        <f t="shared" si="4"/>
        <v>-11.758559999999999</v>
      </c>
    </row>
    <row r="9" spans="2:14" x14ac:dyDescent="0.35">
      <c r="B9" s="28">
        <v>1.5</v>
      </c>
      <c r="C9" s="24">
        <v>2</v>
      </c>
      <c r="D9" s="28">
        <v>0</v>
      </c>
      <c r="E9" s="23">
        <f t="shared" si="0"/>
        <v>0</v>
      </c>
      <c r="F9" s="23">
        <v>4.4341999999999997</v>
      </c>
      <c r="G9" s="23">
        <f t="shared" si="1"/>
        <v>8.8683999999999994</v>
      </c>
      <c r="H9" s="23">
        <v>4.9798999999999998</v>
      </c>
      <c r="I9" s="23">
        <f t="shared" si="2"/>
        <v>9.9597999999999995</v>
      </c>
      <c r="J9" s="23">
        <f t="shared" ref="J9:J20" si="5">8*D9+8*F9-1*H9</f>
        <v>30.493699999999997</v>
      </c>
      <c r="K9" s="23">
        <f>J9/12*N27*2</f>
        <v>5.590511666666667</v>
      </c>
      <c r="L9" s="23">
        <f t="shared" si="3"/>
        <v>11.181023333333334</v>
      </c>
      <c r="M9" s="24">
        <v>-3.5</v>
      </c>
      <c r="N9" s="23">
        <f t="shared" si="4"/>
        <v>-39.133581666666672</v>
      </c>
    </row>
    <row r="10" spans="2:14" x14ac:dyDescent="0.35">
      <c r="B10" s="28">
        <v>2</v>
      </c>
      <c r="C10" s="24">
        <v>1.5</v>
      </c>
      <c r="D10" s="28">
        <v>0</v>
      </c>
      <c r="E10" s="23">
        <f t="shared" si="0"/>
        <v>0</v>
      </c>
      <c r="F10" s="23">
        <v>4.97</v>
      </c>
      <c r="G10" s="23">
        <f t="shared" si="1"/>
        <v>7.4550000000000001</v>
      </c>
      <c r="H10" s="23">
        <v>5.2610999999999999</v>
      </c>
      <c r="I10" s="23">
        <f t="shared" si="2"/>
        <v>7.8916500000000003</v>
      </c>
      <c r="J10" s="23">
        <f>8*D10+8*F10-1*H10</f>
        <v>34.498899999999999</v>
      </c>
      <c r="K10" s="23">
        <f>J10/12*N27*2</f>
        <v>6.3247983333333337</v>
      </c>
      <c r="L10" s="23">
        <f t="shared" si="3"/>
        <v>9.4871975000000006</v>
      </c>
      <c r="M10" s="24">
        <v>-3</v>
      </c>
      <c r="N10" s="23">
        <f t="shared" si="4"/>
        <v>-28.461592500000002</v>
      </c>
    </row>
    <row r="11" spans="2:14" x14ac:dyDescent="0.35">
      <c r="B11" s="28">
        <v>3</v>
      </c>
      <c r="C11" s="24">
        <v>4</v>
      </c>
      <c r="D11" s="28">
        <v>0</v>
      </c>
      <c r="E11" s="23">
        <f t="shared" si="0"/>
        <v>0</v>
      </c>
      <c r="F11" s="23">
        <v>5.3846999999999996</v>
      </c>
      <c r="G11" s="23">
        <f t="shared" si="1"/>
        <v>21.538799999999998</v>
      </c>
      <c r="H11" s="23">
        <v>5.4965000000000002</v>
      </c>
      <c r="I11" s="23">
        <f t="shared" si="2"/>
        <v>21.986000000000001</v>
      </c>
      <c r="J11" s="23">
        <f t="shared" si="5"/>
        <v>37.581099999999999</v>
      </c>
      <c r="K11" s="23">
        <f>J11/12*N27*2</f>
        <v>6.8898683333333341</v>
      </c>
      <c r="L11" s="23">
        <f t="shared" si="3"/>
        <v>27.559473333333337</v>
      </c>
      <c r="M11" s="24">
        <v>-2</v>
      </c>
      <c r="N11" s="23">
        <f t="shared" si="4"/>
        <v>-55.118946666666673</v>
      </c>
    </row>
    <row r="12" spans="2:14" x14ac:dyDescent="0.35">
      <c r="B12" s="28">
        <v>4</v>
      </c>
      <c r="C12" s="24">
        <v>1</v>
      </c>
      <c r="D12" s="28">
        <v>0</v>
      </c>
      <c r="E12" s="23">
        <f t="shared" si="0"/>
        <v>0</v>
      </c>
      <c r="F12" s="23">
        <v>5.3846999999999996</v>
      </c>
      <c r="G12" s="23">
        <f t="shared" si="1"/>
        <v>5.3846999999999996</v>
      </c>
      <c r="H12" s="23">
        <v>5.4965000000000002</v>
      </c>
      <c r="I12" s="23">
        <f t="shared" si="2"/>
        <v>5.4965000000000002</v>
      </c>
      <c r="J12" s="23">
        <f t="shared" si="5"/>
        <v>37.581099999999999</v>
      </c>
      <c r="K12" s="23">
        <f>J12/12*N27*2</f>
        <v>6.8898683333333341</v>
      </c>
      <c r="L12" s="23">
        <f t="shared" si="3"/>
        <v>6.8898683333333341</v>
      </c>
      <c r="M12" s="24">
        <v>-1</v>
      </c>
      <c r="N12" s="23">
        <f t="shared" si="4"/>
        <v>-6.8898683333333341</v>
      </c>
    </row>
    <row r="13" spans="2:14" x14ac:dyDescent="0.35">
      <c r="B13" s="28">
        <v>5</v>
      </c>
      <c r="C13" s="24">
        <v>4</v>
      </c>
      <c r="D13" s="28">
        <v>0</v>
      </c>
      <c r="E13" s="23">
        <f t="shared" si="0"/>
        <v>0</v>
      </c>
      <c r="F13" s="23">
        <v>5.3846999999999996</v>
      </c>
      <c r="G13" s="23">
        <f t="shared" si="1"/>
        <v>21.538799999999998</v>
      </c>
      <c r="H13" s="23">
        <v>5.4965000000000002</v>
      </c>
      <c r="I13" s="23">
        <f t="shared" si="2"/>
        <v>21.986000000000001</v>
      </c>
      <c r="J13" s="23">
        <f t="shared" si="5"/>
        <v>37.581099999999999</v>
      </c>
      <c r="K13" s="23">
        <f>J13/12*N27*2</f>
        <v>6.8898683333333341</v>
      </c>
      <c r="L13" s="23">
        <f t="shared" si="3"/>
        <v>27.559473333333337</v>
      </c>
      <c r="M13" s="24">
        <v>0</v>
      </c>
      <c r="N13" s="23">
        <f t="shared" si="4"/>
        <v>0</v>
      </c>
    </row>
    <row r="14" spans="2:14" x14ac:dyDescent="0.35">
      <c r="B14" s="28">
        <v>6</v>
      </c>
      <c r="C14" s="24">
        <v>2</v>
      </c>
      <c r="D14" s="28">
        <v>0</v>
      </c>
      <c r="E14" s="23">
        <f t="shared" si="0"/>
        <v>0</v>
      </c>
      <c r="F14" s="23">
        <v>5.3846999999999996</v>
      </c>
      <c r="G14" s="23">
        <f t="shared" si="1"/>
        <v>10.769399999999999</v>
      </c>
      <c r="H14" s="23">
        <v>5.4965000000000002</v>
      </c>
      <c r="I14" s="23">
        <f t="shared" si="2"/>
        <v>10.993</v>
      </c>
      <c r="J14" s="23">
        <f t="shared" si="5"/>
        <v>37.581099999999999</v>
      </c>
      <c r="K14" s="23">
        <f>J14/12*N27*2</f>
        <v>6.8898683333333341</v>
      </c>
      <c r="L14" s="23">
        <f t="shared" si="3"/>
        <v>13.779736666666668</v>
      </c>
      <c r="M14" s="24">
        <v>1</v>
      </c>
      <c r="N14" s="23">
        <f t="shared" si="4"/>
        <v>13.779736666666668</v>
      </c>
    </row>
    <row r="15" spans="2:14" x14ac:dyDescent="0.35">
      <c r="B15" s="28">
        <v>7</v>
      </c>
      <c r="C15" s="24">
        <v>4</v>
      </c>
      <c r="D15" s="28">
        <v>0</v>
      </c>
      <c r="E15" s="23">
        <f t="shared" si="0"/>
        <v>0</v>
      </c>
      <c r="F15" s="23">
        <v>5.3846999999999996</v>
      </c>
      <c r="G15" s="23">
        <f t="shared" si="1"/>
        <v>21.538799999999998</v>
      </c>
      <c r="H15" s="23">
        <v>5.4965000000000002</v>
      </c>
      <c r="I15" s="23">
        <f t="shared" si="2"/>
        <v>21.986000000000001</v>
      </c>
      <c r="J15" s="23">
        <f t="shared" si="5"/>
        <v>37.581099999999999</v>
      </c>
      <c r="K15" s="23">
        <f>J15/12*N27*2</f>
        <v>6.8898683333333341</v>
      </c>
      <c r="L15" s="23">
        <f t="shared" si="3"/>
        <v>27.559473333333337</v>
      </c>
      <c r="M15" s="24">
        <v>2</v>
      </c>
      <c r="N15" s="23">
        <f t="shared" si="4"/>
        <v>55.118946666666673</v>
      </c>
    </row>
    <row r="16" spans="2:14" x14ac:dyDescent="0.35">
      <c r="B16" s="28">
        <v>8</v>
      </c>
      <c r="C16" s="24">
        <v>1.5</v>
      </c>
      <c r="D16" s="28">
        <v>0</v>
      </c>
      <c r="E16" s="23">
        <f t="shared" si="0"/>
        <v>0</v>
      </c>
      <c r="F16" s="23">
        <v>4.9272999999999998</v>
      </c>
      <c r="G16" s="23">
        <f t="shared" si="1"/>
        <v>7.3909500000000001</v>
      </c>
      <c r="H16" s="23">
        <v>5.1551999999999998</v>
      </c>
      <c r="I16" s="23">
        <f t="shared" si="2"/>
        <v>7.7327999999999992</v>
      </c>
      <c r="J16" s="23">
        <f t="shared" si="5"/>
        <v>34.263199999999998</v>
      </c>
      <c r="K16" s="23">
        <f>J16/12*N27*2</f>
        <v>6.2815866666666667</v>
      </c>
      <c r="L16" s="23">
        <f t="shared" si="3"/>
        <v>9.4223800000000004</v>
      </c>
      <c r="M16" s="24">
        <v>3</v>
      </c>
      <c r="N16" s="23">
        <f t="shared" si="4"/>
        <v>28.267140000000001</v>
      </c>
    </row>
    <row r="17" spans="2:14" x14ac:dyDescent="0.35">
      <c r="B17" s="28">
        <v>8.5</v>
      </c>
      <c r="C17" s="24">
        <v>2</v>
      </c>
      <c r="D17" s="28">
        <v>0</v>
      </c>
      <c r="E17" s="23">
        <f t="shared" si="0"/>
        <v>0</v>
      </c>
      <c r="F17" s="23">
        <v>4.1715</v>
      </c>
      <c r="G17" s="23">
        <f t="shared" si="1"/>
        <v>8.343</v>
      </c>
      <c r="H17" s="23">
        <v>4.5117000000000003</v>
      </c>
      <c r="I17" s="23">
        <f t="shared" si="2"/>
        <v>9.0234000000000005</v>
      </c>
      <c r="J17" s="23">
        <f t="shared" si="5"/>
        <v>28.860299999999999</v>
      </c>
      <c r="K17" s="23">
        <f>J17/12*N27*2</f>
        <v>5.2910550000000001</v>
      </c>
      <c r="L17" s="23">
        <f t="shared" si="3"/>
        <v>10.58211</v>
      </c>
      <c r="M17" s="24">
        <v>3.5</v>
      </c>
      <c r="N17" s="23">
        <f t="shared" si="4"/>
        <v>37.037385</v>
      </c>
    </row>
    <row r="18" spans="2:14" x14ac:dyDescent="0.35">
      <c r="B18" s="28">
        <v>9</v>
      </c>
      <c r="C18" s="24">
        <v>1</v>
      </c>
      <c r="D18" s="28">
        <v>0</v>
      </c>
      <c r="E18" s="23">
        <f t="shared" si="0"/>
        <v>0</v>
      </c>
      <c r="F18" s="23">
        <v>3.0457000000000001</v>
      </c>
      <c r="G18" s="23">
        <f t="shared" si="1"/>
        <v>3.0457000000000001</v>
      </c>
      <c r="H18" s="23">
        <v>3.5143</v>
      </c>
      <c r="I18" s="23">
        <f t="shared" si="2"/>
        <v>3.5143</v>
      </c>
      <c r="J18" s="23">
        <f t="shared" si="5"/>
        <v>20.851300000000002</v>
      </c>
      <c r="K18" s="23">
        <f>J18/12*N27*2</f>
        <v>3.822738333333334</v>
      </c>
      <c r="L18" s="23">
        <f t="shared" si="3"/>
        <v>3.822738333333334</v>
      </c>
      <c r="M18" s="24">
        <v>4</v>
      </c>
      <c r="N18" s="23">
        <f t="shared" si="4"/>
        <v>15.290953333333336</v>
      </c>
    </row>
    <row r="19" spans="2:14" x14ac:dyDescent="0.35">
      <c r="B19" s="28">
        <v>9.5</v>
      </c>
      <c r="C19" s="24">
        <v>2</v>
      </c>
      <c r="D19" s="28">
        <v>0</v>
      </c>
      <c r="E19" s="23">
        <f t="shared" si="0"/>
        <v>0</v>
      </c>
      <c r="F19" s="23">
        <v>1.6696</v>
      </c>
      <c r="G19" s="23">
        <f t="shared" si="1"/>
        <v>3.3391999999999999</v>
      </c>
      <c r="H19" s="23">
        <v>2.0121000000000002</v>
      </c>
      <c r="I19" s="23">
        <f t="shared" si="2"/>
        <v>4.0242000000000004</v>
      </c>
      <c r="J19" s="23">
        <f t="shared" si="5"/>
        <v>11.3447</v>
      </c>
      <c r="K19" s="23">
        <f>J19/12*N27*2</f>
        <v>2.0798616666666669</v>
      </c>
      <c r="L19" s="23">
        <f t="shared" si="3"/>
        <v>4.1597233333333339</v>
      </c>
      <c r="M19" s="24">
        <v>4.5</v>
      </c>
      <c r="N19" s="23">
        <f t="shared" si="4"/>
        <v>18.718755000000002</v>
      </c>
    </row>
    <row r="20" spans="2:14" x14ac:dyDescent="0.35">
      <c r="B20" s="28">
        <v>10</v>
      </c>
      <c r="C20" s="24">
        <v>0.5</v>
      </c>
      <c r="D20" s="28">
        <v>0</v>
      </c>
      <c r="E20" s="23">
        <f t="shared" si="0"/>
        <v>0</v>
      </c>
      <c r="F20" s="23">
        <v>0.35880000000000001</v>
      </c>
      <c r="G20" s="23">
        <f t="shared" si="1"/>
        <v>0.1794</v>
      </c>
      <c r="H20" s="23">
        <v>0.31259999999999999</v>
      </c>
      <c r="I20" s="23">
        <f t="shared" si="2"/>
        <v>0.15629999999999999</v>
      </c>
      <c r="J20" s="23">
        <f t="shared" si="5"/>
        <v>2.5578000000000003</v>
      </c>
      <c r="K20" s="23">
        <f>J20/12*N27*2</f>
        <v>0.46893000000000012</v>
      </c>
      <c r="L20" s="23">
        <f t="shared" si="3"/>
        <v>0.23446500000000006</v>
      </c>
      <c r="M20" s="24">
        <v>5</v>
      </c>
      <c r="N20" s="23">
        <f t="shared" si="4"/>
        <v>1.1723250000000003</v>
      </c>
    </row>
    <row r="21" spans="2:14" ht="72.5" x14ac:dyDescent="0.35">
      <c r="B21" s="29" t="s">
        <v>91</v>
      </c>
      <c r="C21" s="29"/>
      <c r="D21" s="30" t="s">
        <v>75</v>
      </c>
      <c r="E21" s="23">
        <f>SUM(E6:E20)</f>
        <v>0</v>
      </c>
      <c r="F21" s="30" t="s">
        <v>76</v>
      </c>
      <c r="G21" s="23">
        <f>SUM(G6:G20)</f>
        <v>121.95655000000001</v>
      </c>
      <c r="H21" s="30" t="s">
        <v>77</v>
      </c>
      <c r="I21" s="23">
        <f>SUM(I6:I20)</f>
        <v>129.23075</v>
      </c>
      <c r="J21" s="31" t="s">
        <v>78</v>
      </c>
      <c r="K21" s="31"/>
      <c r="L21" s="23">
        <f>SUM(L6:L20)</f>
        <v>155.17730250000005</v>
      </c>
      <c r="M21" s="30" t="s">
        <v>79</v>
      </c>
      <c r="N21" s="23">
        <f>SUM(N6:N20)</f>
        <v>28.022692499999977</v>
      </c>
    </row>
    <row r="22" spans="2:14" x14ac:dyDescent="0.35">
      <c r="B22" s="29" t="s">
        <v>92</v>
      </c>
      <c r="C22" s="29"/>
      <c r="D22" s="31">
        <f>E21*G27/3*2</f>
        <v>0</v>
      </c>
      <c r="E22" s="31"/>
      <c r="F22" s="31">
        <f>G21*G27/3*2</f>
        <v>661.3297184666668</v>
      </c>
      <c r="G22" s="31"/>
      <c r="H22" s="31">
        <f>I21*G27/3*2</f>
        <v>700.7752803333334</v>
      </c>
      <c r="I22" s="31"/>
      <c r="J22" s="31"/>
      <c r="K22" s="31"/>
      <c r="L22" s="31"/>
      <c r="M22" s="31"/>
      <c r="N22" s="31"/>
    </row>
    <row r="23" spans="2:14" x14ac:dyDescent="0.35">
      <c r="B23" s="32" t="s">
        <v>25</v>
      </c>
      <c r="C23" s="32"/>
      <c r="D23" s="26">
        <v>5</v>
      </c>
      <c r="E23" s="26"/>
      <c r="F23" s="25">
        <v>8</v>
      </c>
      <c r="G23" s="25"/>
      <c r="H23" s="26">
        <v>-1</v>
      </c>
      <c r="I23" s="26"/>
      <c r="J23" s="40" t="s">
        <v>33</v>
      </c>
      <c r="K23" s="40"/>
      <c r="L23" s="33">
        <f>L21*G27/3</f>
        <v>420.73739284500016</v>
      </c>
      <c r="M23" s="116" t="s">
        <v>34</v>
      </c>
      <c r="N23" s="34">
        <f>N21/L21*G27</f>
        <v>1.4688783547774309</v>
      </c>
    </row>
    <row r="24" spans="2:14" ht="43.5" x14ac:dyDescent="0.35">
      <c r="B24" s="35" t="s">
        <v>82</v>
      </c>
      <c r="C24" s="35"/>
      <c r="D24" s="26">
        <f>D22*D23</f>
        <v>0</v>
      </c>
      <c r="E24" s="26"/>
      <c r="F24" s="26">
        <f>F22*F23</f>
        <v>5290.6377477333344</v>
      </c>
      <c r="G24" s="26"/>
      <c r="H24" s="26">
        <f>H22*H23</f>
        <v>-700.7752803333334</v>
      </c>
      <c r="I24" s="26"/>
      <c r="J24" s="30" t="s">
        <v>80</v>
      </c>
      <c r="K24" s="23">
        <f>D24+F24+H24</f>
        <v>4589.8624674000012</v>
      </c>
      <c r="L24" s="40" t="s">
        <v>33</v>
      </c>
      <c r="M24" s="40"/>
      <c r="N24" s="33">
        <f>K24*N27/12</f>
        <v>420.73739284500016</v>
      </c>
    </row>
    <row r="25" spans="2:14" x14ac:dyDescent="0.35">
      <c r="B25" s="35" t="s">
        <v>73</v>
      </c>
      <c r="C25" s="35"/>
      <c r="D25" s="26">
        <v>0</v>
      </c>
      <c r="E25" s="26"/>
      <c r="F25" s="26">
        <v>1</v>
      </c>
      <c r="G25" s="26"/>
      <c r="H25" s="26">
        <v>2</v>
      </c>
      <c r="I25" s="26"/>
      <c r="J25" s="26"/>
      <c r="K25" s="26"/>
      <c r="L25" s="26"/>
      <c r="M25" s="26"/>
      <c r="N25" s="26"/>
    </row>
    <row r="26" spans="2:14" ht="43.5" x14ac:dyDescent="0.35">
      <c r="B26" s="29" t="s">
        <v>83</v>
      </c>
      <c r="C26" s="29"/>
      <c r="D26" s="26">
        <f>D24*D25</f>
        <v>0</v>
      </c>
      <c r="E26" s="26"/>
      <c r="F26" s="26">
        <f>F24*F25</f>
        <v>5290.6377477333344</v>
      </c>
      <c r="G26" s="26"/>
      <c r="H26" s="26">
        <f>H24*H25</f>
        <v>-1401.5505606666668</v>
      </c>
      <c r="I26" s="26"/>
      <c r="J26" s="30" t="s">
        <v>81</v>
      </c>
      <c r="K26" s="23">
        <f>D26+F26+H26</f>
        <v>3889.0871870666679</v>
      </c>
      <c r="L26" s="40" t="s">
        <v>35</v>
      </c>
      <c r="M26" s="40"/>
      <c r="N26" s="34">
        <f>K26/K24*N27</f>
        <v>0.93205317940532373</v>
      </c>
    </row>
    <row r="27" spans="2:14" x14ac:dyDescent="0.35">
      <c r="B27" s="35" t="s">
        <v>84</v>
      </c>
      <c r="C27" s="35"/>
      <c r="D27" s="35"/>
      <c r="E27" s="35"/>
      <c r="F27" s="35"/>
      <c r="G27" s="24">
        <v>8.1340000000000003</v>
      </c>
      <c r="H27" s="35" t="s">
        <v>85</v>
      </c>
      <c r="I27" s="35"/>
      <c r="J27" s="35"/>
      <c r="K27" s="35"/>
      <c r="L27" s="35"/>
      <c r="M27" s="35"/>
      <c r="N27" s="24">
        <v>1.1000000000000001</v>
      </c>
    </row>
  </sheetData>
  <mergeCells count="42">
    <mergeCell ref="B26:C26"/>
    <mergeCell ref="D26:E26"/>
    <mergeCell ref="F26:G26"/>
    <mergeCell ref="H26:I26"/>
    <mergeCell ref="L26:M26"/>
    <mergeCell ref="B27:F27"/>
    <mergeCell ref="H27:M27"/>
    <mergeCell ref="L24:M24"/>
    <mergeCell ref="B25:C25"/>
    <mergeCell ref="D25:E25"/>
    <mergeCell ref="F25:G25"/>
    <mergeCell ref="H25:I25"/>
    <mergeCell ref="J25:N25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L4:L5"/>
    <mergeCell ref="M4:M5"/>
    <mergeCell ref="N4:N5"/>
    <mergeCell ref="B21:C21"/>
    <mergeCell ref="J21:K21"/>
    <mergeCell ref="B22:C22"/>
    <mergeCell ref="D22:E22"/>
    <mergeCell ref="F22:G22"/>
    <mergeCell ref="H22:I22"/>
    <mergeCell ref="J22:N22"/>
    <mergeCell ref="B2:N2"/>
    <mergeCell ref="B3:C3"/>
    <mergeCell ref="D3:E3"/>
    <mergeCell ref="F3:G3"/>
    <mergeCell ref="H3:I3"/>
    <mergeCell ref="D4:E4"/>
    <mergeCell ref="F4:G4"/>
    <mergeCell ref="H4:I4"/>
    <mergeCell ref="J4:J5"/>
    <mergeCell ref="K4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/>
  </sheetViews>
  <sheetFormatPr defaultRowHeight="14.5" x14ac:dyDescent="0.35"/>
  <cols>
    <col min="3" max="3" width="10.453125" customWidth="1"/>
    <col min="10" max="10" width="14.90625" customWidth="1"/>
    <col min="11" max="11" width="10.1796875" customWidth="1"/>
    <col min="13" max="13" width="11" customWidth="1"/>
    <col min="14" max="14" width="11.453125" customWidth="1"/>
  </cols>
  <sheetData>
    <row r="2" spans="2:14" x14ac:dyDescent="0.35">
      <c r="B2" s="35" t="s">
        <v>86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x14ac:dyDescent="0.35">
      <c r="B3" s="22" t="s">
        <v>24</v>
      </c>
      <c r="C3" s="22"/>
      <c r="D3" s="22">
        <v>0</v>
      </c>
      <c r="E3" s="22"/>
      <c r="F3" s="22">
        <v>1</v>
      </c>
      <c r="G3" s="22"/>
      <c r="H3" s="22">
        <v>2</v>
      </c>
      <c r="I3" s="22"/>
      <c r="J3" s="36"/>
      <c r="K3" s="36"/>
      <c r="L3" s="36"/>
      <c r="M3" s="36"/>
      <c r="N3" s="36"/>
    </row>
    <row r="4" spans="2:14" x14ac:dyDescent="0.35">
      <c r="B4" s="24"/>
      <c r="C4" s="24" t="s">
        <v>25</v>
      </c>
      <c r="D4" s="22">
        <v>1</v>
      </c>
      <c r="E4" s="22"/>
      <c r="F4" s="22">
        <v>4</v>
      </c>
      <c r="G4" s="22"/>
      <c r="H4" s="22">
        <v>1</v>
      </c>
      <c r="I4" s="22"/>
      <c r="J4" s="25" t="s">
        <v>87</v>
      </c>
      <c r="K4" s="25" t="s">
        <v>88</v>
      </c>
      <c r="L4" s="25" t="s">
        <v>89</v>
      </c>
      <c r="M4" s="26" t="s">
        <v>73</v>
      </c>
      <c r="N4" s="25" t="s">
        <v>90</v>
      </c>
    </row>
    <row r="5" spans="2:14" ht="82" customHeight="1" x14ac:dyDescent="0.35">
      <c r="B5" s="24" t="s">
        <v>36</v>
      </c>
      <c r="C5" s="24" t="s">
        <v>25</v>
      </c>
      <c r="D5" s="23" t="s">
        <v>29</v>
      </c>
      <c r="E5" s="23" t="s">
        <v>30</v>
      </c>
      <c r="F5" s="27" t="s">
        <v>31</v>
      </c>
      <c r="G5" s="23" t="s">
        <v>30</v>
      </c>
      <c r="H5" s="23" t="s">
        <v>32</v>
      </c>
      <c r="I5" s="23" t="s">
        <v>30</v>
      </c>
      <c r="J5" s="25"/>
      <c r="K5" s="25"/>
      <c r="L5" s="25"/>
      <c r="M5" s="26"/>
      <c r="N5" s="25"/>
    </row>
    <row r="6" spans="2:14" x14ac:dyDescent="0.35">
      <c r="B6" s="28">
        <v>0</v>
      </c>
      <c r="C6" s="24">
        <v>0.5</v>
      </c>
      <c r="D6" s="23">
        <v>0</v>
      </c>
      <c r="E6" s="36">
        <f>D6*C6</f>
        <v>0</v>
      </c>
      <c r="F6" s="23">
        <v>0</v>
      </c>
      <c r="G6" s="36">
        <f>F6*C6</f>
        <v>0</v>
      </c>
      <c r="H6" s="23">
        <v>0</v>
      </c>
      <c r="I6" s="36">
        <f>H6*C6</f>
        <v>0</v>
      </c>
      <c r="J6" s="36">
        <f>D6+4*F6+H6</f>
        <v>0</v>
      </c>
      <c r="K6" s="36">
        <f>J6/3*N27*2</f>
        <v>0</v>
      </c>
      <c r="L6" s="36">
        <f>K6*C6</f>
        <v>0</v>
      </c>
      <c r="M6" s="23">
        <v>-5</v>
      </c>
      <c r="N6" s="36">
        <f>L6*M6</f>
        <v>0</v>
      </c>
    </row>
    <row r="7" spans="2:14" x14ac:dyDescent="0.35">
      <c r="B7" s="28">
        <v>0.5</v>
      </c>
      <c r="C7" s="24">
        <v>2</v>
      </c>
      <c r="D7" s="23">
        <v>0</v>
      </c>
      <c r="E7" s="36">
        <f t="shared" ref="E7:E20" si="0">D7*C7</f>
        <v>0</v>
      </c>
      <c r="F7" s="23">
        <v>0</v>
      </c>
      <c r="G7" s="36">
        <f t="shared" ref="G7:G20" si="1">F7*C7</f>
        <v>0</v>
      </c>
      <c r="H7" s="23">
        <v>0</v>
      </c>
      <c r="I7" s="36">
        <f t="shared" ref="I7:I20" si="2">H7*C7</f>
        <v>0</v>
      </c>
      <c r="J7" s="36">
        <f t="shared" ref="J7:J20" si="3">D7+4*F7+H7</f>
        <v>0</v>
      </c>
      <c r="K7" s="36">
        <f>J7/3*N27*2</f>
        <v>0</v>
      </c>
      <c r="L7" s="36">
        <f t="shared" ref="L7:L20" si="4">K7*C7</f>
        <v>0</v>
      </c>
      <c r="M7" s="23">
        <v>-4.5</v>
      </c>
      <c r="N7" s="36">
        <f t="shared" ref="N7:N20" si="5">L7*M7</f>
        <v>0</v>
      </c>
    </row>
    <row r="8" spans="2:14" x14ac:dyDescent="0.35">
      <c r="B8" s="28">
        <v>1</v>
      </c>
      <c r="C8" s="24">
        <v>1</v>
      </c>
      <c r="D8" s="23">
        <v>0</v>
      </c>
      <c r="E8" s="36">
        <f t="shared" si="0"/>
        <v>0</v>
      </c>
      <c r="F8" s="23">
        <v>2.5644</v>
      </c>
      <c r="G8" s="36">
        <f t="shared" si="1"/>
        <v>2.5644</v>
      </c>
      <c r="H8" s="23">
        <v>4.4808000000000003</v>
      </c>
      <c r="I8" s="36">
        <f t="shared" si="2"/>
        <v>4.4808000000000003</v>
      </c>
      <c r="J8" s="36">
        <f t="shared" si="3"/>
        <v>14.7384</v>
      </c>
      <c r="K8" s="36">
        <f>J8/3*N27*2</f>
        <v>10.808160000000001</v>
      </c>
      <c r="L8" s="36">
        <f t="shared" si="4"/>
        <v>10.808160000000001</v>
      </c>
      <c r="M8" s="23">
        <v>-4</v>
      </c>
      <c r="N8" s="36">
        <f t="shared" si="5"/>
        <v>-43.232640000000004</v>
      </c>
    </row>
    <row r="9" spans="2:14" x14ac:dyDescent="0.35">
      <c r="B9" s="28">
        <v>1.5</v>
      </c>
      <c r="C9" s="24">
        <v>2</v>
      </c>
      <c r="D9" s="23">
        <v>0</v>
      </c>
      <c r="E9" s="36">
        <f t="shared" si="0"/>
        <v>0</v>
      </c>
      <c r="F9" s="23">
        <v>4.4341999999999997</v>
      </c>
      <c r="G9" s="36">
        <f t="shared" si="1"/>
        <v>8.8683999999999994</v>
      </c>
      <c r="H9" s="23">
        <v>4.9798999999999998</v>
      </c>
      <c r="I9" s="36">
        <f t="shared" si="2"/>
        <v>9.9597999999999995</v>
      </c>
      <c r="J9" s="36">
        <f t="shared" si="3"/>
        <v>22.716699999999999</v>
      </c>
      <c r="K9" s="36">
        <f>J9/3*N27*2</f>
        <v>16.658913333333334</v>
      </c>
      <c r="L9" s="36">
        <f t="shared" si="4"/>
        <v>33.317826666666669</v>
      </c>
      <c r="M9" s="23">
        <v>-3.5</v>
      </c>
      <c r="N9" s="36">
        <f t="shared" si="5"/>
        <v>-116.61239333333334</v>
      </c>
    </row>
    <row r="10" spans="2:14" x14ac:dyDescent="0.35">
      <c r="B10" s="28">
        <v>2</v>
      </c>
      <c r="C10" s="24">
        <v>1.5</v>
      </c>
      <c r="D10" s="23">
        <v>0</v>
      </c>
      <c r="E10" s="36">
        <f t="shared" si="0"/>
        <v>0</v>
      </c>
      <c r="F10" s="23">
        <v>4.97</v>
      </c>
      <c r="G10" s="36">
        <f t="shared" si="1"/>
        <v>7.4550000000000001</v>
      </c>
      <c r="H10" s="23">
        <v>5.2610999999999999</v>
      </c>
      <c r="I10" s="36">
        <f t="shared" si="2"/>
        <v>7.8916500000000003</v>
      </c>
      <c r="J10" s="36">
        <f t="shared" si="3"/>
        <v>25.141099999999998</v>
      </c>
      <c r="K10" s="36">
        <f>J10/3*N27*2</f>
        <v>18.436806666666666</v>
      </c>
      <c r="L10" s="36">
        <f t="shared" si="4"/>
        <v>27.655209999999997</v>
      </c>
      <c r="M10" s="23">
        <v>-3</v>
      </c>
      <c r="N10" s="36">
        <f t="shared" si="5"/>
        <v>-82.96562999999999</v>
      </c>
    </row>
    <row r="11" spans="2:14" x14ac:dyDescent="0.35">
      <c r="B11" s="28">
        <v>3</v>
      </c>
      <c r="C11" s="24">
        <v>4</v>
      </c>
      <c r="D11" s="23">
        <v>0</v>
      </c>
      <c r="E11" s="36">
        <f t="shared" si="0"/>
        <v>0</v>
      </c>
      <c r="F11" s="23">
        <v>5.3846999999999996</v>
      </c>
      <c r="G11" s="36">
        <f t="shared" si="1"/>
        <v>21.538799999999998</v>
      </c>
      <c r="H11" s="23">
        <v>5.4965000000000002</v>
      </c>
      <c r="I11" s="36">
        <f t="shared" si="2"/>
        <v>21.986000000000001</v>
      </c>
      <c r="J11" s="36">
        <f t="shared" si="3"/>
        <v>27.035299999999999</v>
      </c>
      <c r="K11" s="36">
        <f>J11/3*N27*2</f>
        <v>19.825886666666669</v>
      </c>
      <c r="L11" s="36">
        <f t="shared" si="4"/>
        <v>79.303546666666676</v>
      </c>
      <c r="M11" s="23">
        <v>-2</v>
      </c>
      <c r="N11" s="36">
        <f t="shared" si="5"/>
        <v>-158.60709333333335</v>
      </c>
    </row>
    <row r="12" spans="2:14" x14ac:dyDescent="0.35">
      <c r="B12" s="28">
        <v>4</v>
      </c>
      <c r="C12" s="24">
        <v>1</v>
      </c>
      <c r="D12" s="23">
        <v>0</v>
      </c>
      <c r="E12" s="36">
        <f t="shared" si="0"/>
        <v>0</v>
      </c>
      <c r="F12" s="23">
        <v>5.3846999999999996</v>
      </c>
      <c r="G12" s="36">
        <f t="shared" si="1"/>
        <v>5.3846999999999996</v>
      </c>
      <c r="H12" s="23">
        <v>5.4965000000000002</v>
      </c>
      <c r="I12" s="36">
        <f t="shared" si="2"/>
        <v>5.4965000000000002</v>
      </c>
      <c r="J12" s="36">
        <f t="shared" si="3"/>
        <v>27.035299999999999</v>
      </c>
      <c r="K12" s="36">
        <f>J12/3*N27*2</f>
        <v>19.825886666666669</v>
      </c>
      <c r="L12" s="36">
        <f t="shared" si="4"/>
        <v>19.825886666666669</v>
      </c>
      <c r="M12" s="23">
        <v>-1</v>
      </c>
      <c r="N12" s="36">
        <f t="shared" si="5"/>
        <v>-19.825886666666669</v>
      </c>
    </row>
    <row r="13" spans="2:14" x14ac:dyDescent="0.35">
      <c r="B13" s="28">
        <v>5</v>
      </c>
      <c r="C13" s="24">
        <v>4</v>
      </c>
      <c r="D13" s="23">
        <v>0</v>
      </c>
      <c r="E13" s="36">
        <f t="shared" si="0"/>
        <v>0</v>
      </c>
      <c r="F13" s="23">
        <v>5.3846999999999996</v>
      </c>
      <c r="G13" s="36">
        <f t="shared" si="1"/>
        <v>21.538799999999998</v>
      </c>
      <c r="H13" s="23">
        <v>5.4965000000000002</v>
      </c>
      <c r="I13" s="36">
        <f t="shared" si="2"/>
        <v>21.986000000000001</v>
      </c>
      <c r="J13" s="36">
        <f t="shared" si="3"/>
        <v>27.035299999999999</v>
      </c>
      <c r="K13" s="36">
        <f>J13/3*N27*2</f>
        <v>19.825886666666669</v>
      </c>
      <c r="L13" s="36">
        <f t="shared" si="4"/>
        <v>79.303546666666676</v>
      </c>
      <c r="M13" s="23">
        <v>0</v>
      </c>
      <c r="N13" s="36">
        <f t="shared" si="5"/>
        <v>0</v>
      </c>
    </row>
    <row r="14" spans="2:14" x14ac:dyDescent="0.35">
      <c r="B14" s="28">
        <v>6</v>
      </c>
      <c r="C14" s="24">
        <v>2</v>
      </c>
      <c r="D14" s="23">
        <v>0</v>
      </c>
      <c r="E14" s="36">
        <f t="shared" si="0"/>
        <v>0</v>
      </c>
      <c r="F14" s="23">
        <v>5.3846999999999996</v>
      </c>
      <c r="G14" s="36">
        <f t="shared" si="1"/>
        <v>10.769399999999999</v>
      </c>
      <c r="H14" s="23">
        <v>5.4965000000000002</v>
      </c>
      <c r="I14" s="36">
        <f t="shared" si="2"/>
        <v>10.993</v>
      </c>
      <c r="J14" s="36">
        <f t="shared" si="3"/>
        <v>27.035299999999999</v>
      </c>
      <c r="K14" s="36">
        <f>J14/3*N27*2</f>
        <v>19.825886666666669</v>
      </c>
      <c r="L14" s="36">
        <f t="shared" si="4"/>
        <v>39.651773333333338</v>
      </c>
      <c r="M14" s="23">
        <v>1</v>
      </c>
      <c r="N14" s="36">
        <f t="shared" si="5"/>
        <v>39.651773333333338</v>
      </c>
    </row>
    <row r="15" spans="2:14" x14ac:dyDescent="0.35">
      <c r="B15" s="28">
        <v>7</v>
      </c>
      <c r="C15" s="24">
        <v>4</v>
      </c>
      <c r="D15" s="23">
        <v>0</v>
      </c>
      <c r="E15" s="36">
        <f t="shared" si="0"/>
        <v>0</v>
      </c>
      <c r="F15" s="23">
        <v>5.3846999999999996</v>
      </c>
      <c r="G15" s="36">
        <f t="shared" si="1"/>
        <v>21.538799999999998</v>
      </c>
      <c r="H15" s="23">
        <v>5.4965000000000002</v>
      </c>
      <c r="I15" s="36">
        <f t="shared" si="2"/>
        <v>21.986000000000001</v>
      </c>
      <c r="J15" s="36">
        <f t="shared" si="3"/>
        <v>27.035299999999999</v>
      </c>
      <c r="K15" s="36">
        <f>J15/3*N27*2</f>
        <v>19.825886666666669</v>
      </c>
      <c r="L15" s="36">
        <f t="shared" si="4"/>
        <v>79.303546666666676</v>
      </c>
      <c r="M15" s="23">
        <v>2</v>
      </c>
      <c r="N15" s="36">
        <f t="shared" si="5"/>
        <v>158.60709333333335</v>
      </c>
    </row>
    <row r="16" spans="2:14" x14ac:dyDescent="0.35">
      <c r="B16" s="28">
        <v>8</v>
      </c>
      <c r="C16" s="24">
        <v>1.5</v>
      </c>
      <c r="D16" s="23">
        <v>0</v>
      </c>
      <c r="E16" s="36">
        <f t="shared" si="0"/>
        <v>0</v>
      </c>
      <c r="F16" s="23">
        <v>4.9272999999999998</v>
      </c>
      <c r="G16" s="36">
        <f t="shared" si="1"/>
        <v>7.3909500000000001</v>
      </c>
      <c r="H16" s="23">
        <v>5.1551999999999998</v>
      </c>
      <c r="I16" s="36">
        <f t="shared" si="2"/>
        <v>7.7327999999999992</v>
      </c>
      <c r="J16" s="36">
        <f t="shared" si="3"/>
        <v>24.8644</v>
      </c>
      <c r="K16" s="36">
        <f>J16/3*N27*2</f>
        <v>18.233893333333334</v>
      </c>
      <c r="L16" s="36">
        <f t="shared" si="4"/>
        <v>27.350840000000002</v>
      </c>
      <c r="M16" s="23">
        <v>3</v>
      </c>
      <c r="N16" s="36">
        <f t="shared" si="5"/>
        <v>82.052520000000001</v>
      </c>
    </row>
    <row r="17" spans="2:14" x14ac:dyDescent="0.35">
      <c r="B17" s="28">
        <v>8.5</v>
      </c>
      <c r="C17" s="24">
        <v>2</v>
      </c>
      <c r="D17" s="23">
        <v>0</v>
      </c>
      <c r="E17" s="36">
        <f t="shared" si="0"/>
        <v>0</v>
      </c>
      <c r="F17" s="23">
        <v>4.1715</v>
      </c>
      <c r="G17" s="36">
        <f t="shared" si="1"/>
        <v>8.343</v>
      </c>
      <c r="H17" s="23">
        <v>4.5117000000000003</v>
      </c>
      <c r="I17" s="36">
        <f t="shared" si="2"/>
        <v>9.0234000000000005</v>
      </c>
      <c r="J17" s="36">
        <f t="shared" si="3"/>
        <v>21.197700000000001</v>
      </c>
      <c r="K17" s="36">
        <f>J17/3*N27*2</f>
        <v>15.544980000000001</v>
      </c>
      <c r="L17" s="36">
        <f t="shared" si="4"/>
        <v>31.089960000000001</v>
      </c>
      <c r="M17" s="23">
        <v>3.5</v>
      </c>
      <c r="N17" s="36">
        <f t="shared" si="5"/>
        <v>108.81486000000001</v>
      </c>
    </row>
    <row r="18" spans="2:14" x14ac:dyDescent="0.35">
      <c r="B18" s="28">
        <v>9</v>
      </c>
      <c r="C18" s="24">
        <v>1</v>
      </c>
      <c r="D18" s="23">
        <v>0</v>
      </c>
      <c r="E18" s="36">
        <f t="shared" si="0"/>
        <v>0</v>
      </c>
      <c r="F18" s="23">
        <v>3.0457000000000001</v>
      </c>
      <c r="G18" s="36">
        <f t="shared" si="1"/>
        <v>3.0457000000000001</v>
      </c>
      <c r="H18" s="23">
        <v>3.5143</v>
      </c>
      <c r="I18" s="36">
        <f t="shared" si="2"/>
        <v>3.5143</v>
      </c>
      <c r="J18" s="36">
        <f t="shared" si="3"/>
        <v>15.697100000000001</v>
      </c>
      <c r="K18" s="36">
        <f>J18/3*N27*2</f>
        <v>11.511206666666668</v>
      </c>
      <c r="L18" s="36">
        <f t="shared" si="4"/>
        <v>11.511206666666668</v>
      </c>
      <c r="M18" s="23">
        <v>4</v>
      </c>
      <c r="N18" s="36">
        <f t="shared" si="5"/>
        <v>46.044826666666673</v>
      </c>
    </row>
    <row r="19" spans="2:14" x14ac:dyDescent="0.35">
      <c r="B19" s="28">
        <v>9.5</v>
      </c>
      <c r="C19" s="24">
        <v>2</v>
      </c>
      <c r="D19" s="23">
        <v>0</v>
      </c>
      <c r="E19" s="36">
        <f t="shared" si="0"/>
        <v>0</v>
      </c>
      <c r="F19" s="23">
        <v>1.6696</v>
      </c>
      <c r="G19" s="36">
        <f t="shared" si="1"/>
        <v>3.3391999999999999</v>
      </c>
      <c r="H19" s="23">
        <v>2.0121000000000002</v>
      </c>
      <c r="I19" s="36">
        <f t="shared" si="2"/>
        <v>4.0242000000000004</v>
      </c>
      <c r="J19" s="36">
        <f t="shared" si="3"/>
        <v>8.6905000000000001</v>
      </c>
      <c r="K19" s="36">
        <f>J19/3*N27*2</f>
        <v>6.3730333333333338</v>
      </c>
      <c r="L19" s="36">
        <f t="shared" si="4"/>
        <v>12.746066666666668</v>
      </c>
      <c r="M19" s="23">
        <v>4.5</v>
      </c>
      <c r="N19" s="36">
        <f t="shared" si="5"/>
        <v>57.357300000000002</v>
      </c>
    </row>
    <row r="20" spans="2:14" x14ac:dyDescent="0.35">
      <c r="B20" s="28">
        <v>10</v>
      </c>
      <c r="C20" s="24">
        <v>0.5</v>
      </c>
      <c r="D20" s="23">
        <v>0</v>
      </c>
      <c r="E20" s="36">
        <f t="shared" si="0"/>
        <v>0</v>
      </c>
      <c r="F20" s="23">
        <v>0.35880000000000001</v>
      </c>
      <c r="G20" s="36">
        <f t="shared" si="1"/>
        <v>0.1794</v>
      </c>
      <c r="H20" s="23">
        <v>0.31259999999999999</v>
      </c>
      <c r="I20" s="36">
        <f t="shared" si="2"/>
        <v>0.15629999999999999</v>
      </c>
      <c r="J20" s="36">
        <f t="shared" si="3"/>
        <v>1.7478</v>
      </c>
      <c r="K20" s="36">
        <f>J20/3*N27*2</f>
        <v>1.2817200000000002</v>
      </c>
      <c r="L20" s="36">
        <f t="shared" si="4"/>
        <v>0.6408600000000001</v>
      </c>
      <c r="M20" s="23">
        <v>5</v>
      </c>
      <c r="N20" s="36">
        <f t="shared" si="5"/>
        <v>3.2043000000000004</v>
      </c>
    </row>
    <row r="21" spans="2:14" ht="72.5" x14ac:dyDescent="0.35">
      <c r="B21" s="29" t="s">
        <v>91</v>
      </c>
      <c r="C21" s="29"/>
      <c r="D21" s="30" t="s">
        <v>75</v>
      </c>
      <c r="E21" s="36">
        <f>SUM(E6:E20)</f>
        <v>0</v>
      </c>
      <c r="F21" s="37" t="s">
        <v>76</v>
      </c>
      <c r="G21" s="36">
        <f>SUM(G6:G20)</f>
        <v>121.95655000000001</v>
      </c>
      <c r="H21" s="37" t="s">
        <v>77</v>
      </c>
      <c r="I21" s="36">
        <f>SUM(I6:I20)</f>
        <v>129.23075</v>
      </c>
      <c r="J21" s="31" t="s">
        <v>78</v>
      </c>
      <c r="K21" s="31"/>
      <c r="L21" s="36">
        <f>SUM(L6:L20)</f>
        <v>452.50842999999998</v>
      </c>
      <c r="M21" s="37" t="s">
        <v>79</v>
      </c>
      <c r="N21" s="36">
        <f>SUM(N6:N20)</f>
        <v>74.489030000000028</v>
      </c>
    </row>
    <row r="22" spans="2:14" x14ac:dyDescent="0.35">
      <c r="B22" s="29" t="s">
        <v>92</v>
      </c>
      <c r="C22" s="29"/>
      <c r="D22" s="31">
        <f>E21*G27/3*2</f>
        <v>0</v>
      </c>
      <c r="E22" s="31"/>
      <c r="F22" s="31">
        <f>G21*G27/3*2</f>
        <v>661.3297184666668</v>
      </c>
      <c r="G22" s="31"/>
      <c r="H22" s="31">
        <f>I21*G27/3*2</f>
        <v>700.7752803333334</v>
      </c>
      <c r="I22" s="31"/>
      <c r="J22" s="30"/>
      <c r="K22" s="30"/>
      <c r="L22" s="36"/>
      <c r="M22" s="37"/>
      <c r="N22" s="36"/>
    </row>
    <row r="23" spans="2:14" x14ac:dyDescent="0.35">
      <c r="B23" s="32" t="s">
        <v>25</v>
      </c>
      <c r="C23" s="32"/>
      <c r="D23" s="26">
        <v>1</v>
      </c>
      <c r="E23" s="26"/>
      <c r="F23" s="25">
        <v>4</v>
      </c>
      <c r="G23" s="25"/>
      <c r="H23" s="26">
        <v>1</v>
      </c>
      <c r="I23" s="26"/>
      <c r="J23" s="40" t="s">
        <v>33</v>
      </c>
      <c r="K23" s="40"/>
      <c r="L23" s="38">
        <f>L21*G27/3</f>
        <v>1226.9011898733334</v>
      </c>
      <c r="M23" s="117" t="s">
        <v>34</v>
      </c>
      <c r="N23" s="39">
        <f>N21/L21*G27</f>
        <v>1.3389668122204934</v>
      </c>
    </row>
    <row r="24" spans="2:14" ht="43.5" x14ac:dyDescent="0.35">
      <c r="B24" s="35" t="s">
        <v>82</v>
      </c>
      <c r="C24" s="35"/>
      <c r="D24" s="26">
        <f>D22*D23</f>
        <v>0</v>
      </c>
      <c r="E24" s="26"/>
      <c r="F24" s="26">
        <f>F22*F23</f>
        <v>2645.3188738666672</v>
      </c>
      <c r="G24" s="26"/>
      <c r="H24" s="26">
        <f>H22*H23</f>
        <v>700.7752803333334</v>
      </c>
      <c r="I24" s="26"/>
      <c r="J24" s="37" t="s">
        <v>80</v>
      </c>
      <c r="K24" s="36">
        <f>D24+F24+H24</f>
        <v>3346.0941542000005</v>
      </c>
      <c r="L24" s="40" t="s">
        <v>33</v>
      </c>
      <c r="M24" s="40"/>
      <c r="N24" s="38">
        <f>K24*N27/3</f>
        <v>1226.9011898733336</v>
      </c>
    </row>
    <row r="25" spans="2:14" x14ac:dyDescent="0.35">
      <c r="B25" s="35" t="s">
        <v>73</v>
      </c>
      <c r="C25" s="35"/>
      <c r="D25" s="26">
        <v>0</v>
      </c>
      <c r="E25" s="26"/>
      <c r="F25" s="26">
        <v>1</v>
      </c>
      <c r="G25" s="26"/>
      <c r="H25" s="26">
        <v>2</v>
      </c>
      <c r="I25" s="26"/>
      <c r="J25" s="26"/>
      <c r="K25" s="26"/>
      <c r="L25" s="26"/>
      <c r="M25" s="26"/>
      <c r="N25" s="26"/>
    </row>
    <row r="26" spans="2:14" ht="37.5" customHeight="1" x14ac:dyDescent="0.35">
      <c r="B26" s="29" t="s">
        <v>83</v>
      </c>
      <c r="C26" s="29"/>
      <c r="D26" s="26">
        <f>D24*D25</f>
        <v>0</v>
      </c>
      <c r="E26" s="26"/>
      <c r="F26" s="26">
        <f>F24*F25</f>
        <v>2645.3188738666672</v>
      </c>
      <c r="G26" s="26"/>
      <c r="H26" s="26">
        <f>H24*H25</f>
        <v>1401.5505606666668</v>
      </c>
      <c r="I26" s="26"/>
      <c r="J26" s="37" t="s">
        <v>81</v>
      </c>
      <c r="K26" s="36">
        <f>D26+F26+H26</f>
        <v>4046.8694345333342</v>
      </c>
      <c r="L26" s="40" t="s">
        <v>35</v>
      </c>
      <c r="M26" s="40"/>
      <c r="N26" s="39">
        <f>K26/K24*N27</f>
        <v>1.3303739144336679</v>
      </c>
    </row>
    <row r="27" spans="2:14" ht="16.5" customHeight="1" x14ac:dyDescent="0.35">
      <c r="B27" s="35" t="s">
        <v>84</v>
      </c>
      <c r="C27" s="35"/>
      <c r="D27" s="35"/>
      <c r="E27" s="35"/>
      <c r="F27" s="35"/>
      <c r="G27" s="36">
        <v>8.1340000000000003</v>
      </c>
      <c r="H27" s="40" t="s">
        <v>85</v>
      </c>
      <c r="I27" s="40"/>
      <c r="J27" s="40"/>
      <c r="K27" s="40"/>
      <c r="L27" s="40"/>
      <c r="M27" s="40"/>
      <c r="N27" s="36">
        <v>1.1000000000000001</v>
      </c>
    </row>
  </sheetData>
  <mergeCells count="41">
    <mergeCell ref="B26:C26"/>
    <mergeCell ref="D26:E26"/>
    <mergeCell ref="F26:G26"/>
    <mergeCell ref="H26:I26"/>
    <mergeCell ref="L26:M26"/>
    <mergeCell ref="B27:F27"/>
    <mergeCell ref="H27:M27"/>
    <mergeCell ref="L24:M24"/>
    <mergeCell ref="B25:C25"/>
    <mergeCell ref="D25:E25"/>
    <mergeCell ref="F25:G25"/>
    <mergeCell ref="H25:I25"/>
    <mergeCell ref="J25:N25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L4:L5"/>
    <mergeCell ref="M4:M5"/>
    <mergeCell ref="N4:N5"/>
    <mergeCell ref="B21:C21"/>
    <mergeCell ref="J21:K21"/>
    <mergeCell ref="B22:C22"/>
    <mergeCell ref="D22:E22"/>
    <mergeCell ref="F22:G22"/>
    <mergeCell ref="H22:I22"/>
    <mergeCell ref="B2:N2"/>
    <mergeCell ref="B3:C3"/>
    <mergeCell ref="D3:E3"/>
    <mergeCell ref="F3:G3"/>
    <mergeCell ref="H3:I3"/>
    <mergeCell ref="D4:E4"/>
    <mergeCell ref="F4:G4"/>
    <mergeCell ref="H4:I4"/>
    <mergeCell ref="J4:J5"/>
    <mergeCell ref="K4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workbookViewId="0"/>
  </sheetViews>
  <sheetFormatPr defaultRowHeight="14.5" x14ac:dyDescent="0.35"/>
  <cols>
    <col min="3" max="3" width="10.54296875" customWidth="1"/>
    <col min="12" max="12" width="13.54296875" customWidth="1"/>
    <col min="15" max="15" width="13.453125" customWidth="1"/>
    <col min="16" max="16" width="10.1796875" customWidth="1"/>
  </cols>
  <sheetData>
    <row r="2" spans="2:16" x14ac:dyDescent="0.35">
      <c r="B2" s="35" t="s">
        <v>93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16" x14ac:dyDescent="0.35">
      <c r="B3" s="22" t="s">
        <v>24</v>
      </c>
      <c r="C3" s="22"/>
      <c r="D3" s="22">
        <v>0</v>
      </c>
      <c r="E3" s="22"/>
      <c r="F3" s="22">
        <v>1</v>
      </c>
      <c r="G3" s="22"/>
      <c r="H3" s="41">
        <v>2</v>
      </c>
      <c r="I3" s="42"/>
      <c r="J3" s="22">
        <v>3</v>
      </c>
      <c r="K3" s="22"/>
      <c r="L3" s="36"/>
      <c r="M3" s="36"/>
      <c r="N3" s="36"/>
      <c r="O3" s="36"/>
      <c r="P3" s="36"/>
    </row>
    <row r="4" spans="2:16" x14ac:dyDescent="0.35">
      <c r="B4" s="24"/>
      <c r="C4" s="24" t="s">
        <v>25</v>
      </c>
      <c r="D4" s="22">
        <v>1</v>
      </c>
      <c r="E4" s="22"/>
      <c r="F4" s="22">
        <v>3</v>
      </c>
      <c r="G4" s="22"/>
      <c r="H4" s="41">
        <v>3</v>
      </c>
      <c r="I4" s="42"/>
      <c r="J4" s="22">
        <v>1</v>
      </c>
      <c r="K4" s="22"/>
      <c r="L4" s="25" t="s">
        <v>87</v>
      </c>
      <c r="M4" s="25" t="s">
        <v>88</v>
      </c>
      <c r="N4" s="25" t="s">
        <v>89</v>
      </c>
      <c r="O4" s="26" t="s">
        <v>73</v>
      </c>
      <c r="P4" s="25" t="s">
        <v>90</v>
      </c>
    </row>
    <row r="5" spans="2:16" ht="66" customHeight="1" x14ac:dyDescent="0.35">
      <c r="B5" s="24" t="s">
        <v>36</v>
      </c>
      <c r="C5" s="24" t="s">
        <v>25</v>
      </c>
      <c r="D5" s="23" t="s">
        <v>29</v>
      </c>
      <c r="E5" s="23" t="s">
        <v>30</v>
      </c>
      <c r="F5" s="27" t="s">
        <v>31</v>
      </c>
      <c r="G5" s="23" t="s">
        <v>30</v>
      </c>
      <c r="H5" s="23"/>
      <c r="I5" s="23"/>
      <c r="J5" s="23" t="s">
        <v>32</v>
      </c>
      <c r="K5" s="23" t="s">
        <v>30</v>
      </c>
      <c r="L5" s="25"/>
      <c r="M5" s="25"/>
      <c r="N5" s="25"/>
      <c r="O5" s="26"/>
      <c r="P5" s="25"/>
    </row>
    <row r="6" spans="2:16" x14ac:dyDescent="0.35">
      <c r="B6" s="28">
        <v>0</v>
      </c>
      <c r="C6" s="24">
        <v>0.5</v>
      </c>
      <c r="D6" s="23">
        <v>0</v>
      </c>
      <c r="E6" s="36">
        <f>D6*C6</f>
        <v>0</v>
      </c>
      <c r="F6" s="23">
        <v>0</v>
      </c>
      <c r="G6" s="36">
        <f>F6*C6</f>
        <v>0</v>
      </c>
      <c r="H6" s="36">
        <v>0</v>
      </c>
      <c r="I6" s="36">
        <f>H6*C6</f>
        <v>0</v>
      </c>
      <c r="J6" s="23">
        <v>0</v>
      </c>
      <c r="K6" s="36">
        <f>J6*C6</f>
        <v>0</v>
      </c>
      <c r="L6" s="36">
        <f>D6*1+F6*3+H6*3+J6*1</f>
        <v>0</v>
      </c>
      <c r="M6" s="36">
        <f>L6*3/8*$P$27*2</f>
        <v>0</v>
      </c>
      <c r="N6" s="36">
        <f>M6*C6</f>
        <v>0</v>
      </c>
      <c r="O6" s="24">
        <v>-5</v>
      </c>
      <c r="P6" s="36">
        <f>N6*O6</f>
        <v>0</v>
      </c>
    </row>
    <row r="7" spans="2:16" x14ac:dyDescent="0.35">
      <c r="B7" s="28">
        <v>0.5</v>
      </c>
      <c r="C7" s="24">
        <v>2</v>
      </c>
      <c r="D7" s="23">
        <v>0</v>
      </c>
      <c r="E7" s="36">
        <f t="shared" ref="E7:E20" si="0">D7*C7</f>
        <v>0</v>
      </c>
      <c r="F7" s="23">
        <v>0</v>
      </c>
      <c r="G7" s="36">
        <f t="shared" ref="G7:G20" si="1">F7*C7</f>
        <v>0</v>
      </c>
      <c r="H7" s="36">
        <v>0</v>
      </c>
      <c r="I7" s="36">
        <f t="shared" ref="I7:I20" si="2">H7*C7</f>
        <v>0</v>
      </c>
      <c r="J7" s="23">
        <v>4.0125999999999999</v>
      </c>
      <c r="K7" s="36">
        <f t="shared" ref="K7:K20" si="3">J7*C7</f>
        <v>8.0251999999999999</v>
      </c>
      <c r="L7" s="36">
        <f t="shared" ref="L7:L20" si="4">D7*1+F7*3+H7*3+J7*1</f>
        <v>4.0125999999999999</v>
      </c>
      <c r="M7" s="36">
        <f>L7*3/8*$P$27*2</f>
        <v>3.3103950000000006</v>
      </c>
      <c r="N7" s="36">
        <f t="shared" ref="N7:N20" si="5">M7*C7</f>
        <v>6.6207900000000013</v>
      </c>
      <c r="O7" s="24">
        <v>-4.5</v>
      </c>
      <c r="P7" s="36">
        <f t="shared" ref="P7:P20" si="6">N7*O7</f>
        <v>-29.793555000000005</v>
      </c>
    </row>
    <row r="8" spans="2:16" x14ac:dyDescent="0.35">
      <c r="B8" s="28">
        <v>1</v>
      </c>
      <c r="C8" s="24">
        <v>1</v>
      </c>
      <c r="D8" s="23">
        <v>0</v>
      </c>
      <c r="E8" s="36">
        <f t="shared" si="0"/>
        <v>0</v>
      </c>
      <c r="F8" s="23">
        <v>2.5644</v>
      </c>
      <c r="G8" s="36">
        <f t="shared" si="1"/>
        <v>2.5644</v>
      </c>
      <c r="H8" s="36">
        <v>4.4808000000000003</v>
      </c>
      <c r="I8" s="36">
        <f t="shared" si="2"/>
        <v>4.4808000000000003</v>
      </c>
      <c r="J8" s="23">
        <v>4.9203999999999999</v>
      </c>
      <c r="K8" s="36">
        <f t="shared" si="3"/>
        <v>4.9203999999999999</v>
      </c>
      <c r="L8" s="36">
        <f t="shared" si="4"/>
        <v>26.056000000000001</v>
      </c>
      <c r="M8" s="36">
        <f>L8*3/8*$P$27*2</f>
        <v>21.496200000000002</v>
      </c>
      <c r="N8" s="36">
        <f t="shared" si="5"/>
        <v>21.496200000000002</v>
      </c>
      <c r="O8" s="24">
        <v>-4</v>
      </c>
      <c r="P8" s="36">
        <f t="shared" si="6"/>
        <v>-85.984800000000007</v>
      </c>
    </row>
    <row r="9" spans="2:16" x14ac:dyDescent="0.35">
      <c r="B9" s="28">
        <v>1.5</v>
      </c>
      <c r="C9" s="24">
        <v>2</v>
      </c>
      <c r="D9" s="23">
        <v>0</v>
      </c>
      <c r="E9" s="36">
        <f t="shared" si="0"/>
        <v>0</v>
      </c>
      <c r="F9" s="23">
        <v>4.4341999999999997</v>
      </c>
      <c r="G9" s="36">
        <f t="shared" si="1"/>
        <v>8.8683999999999994</v>
      </c>
      <c r="H9" s="36">
        <v>4.9798999999999998</v>
      </c>
      <c r="I9" s="36">
        <f t="shared" si="2"/>
        <v>9.9597999999999995</v>
      </c>
      <c r="J9" s="23">
        <v>5.1611000000000002</v>
      </c>
      <c r="K9" s="36">
        <f t="shared" si="3"/>
        <v>10.3222</v>
      </c>
      <c r="L9" s="36">
        <f t="shared" si="4"/>
        <v>33.403399999999998</v>
      </c>
      <c r="M9" s="36">
        <f t="shared" ref="M9:M20" si="7">L9*3/8*$P$27*2</f>
        <v>27.557804999999998</v>
      </c>
      <c r="N9" s="36">
        <f t="shared" si="5"/>
        <v>55.115609999999997</v>
      </c>
      <c r="O9" s="24">
        <v>-3.5</v>
      </c>
      <c r="P9" s="36">
        <f t="shared" si="6"/>
        <v>-192.90463499999998</v>
      </c>
    </row>
    <row r="10" spans="2:16" x14ac:dyDescent="0.35">
      <c r="B10" s="28">
        <v>2</v>
      </c>
      <c r="C10" s="24">
        <v>1.5</v>
      </c>
      <c r="D10" s="23">
        <v>0</v>
      </c>
      <c r="E10" s="36">
        <f t="shared" si="0"/>
        <v>0</v>
      </c>
      <c r="F10" s="23">
        <v>4.97</v>
      </c>
      <c r="G10" s="36">
        <f t="shared" si="1"/>
        <v>7.4550000000000001</v>
      </c>
      <c r="H10" s="36">
        <v>5.2610999999999999</v>
      </c>
      <c r="I10" s="36">
        <f t="shared" si="2"/>
        <v>7.8916500000000003</v>
      </c>
      <c r="J10" s="23">
        <v>5.3236999999999997</v>
      </c>
      <c r="K10" s="36">
        <f t="shared" si="3"/>
        <v>7.9855499999999999</v>
      </c>
      <c r="L10" s="36">
        <f t="shared" si="4"/>
        <v>36.017000000000003</v>
      </c>
      <c r="M10" s="36">
        <f t="shared" si="7"/>
        <v>29.714025000000007</v>
      </c>
      <c r="N10" s="36">
        <f t="shared" si="5"/>
        <v>44.57103750000001</v>
      </c>
      <c r="O10" s="24">
        <v>-3</v>
      </c>
      <c r="P10" s="36">
        <f t="shared" si="6"/>
        <v>-133.71311250000002</v>
      </c>
    </row>
    <row r="11" spans="2:16" x14ac:dyDescent="0.35">
      <c r="B11" s="28">
        <v>3</v>
      </c>
      <c r="C11" s="24">
        <v>4</v>
      </c>
      <c r="D11" s="23">
        <v>0</v>
      </c>
      <c r="E11" s="36">
        <f t="shared" si="0"/>
        <v>0</v>
      </c>
      <c r="F11" s="23">
        <v>5.3846999999999996</v>
      </c>
      <c r="G11" s="36">
        <f t="shared" si="1"/>
        <v>21.538799999999998</v>
      </c>
      <c r="H11" s="36">
        <v>5.4965000000000002</v>
      </c>
      <c r="I11" s="36">
        <f t="shared" si="2"/>
        <v>21.986000000000001</v>
      </c>
      <c r="J11" s="23">
        <v>5.5</v>
      </c>
      <c r="K11" s="36">
        <f t="shared" si="3"/>
        <v>22</v>
      </c>
      <c r="L11" s="36">
        <f t="shared" si="4"/>
        <v>38.143599999999999</v>
      </c>
      <c r="M11" s="36">
        <f t="shared" si="7"/>
        <v>31.468470000000003</v>
      </c>
      <c r="N11" s="36">
        <f t="shared" si="5"/>
        <v>125.87388000000001</v>
      </c>
      <c r="O11" s="24">
        <v>-2</v>
      </c>
      <c r="P11" s="36">
        <f t="shared" si="6"/>
        <v>-251.74776000000003</v>
      </c>
    </row>
    <row r="12" spans="2:16" x14ac:dyDescent="0.35">
      <c r="B12" s="28">
        <v>4</v>
      </c>
      <c r="C12" s="24">
        <v>1</v>
      </c>
      <c r="D12" s="23">
        <v>0</v>
      </c>
      <c r="E12" s="36">
        <f t="shared" si="0"/>
        <v>0</v>
      </c>
      <c r="F12" s="23">
        <v>5.3846999999999996</v>
      </c>
      <c r="G12" s="36">
        <f t="shared" si="1"/>
        <v>5.3846999999999996</v>
      </c>
      <c r="H12" s="36">
        <v>5.4965000000000002</v>
      </c>
      <c r="I12" s="36">
        <f t="shared" si="2"/>
        <v>5.4965000000000002</v>
      </c>
      <c r="J12" s="23">
        <v>5.5</v>
      </c>
      <c r="K12" s="36">
        <f t="shared" si="3"/>
        <v>5.5</v>
      </c>
      <c r="L12" s="36">
        <f t="shared" si="4"/>
        <v>38.143599999999999</v>
      </c>
      <c r="M12" s="36">
        <f t="shared" si="7"/>
        <v>31.468470000000003</v>
      </c>
      <c r="N12" s="36">
        <f t="shared" si="5"/>
        <v>31.468470000000003</v>
      </c>
      <c r="O12" s="24">
        <v>-1</v>
      </c>
      <c r="P12" s="36">
        <f t="shared" si="6"/>
        <v>-31.468470000000003</v>
      </c>
    </row>
    <row r="13" spans="2:16" x14ac:dyDescent="0.35">
      <c r="B13" s="28">
        <v>5</v>
      </c>
      <c r="C13" s="24">
        <v>4</v>
      </c>
      <c r="D13" s="23">
        <v>0</v>
      </c>
      <c r="E13" s="36">
        <f t="shared" si="0"/>
        <v>0</v>
      </c>
      <c r="F13" s="23">
        <v>5.3846999999999996</v>
      </c>
      <c r="G13" s="36">
        <f t="shared" si="1"/>
        <v>21.538799999999998</v>
      </c>
      <c r="H13" s="36">
        <v>5.4965000000000002</v>
      </c>
      <c r="I13" s="36">
        <f t="shared" si="2"/>
        <v>21.986000000000001</v>
      </c>
      <c r="J13" s="23">
        <v>5.5</v>
      </c>
      <c r="K13" s="36">
        <f t="shared" si="3"/>
        <v>22</v>
      </c>
      <c r="L13" s="36">
        <f t="shared" si="4"/>
        <v>38.143599999999999</v>
      </c>
      <c r="M13" s="36">
        <f t="shared" si="7"/>
        <v>31.468470000000003</v>
      </c>
      <c r="N13" s="36">
        <f t="shared" si="5"/>
        <v>125.87388000000001</v>
      </c>
      <c r="O13" s="24">
        <v>0</v>
      </c>
      <c r="P13" s="36">
        <f t="shared" si="6"/>
        <v>0</v>
      </c>
    </row>
    <row r="14" spans="2:16" x14ac:dyDescent="0.35">
      <c r="B14" s="28">
        <v>6</v>
      </c>
      <c r="C14" s="24">
        <v>2</v>
      </c>
      <c r="D14" s="23">
        <v>0</v>
      </c>
      <c r="E14" s="36">
        <f t="shared" si="0"/>
        <v>0</v>
      </c>
      <c r="F14" s="23">
        <v>5.3846999999999996</v>
      </c>
      <c r="G14" s="36">
        <f t="shared" si="1"/>
        <v>10.769399999999999</v>
      </c>
      <c r="H14" s="36">
        <v>5.4965000000000002</v>
      </c>
      <c r="I14" s="36">
        <f t="shared" si="2"/>
        <v>10.993</v>
      </c>
      <c r="J14" s="23">
        <v>5.5</v>
      </c>
      <c r="K14" s="36">
        <f t="shared" si="3"/>
        <v>11</v>
      </c>
      <c r="L14" s="36">
        <f t="shared" si="4"/>
        <v>38.143599999999999</v>
      </c>
      <c r="M14" s="36">
        <f t="shared" si="7"/>
        <v>31.468470000000003</v>
      </c>
      <c r="N14" s="36">
        <f t="shared" si="5"/>
        <v>62.936940000000007</v>
      </c>
      <c r="O14" s="24">
        <v>1</v>
      </c>
      <c r="P14" s="36">
        <f t="shared" si="6"/>
        <v>62.936940000000007</v>
      </c>
    </row>
    <row r="15" spans="2:16" x14ac:dyDescent="0.35">
      <c r="B15" s="28">
        <v>7</v>
      </c>
      <c r="C15" s="24">
        <v>4</v>
      </c>
      <c r="D15" s="23">
        <v>0</v>
      </c>
      <c r="E15" s="36">
        <f t="shared" si="0"/>
        <v>0</v>
      </c>
      <c r="F15" s="23">
        <v>5.3846999999999996</v>
      </c>
      <c r="G15" s="36">
        <f t="shared" si="1"/>
        <v>21.538799999999998</v>
      </c>
      <c r="H15" s="36">
        <v>5.4965000000000002</v>
      </c>
      <c r="I15" s="36">
        <f t="shared" si="2"/>
        <v>21.986000000000001</v>
      </c>
      <c r="J15" s="23">
        <v>5.5</v>
      </c>
      <c r="K15" s="36">
        <f t="shared" si="3"/>
        <v>22</v>
      </c>
      <c r="L15" s="36">
        <f t="shared" si="4"/>
        <v>38.143599999999999</v>
      </c>
      <c r="M15" s="36">
        <f t="shared" si="7"/>
        <v>31.468470000000003</v>
      </c>
      <c r="N15" s="36">
        <f t="shared" si="5"/>
        <v>125.87388000000001</v>
      </c>
      <c r="O15" s="24">
        <v>2</v>
      </c>
      <c r="P15" s="36">
        <f t="shared" si="6"/>
        <v>251.74776000000003</v>
      </c>
    </row>
    <row r="16" spans="2:16" x14ac:dyDescent="0.35">
      <c r="B16" s="28">
        <v>8</v>
      </c>
      <c r="C16" s="24">
        <v>1.5</v>
      </c>
      <c r="D16" s="23">
        <v>0</v>
      </c>
      <c r="E16" s="36">
        <f t="shared" si="0"/>
        <v>0</v>
      </c>
      <c r="F16" s="23">
        <v>4.9272999999999998</v>
      </c>
      <c r="G16" s="36">
        <f t="shared" si="1"/>
        <v>7.3909500000000001</v>
      </c>
      <c r="H16" s="36">
        <v>5.1551999999999998</v>
      </c>
      <c r="I16" s="36">
        <f t="shared" si="2"/>
        <v>7.7327999999999992</v>
      </c>
      <c r="J16" s="23">
        <v>5.1844999999999999</v>
      </c>
      <c r="K16" s="36">
        <f t="shared" si="3"/>
        <v>7.7767499999999998</v>
      </c>
      <c r="L16" s="36">
        <f t="shared" si="4"/>
        <v>35.432000000000002</v>
      </c>
      <c r="M16" s="36">
        <f t="shared" si="7"/>
        <v>29.231400000000004</v>
      </c>
      <c r="N16" s="36">
        <f t="shared" si="5"/>
        <v>43.847100000000005</v>
      </c>
      <c r="O16" s="24">
        <v>3</v>
      </c>
      <c r="P16" s="36">
        <f t="shared" si="6"/>
        <v>131.54130000000001</v>
      </c>
    </row>
    <row r="17" spans="2:16" x14ac:dyDescent="0.35">
      <c r="B17" s="28">
        <v>8.5</v>
      </c>
      <c r="C17" s="24">
        <v>2</v>
      </c>
      <c r="D17" s="23">
        <v>0</v>
      </c>
      <c r="E17" s="36">
        <f t="shared" si="0"/>
        <v>0</v>
      </c>
      <c r="F17" s="23">
        <v>4.1715</v>
      </c>
      <c r="G17" s="36">
        <f t="shared" si="1"/>
        <v>8.343</v>
      </c>
      <c r="H17" s="36">
        <v>4.5117000000000003</v>
      </c>
      <c r="I17" s="36">
        <f t="shared" si="2"/>
        <v>9.0234000000000005</v>
      </c>
      <c r="J17" s="23">
        <v>4.6313000000000004</v>
      </c>
      <c r="K17" s="36">
        <f t="shared" si="3"/>
        <v>9.2626000000000008</v>
      </c>
      <c r="L17" s="36">
        <f t="shared" si="4"/>
        <v>30.680899999999998</v>
      </c>
      <c r="M17" s="36">
        <f t="shared" si="7"/>
        <v>25.311742500000001</v>
      </c>
      <c r="N17" s="36">
        <f t="shared" si="5"/>
        <v>50.623485000000002</v>
      </c>
      <c r="O17" s="24">
        <v>3.5</v>
      </c>
      <c r="P17" s="36">
        <f t="shared" si="6"/>
        <v>177.1821975</v>
      </c>
    </row>
    <row r="18" spans="2:16" x14ac:dyDescent="0.35">
      <c r="B18" s="28">
        <v>9</v>
      </c>
      <c r="C18" s="24">
        <v>1</v>
      </c>
      <c r="D18" s="23">
        <v>0</v>
      </c>
      <c r="E18" s="36">
        <f t="shared" si="0"/>
        <v>0</v>
      </c>
      <c r="F18" s="23">
        <v>3.0457000000000001</v>
      </c>
      <c r="G18" s="36">
        <f t="shared" si="1"/>
        <v>3.0457000000000001</v>
      </c>
      <c r="H18" s="36">
        <v>3.5143</v>
      </c>
      <c r="I18" s="36">
        <f t="shared" si="2"/>
        <v>3.5143</v>
      </c>
      <c r="J18" s="23">
        <v>3.7326000000000001</v>
      </c>
      <c r="K18" s="36">
        <f t="shared" si="3"/>
        <v>3.7326000000000001</v>
      </c>
      <c r="L18" s="36">
        <f t="shared" si="4"/>
        <v>23.412600000000001</v>
      </c>
      <c r="M18" s="36">
        <f t="shared" si="7"/>
        <v>19.315395000000002</v>
      </c>
      <c r="N18" s="36">
        <f t="shared" si="5"/>
        <v>19.315395000000002</v>
      </c>
      <c r="O18" s="24">
        <v>4</v>
      </c>
      <c r="P18" s="36">
        <f t="shared" si="6"/>
        <v>77.261580000000009</v>
      </c>
    </row>
    <row r="19" spans="2:16" x14ac:dyDescent="0.35">
      <c r="B19" s="28">
        <v>9.5</v>
      </c>
      <c r="C19" s="24">
        <v>2</v>
      </c>
      <c r="D19" s="23">
        <v>0</v>
      </c>
      <c r="E19" s="36">
        <f t="shared" si="0"/>
        <v>0</v>
      </c>
      <c r="F19" s="23">
        <v>1.6696</v>
      </c>
      <c r="G19" s="36">
        <f t="shared" si="1"/>
        <v>3.3391999999999999</v>
      </c>
      <c r="H19" s="36">
        <v>2.0121000000000002</v>
      </c>
      <c r="I19" s="36">
        <f t="shared" si="2"/>
        <v>4.0242000000000004</v>
      </c>
      <c r="J19" s="23">
        <v>2.2183000000000002</v>
      </c>
      <c r="K19" s="36">
        <f t="shared" si="3"/>
        <v>4.4366000000000003</v>
      </c>
      <c r="L19" s="36">
        <f t="shared" si="4"/>
        <v>13.263400000000001</v>
      </c>
      <c r="M19" s="36">
        <f t="shared" si="7"/>
        <v>10.942305000000001</v>
      </c>
      <c r="N19" s="36">
        <f t="shared" si="5"/>
        <v>21.884610000000002</v>
      </c>
      <c r="O19" s="24">
        <v>4.5</v>
      </c>
      <c r="P19" s="36">
        <f t="shared" si="6"/>
        <v>98.480745000000013</v>
      </c>
    </row>
    <row r="20" spans="2:16" x14ac:dyDescent="0.35">
      <c r="B20" s="28">
        <v>10</v>
      </c>
      <c r="C20" s="24">
        <v>0.5</v>
      </c>
      <c r="D20" s="23">
        <v>0</v>
      </c>
      <c r="E20" s="36">
        <f t="shared" si="0"/>
        <v>0</v>
      </c>
      <c r="F20" s="23">
        <v>0.35880000000000001</v>
      </c>
      <c r="G20" s="36">
        <f t="shared" si="1"/>
        <v>0.1794</v>
      </c>
      <c r="H20" s="36">
        <v>0.31259999999999999</v>
      </c>
      <c r="I20" s="36">
        <f t="shared" si="2"/>
        <v>0.15629999999999999</v>
      </c>
      <c r="J20" s="23">
        <v>0.1326</v>
      </c>
      <c r="K20" s="36">
        <f t="shared" si="3"/>
        <v>6.6299999999999998E-2</v>
      </c>
      <c r="L20" s="36">
        <f t="shared" si="4"/>
        <v>2.1467999999999998</v>
      </c>
      <c r="M20" s="36">
        <f t="shared" si="7"/>
        <v>1.77111</v>
      </c>
      <c r="N20" s="36">
        <f t="shared" si="5"/>
        <v>0.88555499999999998</v>
      </c>
      <c r="O20" s="24">
        <v>5</v>
      </c>
      <c r="P20" s="36">
        <f t="shared" si="6"/>
        <v>4.4277749999999996</v>
      </c>
    </row>
    <row r="21" spans="2:16" ht="72.5" x14ac:dyDescent="0.35">
      <c r="B21" s="29" t="s">
        <v>91</v>
      </c>
      <c r="C21" s="29"/>
      <c r="D21" s="30" t="s">
        <v>75</v>
      </c>
      <c r="E21" s="36">
        <f>SUM(E6:E20)</f>
        <v>0</v>
      </c>
      <c r="F21" s="37" t="s">
        <v>76</v>
      </c>
      <c r="G21" s="36">
        <f>SUM(G6:G20)</f>
        <v>121.95655000000001</v>
      </c>
      <c r="H21" s="37" t="s">
        <v>76</v>
      </c>
      <c r="I21" s="36">
        <f>SUM(I6:I20)</f>
        <v>129.23075</v>
      </c>
      <c r="J21" s="37" t="s">
        <v>77</v>
      </c>
      <c r="K21" s="36">
        <f>SUM(K6:K20)</f>
        <v>139.0282</v>
      </c>
      <c r="L21" s="31" t="s">
        <v>78</v>
      </c>
      <c r="M21" s="31"/>
      <c r="N21" s="36">
        <f>SUM(N6:N20)</f>
        <v>736.38683249999985</v>
      </c>
      <c r="O21" s="37" t="s">
        <v>79</v>
      </c>
      <c r="P21" s="36">
        <f>SUM(P6:P20)</f>
        <v>77.96596500000004</v>
      </c>
    </row>
    <row r="22" spans="2:16" x14ac:dyDescent="0.35">
      <c r="B22" s="29" t="s">
        <v>92</v>
      </c>
      <c r="C22" s="29"/>
      <c r="D22" s="31">
        <f>E21*G27/3*2</f>
        <v>0</v>
      </c>
      <c r="E22" s="31"/>
      <c r="F22" s="31">
        <f>G21*G27/3*2</f>
        <v>661.3297184666668</v>
      </c>
      <c r="G22" s="31"/>
      <c r="H22" s="31">
        <f>I21*G27/3*2</f>
        <v>700.7752803333334</v>
      </c>
      <c r="I22" s="31"/>
      <c r="J22" s="31">
        <f>K21*G27/3*2</f>
        <v>753.90358586666662</v>
      </c>
      <c r="K22" s="31"/>
      <c r="L22" s="30"/>
      <c r="M22" s="30"/>
      <c r="N22" s="36"/>
      <c r="O22" s="37"/>
      <c r="P22" s="36"/>
    </row>
    <row r="23" spans="2:16" x14ac:dyDescent="0.35">
      <c r="B23" s="32" t="s">
        <v>25</v>
      </c>
      <c r="C23" s="32"/>
      <c r="D23" s="26">
        <v>1</v>
      </c>
      <c r="E23" s="26"/>
      <c r="F23" s="25">
        <v>3</v>
      </c>
      <c r="G23" s="25"/>
      <c r="H23" s="25">
        <v>3</v>
      </c>
      <c r="I23" s="25"/>
      <c r="J23" s="26">
        <v>1</v>
      </c>
      <c r="K23" s="26"/>
      <c r="L23" s="40" t="s">
        <v>33</v>
      </c>
      <c r="M23" s="40"/>
      <c r="N23" s="38">
        <f>N21*G27/3</f>
        <v>1996.5901651849997</v>
      </c>
      <c r="O23" s="117" t="s">
        <v>34</v>
      </c>
      <c r="P23" s="39">
        <f>P21/N21*G27</f>
        <v>0.86119839644199569</v>
      </c>
    </row>
    <row r="24" spans="2:16" ht="43.5" x14ac:dyDescent="0.35">
      <c r="B24" s="35" t="s">
        <v>82</v>
      </c>
      <c r="C24" s="35"/>
      <c r="D24" s="26">
        <f>D22*D23</f>
        <v>0</v>
      </c>
      <c r="E24" s="26"/>
      <c r="F24" s="26">
        <f>F22*F23</f>
        <v>1983.9891554000005</v>
      </c>
      <c r="G24" s="26"/>
      <c r="H24" s="26">
        <f>H22*H23</f>
        <v>2102.3258410000003</v>
      </c>
      <c r="I24" s="26"/>
      <c r="J24" s="26">
        <f>J22*J23</f>
        <v>753.90358586666662</v>
      </c>
      <c r="K24" s="26"/>
      <c r="L24" s="37" t="s">
        <v>80</v>
      </c>
      <c r="M24" s="36">
        <f>D24+F24+J24+H24</f>
        <v>4840.218582266667</v>
      </c>
      <c r="N24" s="40" t="s">
        <v>33</v>
      </c>
      <c r="O24" s="40"/>
      <c r="P24" s="38">
        <f>M24*P27*3/8</f>
        <v>1996.5901651850004</v>
      </c>
    </row>
    <row r="25" spans="2:16" x14ac:dyDescent="0.35">
      <c r="B25" s="35" t="s">
        <v>73</v>
      </c>
      <c r="C25" s="35"/>
      <c r="D25" s="26">
        <v>0</v>
      </c>
      <c r="E25" s="26"/>
      <c r="F25" s="26">
        <v>1</v>
      </c>
      <c r="G25" s="26"/>
      <c r="H25" s="26">
        <v>2</v>
      </c>
      <c r="I25" s="26"/>
      <c r="J25" s="26">
        <v>3</v>
      </c>
      <c r="K25" s="26"/>
      <c r="L25" s="26"/>
      <c r="M25" s="26"/>
      <c r="N25" s="26"/>
      <c r="O25" s="26"/>
      <c r="P25" s="26"/>
    </row>
    <row r="26" spans="2:16" ht="29" x14ac:dyDescent="0.35">
      <c r="B26" s="29" t="s">
        <v>83</v>
      </c>
      <c r="C26" s="29"/>
      <c r="D26" s="26">
        <f>D24*D25</f>
        <v>0</v>
      </c>
      <c r="E26" s="26"/>
      <c r="F26" s="26">
        <f>F24*F25</f>
        <v>1983.9891554000005</v>
      </c>
      <c r="G26" s="26"/>
      <c r="H26" s="26">
        <f>H24*H25</f>
        <v>4204.6516820000006</v>
      </c>
      <c r="I26" s="26"/>
      <c r="J26" s="26">
        <f>J24*J25</f>
        <v>2261.7107575999999</v>
      </c>
      <c r="K26" s="26"/>
      <c r="L26" s="37" t="s">
        <v>81</v>
      </c>
      <c r="M26" s="36">
        <f>D26+F26+J26+H26</f>
        <v>8450.3515950000001</v>
      </c>
      <c r="N26" s="40" t="s">
        <v>35</v>
      </c>
      <c r="O26" s="40"/>
      <c r="P26" s="39">
        <f>M26/M24*P27</f>
        <v>1.9204477228685375</v>
      </c>
    </row>
    <row r="27" spans="2:16" x14ac:dyDescent="0.35">
      <c r="B27" s="35" t="s">
        <v>84</v>
      </c>
      <c r="C27" s="35"/>
      <c r="D27" s="35"/>
      <c r="E27" s="35"/>
      <c r="F27" s="35"/>
      <c r="G27" s="36">
        <v>8.1340000000000003</v>
      </c>
      <c r="H27" s="36"/>
      <c r="I27" s="36"/>
      <c r="J27" s="40" t="s">
        <v>85</v>
      </c>
      <c r="K27" s="40"/>
      <c r="L27" s="40"/>
      <c r="M27" s="40"/>
      <c r="N27" s="40"/>
      <c r="O27" s="40"/>
      <c r="P27" s="36">
        <v>1.1000000000000001</v>
      </c>
    </row>
  </sheetData>
  <mergeCells count="48">
    <mergeCell ref="B27:F27"/>
    <mergeCell ref="J27:O27"/>
    <mergeCell ref="B26:C26"/>
    <mergeCell ref="D26:E26"/>
    <mergeCell ref="F26:G26"/>
    <mergeCell ref="H26:I26"/>
    <mergeCell ref="J26:K26"/>
    <mergeCell ref="N26:O26"/>
    <mergeCell ref="B25:C25"/>
    <mergeCell ref="D25:E25"/>
    <mergeCell ref="F25:G25"/>
    <mergeCell ref="H25:I25"/>
    <mergeCell ref="J25:K25"/>
    <mergeCell ref="L25:P25"/>
    <mergeCell ref="B24:C24"/>
    <mergeCell ref="D24:E24"/>
    <mergeCell ref="F24:G24"/>
    <mergeCell ref="H24:I24"/>
    <mergeCell ref="J24:K24"/>
    <mergeCell ref="N24:O24"/>
    <mergeCell ref="B23:C23"/>
    <mergeCell ref="D23:E23"/>
    <mergeCell ref="F23:G23"/>
    <mergeCell ref="H23:I23"/>
    <mergeCell ref="J23:K23"/>
    <mergeCell ref="L23:M23"/>
    <mergeCell ref="N4:N5"/>
    <mergeCell ref="O4:O5"/>
    <mergeCell ref="P4:P5"/>
    <mergeCell ref="B21:C21"/>
    <mergeCell ref="L21:M21"/>
    <mergeCell ref="B22:C22"/>
    <mergeCell ref="D22:E22"/>
    <mergeCell ref="F22:G22"/>
    <mergeCell ref="H22:I22"/>
    <mergeCell ref="J22:K22"/>
    <mergeCell ref="D4:E4"/>
    <mergeCell ref="F4:G4"/>
    <mergeCell ref="H4:I4"/>
    <mergeCell ref="J4:K4"/>
    <mergeCell ref="L4:L5"/>
    <mergeCell ref="M4:M5"/>
    <mergeCell ref="B2:P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/>
  </sheetViews>
  <sheetFormatPr defaultRowHeight="14.5" x14ac:dyDescent="0.35"/>
  <cols>
    <col min="14" max="14" width="11.26953125" customWidth="1"/>
    <col min="15" max="15" width="10.1796875" customWidth="1"/>
    <col min="17" max="17" width="14.08984375" customWidth="1"/>
    <col min="18" max="18" width="11.81640625" customWidth="1"/>
  </cols>
  <sheetData>
    <row r="2" spans="2:18" x14ac:dyDescent="0.35">
      <c r="B2" s="35" t="s">
        <v>94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2:18" x14ac:dyDescent="0.35">
      <c r="B3" s="22" t="s">
        <v>24</v>
      </c>
      <c r="C3" s="22"/>
      <c r="D3" s="22">
        <v>0</v>
      </c>
      <c r="E3" s="22"/>
      <c r="F3" s="22">
        <v>1</v>
      </c>
      <c r="G3" s="22"/>
      <c r="H3" s="22">
        <v>2</v>
      </c>
      <c r="I3" s="22"/>
      <c r="J3" s="22">
        <v>3</v>
      </c>
      <c r="K3" s="22"/>
      <c r="L3" s="22">
        <v>4</v>
      </c>
      <c r="M3" s="22"/>
      <c r="N3" s="24"/>
      <c r="O3" s="24"/>
      <c r="P3" s="24"/>
      <c r="Q3" s="24"/>
      <c r="R3" s="24"/>
    </row>
    <row r="4" spans="2:18" x14ac:dyDescent="0.35">
      <c r="B4" s="24"/>
      <c r="C4" s="24" t="s">
        <v>25</v>
      </c>
      <c r="D4" s="22">
        <v>1</v>
      </c>
      <c r="E4" s="22"/>
      <c r="F4" s="22">
        <v>4</v>
      </c>
      <c r="G4" s="22"/>
      <c r="H4" s="22">
        <v>2</v>
      </c>
      <c r="I4" s="22"/>
      <c r="J4" s="22">
        <v>4</v>
      </c>
      <c r="K4" s="22"/>
      <c r="L4" s="22">
        <v>1</v>
      </c>
      <c r="M4" s="22"/>
      <c r="N4" s="32" t="s">
        <v>87</v>
      </c>
      <c r="O4" s="32" t="s">
        <v>88</v>
      </c>
      <c r="P4" s="32" t="s">
        <v>89</v>
      </c>
      <c r="Q4" s="22" t="s">
        <v>73</v>
      </c>
      <c r="R4" s="32" t="s">
        <v>90</v>
      </c>
    </row>
    <row r="5" spans="2:18" ht="73.5" customHeight="1" x14ac:dyDescent="0.35">
      <c r="B5" s="24" t="s">
        <v>36</v>
      </c>
      <c r="C5" s="24" t="s">
        <v>25</v>
      </c>
      <c r="D5" s="24" t="s">
        <v>37</v>
      </c>
      <c r="E5" s="24" t="s">
        <v>30</v>
      </c>
      <c r="F5" s="24" t="s">
        <v>37</v>
      </c>
      <c r="G5" s="24" t="s">
        <v>30</v>
      </c>
      <c r="H5" s="24" t="s">
        <v>37</v>
      </c>
      <c r="I5" s="24" t="s">
        <v>30</v>
      </c>
      <c r="J5" s="24" t="s">
        <v>37</v>
      </c>
      <c r="K5" s="24" t="s">
        <v>30</v>
      </c>
      <c r="L5" s="24" t="s">
        <v>37</v>
      </c>
      <c r="M5" s="24" t="s">
        <v>30</v>
      </c>
      <c r="N5" s="32"/>
      <c r="O5" s="32"/>
      <c r="P5" s="32"/>
      <c r="Q5" s="22"/>
      <c r="R5" s="32"/>
    </row>
    <row r="6" spans="2:18" x14ac:dyDescent="0.35">
      <c r="B6" s="28">
        <v>0</v>
      </c>
      <c r="C6" s="24">
        <v>0.5</v>
      </c>
      <c r="D6" s="28">
        <v>0</v>
      </c>
      <c r="E6" s="23">
        <f t="shared" ref="E6:E20" si="0">D6*C6</f>
        <v>0</v>
      </c>
      <c r="F6" s="28">
        <v>0</v>
      </c>
      <c r="G6" s="23">
        <f t="shared" ref="G6:G20" si="1">F6*C6</f>
        <v>0</v>
      </c>
      <c r="H6" s="28">
        <v>0</v>
      </c>
      <c r="I6" s="23">
        <f t="shared" ref="I6:I20" si="2">H6*C6</f>
        <v>0</v>
      </c>
      <c r="J6" s="28">
        <v>0</v>
      </c>
      <c r="K6" s="23">
        <f t="shared" ref="K6:K20" si="3">J6*C6</f>
        <v>0</v>
      </c>
      <c r="L6" s="28">
        <v>3.1339999999999999</v>
      </c>
      <c r="M6" s="23">
        <f t="shared" ref="M6:M20" si="4">L6*C6</f>
        <v>1.5669999999999999</v>
      </c>
      <c r="N6" s="23">
        <f t="shared" ref="N6:N20" si="5">D6*1+F6*4+H6*2+J6*4+L6*1</f>
        <v>3.1339999999999999</v>
      </c>
      <c r="O6" s="23">
        <f>N6/3*R27*2</f>
        <v>2.2982666666666667</v>
      </c>
      <c r="P6" s="23">
        <f>O6*C6</f>
        <v>1.1491333333333333</v>
      </c>
      <c r="Q6" s="24">
        <v>-5</v>
      </c>
      <c r="R6" s="23">
        <f>P6*Q6</f>
        <v>-5.7456666666666667</v>
      </c>
    </row>
    <row r="7" spans="2:18" x14ac:dyDescent="0.35">
      <c r="B7" s="28">
        <v>0.5</v>
      </c>
      <c r="C7" s="24">
        <v>2</v>
      </c>
      <c r="D7" s="28">
        <v>0</v>
      </c>
      <c r="E7" s="23">
        <f t="shared" si="0"/>
        <v>0</v>
      </c>
      <c r="F7" s="28">
        <v>0</v>
      </c>
      <c r="G7" s="23">
        <f t="shared" si="1"/>
        <v>0</v>
      </c>
      <c r="H7" s="28">
        <v>0</v>
      </c>
      <c r="I7" s="23">
        <f t="shared" si="2"/>
        <v>0</v>
      </c>
      <c r="J7" s="28">
        <v>4.0125999999999999</v>
      </c>
      <c r="K7" s="23">
        <f t="shared" si="3"/>
        <v>8.0251999999999999</v>
      </c>
      <c r="L7" s="28">
        <v>4.6047000000000002</v>
      </c>
      <c r="M7" s="23">
        <f t="shared" si="4"/>
        <v>9.2094000000000005</v>
      </c>
      <c r="N7" s="23">
        <f t="shared" si="5"/>
        <v>20.655100000000001</v>
      </c>
      <c r="O7" s="23">
        <f>N7/3*R27*2</f>
        <v>15.147073333333335</v>
      </c>
      <c r="P7" s="23">
        <f t="shared" ref="P7:P20" si="6">O7*C7</f>
        <v>30.29414666666667</v>
      </c>
      <c r="Q7" s="24">
        <v>-4.5</v>
      </c>
      <c r="R7" s="23">
        <f t="shared" ref="R7:R20" si="7">P7*Q7</f>
        <v>-136.32366000000002</v>
      </c>
    </row>
    <row r="8" spans="2:18" x14ac:dyDescent="0.35">
      <c r="B8" s="28">
        <v>1</v>
      </c>
      <c r="C8" s="24">
        <v>1</v>
      </c>
      <c r="D8" s="28">
        <v>0</v>
      </c>
      <c r="E8" s="23">
        <f t="shared" si="0"/>
        <v>0</v>
      </c>
      <c r="F8" s="28">
        <v>2.5644</v>
      </c>
      <c r="G8" s="23">
        <f t="shared" si="1"/>
        <v>2.5644</v>
      </c>
      <c r="H8" s="28">
        <v>4.4808000000000003</v>
      </c>
      <c r="I8" s="23">
        <f t="shared" si="2"/>
        <v>4.4808000000000003</v>
      </c>
      <c r="J8" s="28">
        <v>4.9203999999999999</v>
      </c>
      <c r="K8" s="23">
        <f t="shared" si="3"/>
        <v>4.9203999999999999</v>
      </c>
      <c r="L8" s="28">
        <v>5.1162000000000001</v>
      </c>
      <c r="M8" s="23">
        <f t="shared" si="4"/>
        <v>5.1162000000000001</v>
      </c>
      <c r="N8" s="23">
        <f t="shared" si="5"/>
        <v>44.017000000000003</v>
      </c>
      <c r="O8" s="23">
        <f>N8/3*R27*2</f>
        <v>32.279133333333341</v>
      </c>
      <c r="P8" s="23">
        <f t="shared" si="6"/>
        <v>32.279133333333341</v>
      </c>
      <c r="Q8" s="24">
        <v>-4</v>
      </c>
      <c r="R8" s="23">
        <f t="shared" si="7"/>
        <v>-129.11653333333336</v>
      </c>
    </row>
    <row r="9" spans="2:18" x14ac:dyDescent="0.35">
      <c r="B9" s="28">
        <v>1.5</v>
      </c>
      <c r="C9" s="24">
        <v>2</v>
      </c>
      <c r="D9" s="28">
        <v>0</v>
      </c>
      <c r="E9" s="23">
        <f t="shared" si="0"/>
        <v>0</v>
      </c>
      <c r="F9" s="28">
        <v>4.4341999999999997</v>
      </c>
      <c r="G9" s="23">
        <f t="shared" si="1"/>
        <v>8.8683999999999994</v>
      </c>
      <c r="H9" s="28">
        <v>4.9798999999999998</v>
      </c>
      <c r="I9" s="23">
        <f t="shared" si="2"/>
        <v>9.9597999999999995</v>
      </c>
      <c r="J9" s="28">
        <v>5.1611000000000002</v>
      </c>
      <c r="K9" s="23">
        <f t="shared" si="3"/>
        <v>10.3222</v>
      </c>
      <c r="L9" s="28">
        <v>5.2484999999999999</v>
      </c>
      <c r="M9" s="23">
        <f t="shared" si="4"/>
        <v>10.497</v>
      </c>
      <c r="N9" s="23">
        <f t="shared" si="5"/>
        <v>53.589499999999994</v>
      </c>
      <c r="O9" s="23">
        <f>N9/3*R27*2</f>
        <v>39.298966666666665</v>
      </c>
      <c r="P9" s="23">
        <f t="shared" si="6"/>
        <v>78.59793333333333</v>
      </c>
      <c r="Q9" s="24">
        <v>-3.5</v>
      </c>
      <c r="R9" s="23">
        <f t="shared" si="7"/>
        <v>-275.09276666666665</v>
      </c>
    </row>
    <row r="10" spans="2:18" x14ac:dyDescent="0.35">
      <c r="B10" s="28">
        <v>2</v>
      </c>
      <c r="C10" s="24">
        <v>1.5</v>
      </c>
      <c r="D10" s="28">
        <v>0</v>
      </c>
      <c r="E10" s="23">
        <f t="shared" si="0"/>
        <v>0</v>
      </c>
      <c r="F10" s="28">
        <v>4.97</v>
      </c>
      <c r="G10" s="23">
        <f t="shared" si="1"/>
        <v>7.4550000000000001</v>
      </c>
      <c r="H10" s="28">
        <v>5.2610999999999999</v>
      </c>
      <c r="I10" s="23">
        <f t="shared" si="2"/>
        <v>7.8916500000000003</v>
      </c>
      <c r="J10" s="28">
        <v>5.3236999999999997</v>
      </c>
      <c r="K10" s="23">
        <f t="shared" si="3"/>
        <v>7.9855499999999999</v>
      </c>
      <c r="L10" s="28">
        <v>5.3693</v>
      </c>
      <c r="M10" s="23">
        <f t="shared" si="4"/>
        <v>8.0539500000000004</v>
      </c>
      <c r="N10" s="23">
        <f t="shared" si="5"/>
        <v>57.066300000000005</v>
      </c>
      <c r="O10" s="23">
        <f>N10/3*R27*2</f>
        <v>41.848620000000004</v>
      </c>
      <c r="P10" s="23">
        <f t="shared" si="6"/>
        <v>62.772930000000002</v>
      </c>
      <c r="Q10" s="24">
        <v>-3</v>
      </c>
      <c r="R10" s="23">
        <f t="shared" si="7"/>
        <v>-188.31879000000001</v>
      </c>
    </row>
    <row r="11" spans="2:18" x14ac:dyDescent="0.35">
      <c r="B11" s="28">
        <v>3</v>
      </c>
      <c r="C11" s="24">
        <v>4</v>
      </c>
      <c r="D11" s="28">
        <v>0</v>
      </c>
      <c r="E11" s="23">
        <f t="shared" si="0"/>
        <v>0</v>
      </c>
      <c r="F11" s="28">
        <v>5.3846999999999996</v>
      </c>
      <c r="G11" s="23">
        <f t="shared" si="1"/>
        <v>21.538799999999998</v>
      </c>
      <c r="H11" s="28">
        <v>5.4965000000000002</v>
      </c>
      <c r="I11" s="23">
        <f t="shared" si="2"/>
        <v>21.986000000000001</v>
      </c>
      <c r="J11" s="28">
        <v>5.5</v>
      </c>
      <c r="K11" s="23">
        <f t="shared" si="3"/>
        <v>22</v>
      </c>
      <c r="L11" s="28">
        <v>5.5</v>
      </c>
      <c r="M11" s="23">
        <f t="shared" si="4"/>
        <v>22</v>
      </c>
      <c r="N11" s="23">
        <f t="shared" si="5"/>
        <v>60.031799999999997</v>
      </c>
      <c r="O11" s="23">
        <f>N11/3*R27*2</f>
        <v>44.023320000000005</v>
      </c>
      <c r="P11" s="23">
        <f t="shared" si="6"/>
        <v>176.09328000000002</v>
      </c>
      <c r="Q11" s="24">
        <v>-2</v>
      </c>
      <c r="R11" s="23">
        <f t="shared" si="7"/>
        <v>-352.18656000000004</v>
      </c>
    </row>
    <row r="12" spans="2:18" x14ac:dyDescent="0.35">
      <c r="B12" s="28">
        <v>4</v>
      </c>
      <c r="C12" s="24">
        <v>2</v>
      </c>
      <c r="D12" s="28">
        <v>0</v>
      </c>
      <c r="E12" s="23">
        <f t="shared" si="0"/>
        <v>0</v>
      </c>
      <c r="F12" s="28">
        <v>5.3846999999999996</v>
      </c>
      <c r="G12" s="23">
        <f t="shared" si="1"/>
        <v>10.769399999999999</v>
      </c>
      <c r="H12" s="28">
        <v>5.4965000000000002</v>
      </c>
      <c r="I12" s="23">
        <f t="shared" si="2"/>
        <v>10.993</v>
      </c>
      <c r="J12" s="28">
        <v>5.5</v>
      </c>
      <c r="K12" s="23">
        <f t="shared" si="3"/>
        <v>11</v>
      </c>
      <c r="L12" s="28">
        <v>5.5</v>
      </c>
      <c r="M12" s="23">
        <f t="shared" si="4"/>
        <v>11</v>
      </c>
      <c r="N12" s="23">
        <f t="shared" si="5"/>
        <v>60.031799999999997</v>
      </c>
      <c r="O12" s="23">
        <f>N12/3*R27*2</f>
        <v>44.023320000000005</v>
      </c>
      <c r="P12" s="23">
        <f t="shared" si="6"/>
        <v>88.046640000000011</v>
      </c>
      <c r="Q12" s="24">
        <v>-1</v>
      </c>
      <c r="R12" s="23">
        <f t="shared" si="7"/>
        <v>-88.046640000000011</v>
      </c>
    </row>
    <row r="13" spans="2:18" x14ac:dyDescent="0.35">
      <c r="B13" s="28">
        <v>5</v>
      </c>
      <c r="C13" s="24">
        <v>4</v>
      </c>
      <c r="D13" s="28">
        <v>0</v>
      </c>
      <c r="E13" s="23">
        <f t="shared" si="0"/>
        <v>0</v>
      </c>
      <c r="F13" s="28">
        <v>5.3846999999999996</v>
      </c>
      <c r="G13" s="23">
        <f t="shared" si="1"/>
        <v>21.538799999999998</v>
      </c>
      <c r="H13" s="28">
        <v>5.4965000000000002</v>
      </c>
      <c r="I13" s="23">
        <f t="shared" si="2"/>
        <v>21.986000000000001</v>
      </c>
      <c r="J13" s="28">
        <v>5.5</v>
      </c>
      <c r="K13" s="23">
        <f t="shared" si="3"/>
        <v>22</v>
      </c>
      <c r="L13" s="28">
        <v>5.5</v>
      </c>
      <c r="M13" s="23">
        <f t="shared" si="4"/>
        <v>22</v>
      </c>
      <c r="N13" s="23">
        <f t="shared" si="5"/>
        <v>60.031799999999997</v>
      </c>
      <c r="O13" s="23">
        <f>N13/3*R27*2</f>
        <v>44.023320000000005</v>
      </c>
      <c r="P13" s="23">
        <f t="shared" si="6"/>
        <v>176.09328000000002</v>
      </c>
      <c r="Q13" s="24">
        <v>0</v>
      </c>
      <c r="R13" s="23">
        <f t="shared" si="7"/>
        <v>0</v>
      </c>
    </row>
    <row r="14" spans="2:18" x14ac:dyDescent="0.35">
      <c r="B14" s="28">
        <v>6</v>
      </c>
      <c r="C14" s="24">
        <v>2</v>
      </c>
      <c r="D14" s="28">
        <v>0</v>
      </c>
      <c r="E14" s="23">
        <f t="shared" si="0"/>
        <v>0</v>
      </c>
      <c r="F14" s="28">
        <v>5.3846999999999996</v>
      </c>
      <c r="G14" s="23">
        <f t="shared" si="1"/>
        <v>10.769399999999999</v>
      </c>
      <c r="H14" s="28">
        <v>5.4965000000000002</v>
      </c>
      <c r="I14" s="23">
        <f t="shared" si="2"/>
        <v>10.993</v>
      </c>
      <c r="J14" s="28">
        <v>5.5</v>
      </c>
      <c r="K14" s="23">
        <f t="shared" si="3"/>
        <v>11</v>
      </c>
      <c r="L14" s="28">
        <v>5.5</v>
      </c>
      <c r="M14" s="23">
        <f t="shared" si="4"/>
        <v>11</v>
      </c>
      <c r="N14" s="23">
        <f t="shared" si="5"/>
        <v>60.031799999999997</v>
      </c>
      <c r="O14" s="23">
        <f>N14/3*R27*2</f>
        <v>44.023320000000005</v>
      </c>
      <c r="P14" s="23">
        <f t="shared" si="6"/>
        <v>88.046640000000011</v>
      </c>
      <c r="Q14" s="24">
        <v>1</v>
      </c>
      <c r="R14" s="23">
        <f t="shared" si="7"/>
        <v>88.046640000000011</v>
      </c>
    </row>
    <row r="15" spans="2:18" x14ac:dyDescent="0.35">
      <c r="B15" s="28">
        <v>7</v>
      </c>
      <c r="C15" s="24">
        <v>4</v>
      </c>
      <c r="D15" s="28">
        <v>0</v>
      </c>
      <c r="E15" s="23">
        <f t="shared" si="0"/>
        <v>0</v>
      </c>
      <c r="F15" s="28">
        <v>5.3846999999999996</v>
      </c>
      <c r="G15" s="23">
        <f t="shared" si="1"/>
        <v>21.538799999999998</v>
      </c>
      <c r="H15" s="28">
        <v>5.4965000000000002</v>
      </c>
      <c r="I15" s="23">
        <f t="shared" si="2"/>
        <v>21.986000000000001</v>
      </c>
      <c r="J15" s="28">
        <v>5.5</v>
      </c>
      <c r="K15" s="23">
        <f t="shared" si="3"/>
        <v>22</v>
      </c>
      <c r="L15" s="28">
        <v>5.5</v>
      </c>
      <c r="M15" s="23">
        <f t="shared" si="4"/>
        <v>22</v>
      </c>
      <c r="N15" s="23">
        <f t="shared" si="5"/>
        <v>60.031799999999997</v>
      </c>
      <c r="O15" s="23">
        <f>N15/3*R27*2</f>
        <v>44.023320000000005</v>
      </c>
      <c r="P15" s="23">
        <f t="shared" si="6"/>
        <v>176.09328000000002</v>
      </c>
      <c r="Q15" s="24">
        <v>2</v>
      </c>
      <c r="R15" s="23">
        <f t="shared" si="7"/>
        <v>352.18656000000004</v>
      </c>
    </row>
    <row r="16" spans="2:18" x14ac:dyDescent="0.35">
      <c r="B16" s="28">
        <v>8</v>
      </c>
      <c r="C16" s="24">
        <v>1.5</v>
      </c>
      <c r="D16" s="28">
        <v>0</v>
      </c>
      <c r="E16" s="23">
        <f t="shared" si="0"/>
        <v>0</v>
      </c>
      <c r="F16" s="28">
        <v>4.9272999999999998</v>
      </c>
      <c r="G16" s="23">
        <f t="shared" si="1"/>
        <v>7.3909500000000001</v>
      </c>
      <c r="H16" s="28">
        <v>5.1551999999999998</v>
      </c>
      <c r="I16" s="23">
        <f t="shared" si="2"/>
        <v>7.7327999999999992</v>
      </c>
      <c r="J16" s="28">
        <v>5.1844999999999999</v>
      </c>
      <c r="K16" s="23">
        <f t="shared" si="3"/>
        <v>7.7767499999999998</v>
      </c>
      <c r="L16" s="28">
        <v>5.2252000000000001</v>
      </c>
      <c r="M16" s="23">
        <f t="shared" si="4"/>
        <v>7.8377999999999997</v>
      </c>
      <c r="N16" s="23">
        <f t="shared" si="5"/>
        <v>55.982799999999997</v>
      </c>
      <c r="O16" s="23">
        <f>N16/3*R27*2</f>
        <v>41.054053333333336</v>
      </c>
      <c r="P16" s="23">
        <f t="shared" si="6"/>
        <v>61.58108</v>
      </c>
      <c r="Q16" s="24">
        <v>3</v>
      </c>
      <c r="R16" s="23">
        <f t="shared" si="7"/>
        <v>184.74324000000001</v>
      </c>
    </row>
    <row r="17" spans="2:18" x14ac:dyDescent="0.35">
      <c r="B17" s="28">
        <v>8.5</v>
      </c>
      <c r="C17" s="24">
        <v>2</v>
      </c>
      <c r="D17" s="28">
        <v>0</v>
      </c>
      <c r="E17" s="23">
        <f t="shared" si="0"/>
        <v>0</v>
      </c>
      <c r="F17" s="28">
        <v>4.1715</v>
      </c>
      <c r="G17" s="23">
        <f t="shared" si="1"/>
        <v>8.343</v>
      </c>
      <c r="H17" s="28">
        <v>4.5117000000000003</v>
      </c>
      <c r="I17" s="23">
        <f t="shared" si="2"/>
        <v>9.0234000000000005</v>
      </c>
      <c r="J17" s="28">
        <v>4.6313000000000004</v>
      </c>
      <c r="K17" s="23">
        <f t="shared" si="3"/>
        <v>9.2626000000000008</v>
      </c>
      <c r="L17" s="28">
        <v>4.7167000000000003</v>
      </c>
      <c r="M17" s="23">
        <f t="shared" si="4"/>
        <v>9.4334000000000007</v>
      </c>
      <c r="N17" s="23">
        <f t="shared" si="5"/>
        <v>48.951300000000003</v>
      </c>
      <c r="O17" s="23">
        <f>N17/3*R27*2</f>
        <v>35.897620000000003</v>
      </c>
      <c r="P17" s="23">
        <f t="shared" si="6"/>
        <v>71.795240000000007</v>
      </c>
      <c r="Q17" s="24">
        <v>3.5</v>
      </c>
      <c r="R17" s="23">
        <f t="shared" si="7"/>
        <v>251.28334000000001</v>
      </c>
    </row>
    <row r="18" spans="2:18" x14ac:dyDescent="0.35">
      <c r="B18" s="28">
        <v>9</v>
      </c>
      <c r="C18" s="24">
        <v>1</v>
      </c>
      <c r="D18" s="28">
        <v>0</v>
      </c>
      <c r="E18" s="23">
        <f t="shared" si="0"/>
        <v>0</v>
      </c>
      <c r="F18" s="28">
        <v>3.0457000000000001</v>
      </c>
      <c r="G18" s="23">
        <f t="shared" si="1"/>
        <v>3.0457000000000001</v>
      </c>
      <c r="H18" s="28">
        <v>3.5143</v>
      </c>
      <c r="I18" s="23">
        <f t="shared" si="2"/>
        <v>3.5143</v>
      </c>
      <c r="J18" s="28">
        <v>3.7326000000000001</v>
      </c>
      <c r="K18" s="23">
        <f t="shared" si="3"/>
        <v>3.7326000000000001</v>
      </c>
      <c r="L18" s="28">
        <v>3.9051</v>
      </c>
      <c r="M18" s="23">
        <f t="shared" si="4"/>
        <v>3.9051</v>
      </c>
      <c r="N18" s="23">
        <f t="shared" si="5"/>
        <v>38.046900000000001</v>
      </c>
      <c r="O18" s="23">
        <f>N18/3*R27*2</f>
        <v>27.901060000000001</v>
      </c>
      <c r="P18" s="23">
        <f t="shared" si="6"/>
        <v>27.901060000000001</v>
      </c>
      <c r="Q18" s="24">
        <v>4</v>
      </c>
      <c r="R18" s="23">
        <f t="shared" si="7"/>
        <v>111.60424</v>
      </c>
    </row>
    <row r="19" spans="2:18" x14ac:dyDescent="0.35">
      <c r="B19" s="28">
        <v>9.5</v>
      </c>
      <c r="C19" s="24">
        <v>2</v>
      </c>
      <c r="D19" s="28">
        <v>0</v>
      </c>
      <c r="E19" s="23">
        <f t="shared" si="0"/>
        <v>0</v>
      </c>
      <c r="F19" s="28">
        <v>1.6696</v>
      </c>
      <c r="G19" s="23">
        <f t="shared" si="1"/>
        <v>3.3391999999999999</v>
      </c>
      <c r="H19" s="28">
        <v>2.0121000000000002</v>
      </c>
      <c r="I19" s="23">
        <f t="shared" si="2"/>
        <v>4.0242000000000004</v>
      </c>
      <c r="J19" s="28">
        <v>2.2183000000000002</v>
      </c>
      <c r="K19" s="23">
        <f t="shared" si="3"/>
        <v>4.4366000000000003</v>
      </c>
      <c r="L19" s="28">
        <v>2.4049999999999998</v>
      </c>
      <c r="M19" s="23">
        <f t="shared" si="4"/>
        <v>4.8099999999999996</v>
      </c>
      <c r="N19" s="23">
        <f t="shared" si="5"/>
        <v>21.980800000000002</v>
      </c>
      <c r="O19" s="23">
        <f>N19/3*R27*2</f>
        <v>16.119253333333337</v>
      </c>
      <c r="P19" s="23">
        <f t="shared" si="6"/>
        <v>32.238506666666673</v>
      </c>
      <c r="Q19" s="24">
        <v>4.5</v>
      </c>
      <c r="R19" s="23">
        <f t="shared" si="7"/>
        <v>145.07328000000004</v>
      </c>
    </row>
    <row r="20" spans="2:18" ht="15" thickBot="1" x14ac:dyDescent="0.4">
      <c r="B20" s="28">
        <v>10</v>
      </c>
      <c r="C20" s="24">
        <v>0.5</v>
      </c>
      <c r="D20" s="28">
        <v>0</v>
      </c>
      <c r="E20" s="23">
        <f t="shared" si="0"/>
        <v>0</v>
      </c>
      <c r="F20" s="43">
        <v>0.35880000000000001</v>
      </c>
      <c r="G20" s="23">
        <f t="shared" si="1"/>
        <v>0.1794</v>
      </c>
      <c r="H20" s="43">
        <v>0.31259999999999999</v>
      </c>
      <c r="I20" s="23">
        <f t="shared" si="2"/>
        <v>0.15629999999999999</v>
      </c>
      <c r="J20" s="43">
        <v>0.1326</v>
      </c>
      <c r="K20" s="23">
        <f t="shared" si="3"/>
        <v>6.6299999999999998E-2</v>
      </c>
      <c r="L20" s="43">
        <v>0</v>
      </c>
      <c r="M20" s="23">
        <f t="shared" si="4"/>
        <v>0</v>
      </c>
      <c r="N20" s="23">
        <f t="shared" si="5"/>
        <v>2.5907999999999998</v>
      </c>
      <c r="O20" s="23">
        <f>N20/3*R27*2</f>
        <v>1.8999200000000001</v>
      </c>
      <c r="P20" s="23">
        <f t="shared" si="6"/>
        <v>0.94996000000000003</v>
      </c>
      <c r="Q20" s="24">
        <v>5</v>
      </c>
      <c r="R20" s="23">
        <f t="shared" si="7"/>
        <v>4.7498000000000005</v>
      </c>
    </row>
    <row r="21" spans="2:18" ht="72.5" x14ac:dyDescent="0.35">
      <c r="B21" s="29" t="s">
        <v>91</v>
      </c>
      <c r="C21" s="29"/>
      <c r="D21" s="30" t="s">
        <v>75</v>
      </c>
      <c r="E21" s="23">
        <f>SUM(E6:E20)</f>
        <v>0</v>
      </c>
      <c r="F21" s="30" t="s">
        <v>76</v>
      </c>
      <c r="G21" s="23">
        <f>SUM(G6:G20)</f>
        <v>127.34125</v>
      </c>
      <c r="H21" s="30" t="s">
        <v>77</v>
      </c>
      <c r="I21" s="30">
        <f>SUM(I6:I20)</f>
        <v>134.72725</v>
      </c>
      <c r="J21" s="30" t="s">
        <v>95</v>
      </c>
      <c r="K21" s="30">
        <f>SUM(K6:K20)</f>
        <v>144.5282</v>
      </c>
      <c r="L21" s="30" t="s">
        <v>96</v>
      </c>
      <c r="M21" s="23">
        <f>SUM(M6:M20)</f>
        <v>148.42985000000002</v>
      </c>
      <c r="N21" s="31" t="s">
        <v>78</v>
      </c>
      <c r="O21" s="31"/>
      <c r="P21" s="23">
        <f>SUM(P6:P20)</f>
        <v>1103.9322433333332</v>
      </c>
      <c r="Q21" s="30" t="s">
        <v>79</v>
      </c>
      <c r="R21" s="23">
        <f>SUM(R6:R20)</f>
        <v>-37.143516666666663</v>
      </c>
    </row>
    <row r="22" spans="2:18" x14ac:dyDescent="0.35">
      <c r="B22" s="29" t="s">
        <v>92</v>
      </c>
      <c r="C22" s="29"/>
      <c r="D22" s="31">
        <f>E21*G27/3*2</f>
        <v>0</v>
      </c>
      <c r="E22" s="31"/>
      <c r="F22" s="31">
        <f>G21*G27/3*2</f>
        <v>690.52915166666673</v>
      </c>
      <c r="G22" s="31"/>
      <c r="H22" s="31">
        <f>I21*G27/3*2</f>
        <v>730.58096766666665</v>
      </c>
      <c r="I22" s="31"/>
      <c r="J22" s="31">
        <f>K21*G27/3*2</f>
        <v>783.72825253333338</v>
      </c>
      <c r="K22" s="31"/>
      <c r="L22" s="31">
        <f>M21*G27/3*2</f>
        <v>804.88559993333354</v>
      </c>
      <c r="M22" s="31"/>
      <c r="N22" s="31"/>
      <c r="O22" s="31"/>
      <c r="P22" s="31"/>
      <c r="Q22" s="31"/>
      <c r="R22" s="31"/>
    </row>
    <row r="23" spans="2:18" x14ac:dyDescent="0.35">
      <c r="B23" s="32" t="s">
        <v>25</v>
      </c>
      <c r="C23" s="32"/>
      <c r="D23" s="26">
        <v>1</v>
      </c>
      <c r="E23" s="26"/>
      <c r="F23" s="25">
        <v>4</v>
      </c>
      <c r="G23" s="25"/>
      <c r="H23" s="26">
        <v>2</v>
      </c>
      <c r="I23" s="26"/>
      <c r="J23" s="26">
        <v>4</v>
      </c>
      <c r="K23" s="26"/>
      <c r="L23" s="26">
        <v>1</v>
      </c>
      <c r="M23" s="26"/>
      <c r="N23" s="40" t="s">
        <v>33</v>
      </c>
      <c r="O23" s="40"/>
      <c r="P23" s="44">
        <f>P21*G27/3</f>
        <v>2993.1282890911111</v>
      </c>
      <c r="Q23" s="116" t="s">
        <v>34</v>
      </c>
      <c r="R23" s="34">
        <f>R21/P21*G27</f>
        <v>-0.27368107634432021</v>
      </c>
    </row>
    <row r="24" spans="2:18" ht="56.5" customHeight="1" x14ac:dyDescent="0.35">
      <c r="B24" s="35" t="s">
        <v>82</v>
      </c>
      <c r="C24" s="35"/>
      <c r="D24" s="26">
        <f>D22*D23</f>
        <v>0</v>
      </c>
      <c r="E24" s="26"/>
      <c r="F24" s="26">
        <f>F22*F23</f>
        <v>2762.1166066666669</v>
      </c>
      <c r="G24" s="26"/>
      <c r="H24" s="26">
        <f>H22*H23</f>
        <v>1461.1619353333333</v>
      </c>
      <c r="I24" s="26"/>
      <c r="J24" s="26">
        <f>J22*J23</f>
        <v>3134.9130101333335</v>
      </c>
      <c r="K24" s="26"/>
      <c r="L24" s="26">
        <f>L22*L23</f>
        <v>804.88559993333354</v>
      </c>
      <c r="M24" s="26"/>
      <c r="N24" s="30" t="s">
        <v>80</v>
      </c>
      <c r="O24" s="24">
        <f>D24+F24+H24+J24+L24</f>
        <v>8163.0771520666676</v>
      </c>
      <c r="P24" s="40" t="s">
        <v>33</v>
      </c>
      <c r="Q24" s="40"/>
      <c r="R24" s="44">
        <f>O24*R27/3</f>
        <v>2993.1282890911116</v>
      </c>
    </row>
    <row r="25" spans="2:18" ht="23" customHeight="1" x14ac:dyDescent="0.35">
      <c r="B25" s="35" t="s">
        <v>73</v>
      </c>
      <c r="C25" s="35"/>
      <c r="D25" s="26">
        <v>0</v>
      </c>
      <c r="E25" s="26"/>
      <c r="F25" s="26">
        <v>1</v>
      </c>
      <c r="G25" s="26"/>
      <c r="H25" s="26">
        <v>2</v>
      </c>
      <c r="I25" s="26"/>
      <c r="J25" s="26">
        <v>3</v>
      </c>
      <c r="K25" s="26"/>
      <c r="L25" s="26">
        <v>4</v>
      </c>
      <c r="M25" s="26"/>
      <c r="N25" s="26"/>
      <c r="O25" s="26"/>
      <c r="P25" s="26"/>
      <c r="Q25" s="26"/>
      <c r="R25" s="26"/>
    </row>
    <row r="26" spans="2:18" ht="38" customHeight="1" x14ac:dyDescent="0.35">
      <c r="B26" s="29" t="s">
        <v>83</v>
      </c>
      <c r="C26" s="29"/>
      <c r="D26" s="26">
        <f>D24*D25</f>
        <v>0</v>
      </c>
      <c r="E26" s="26"/>
      <c r="F26" s="26">
        <f>F24*F25</f>
        <v>2762.1166066666669</v>
      </c>
      <c r="G26" s="26"/>
      <c r="H26" s="26">
        <f>H24*H25</f>
        <v>2922.3238706666666</v>
      </c>
      <c r="I26" s="26"/>
      <c r="J26" s="26">
        <f>J24*J25</f>
        <v>9404.7390304</v>
      </c>
      <c r="K26" s="26"/>
      <c r="L26" s="26">
        <f>L24*L25</f>
        <v>3219.5423997333342</v>
      </c>
      <c r="M26" s="26"/>
      <c r="N26" s="30" t="s">
        <v>81</v>
      </c>
      <c r="O26" s="23">
        <f>D26+F26+H26+J26+L26</f>
        <v>18308.721907466668</v>
      </c>
      <c r="P26" s="40" t="s">
        <v>35</v>
      </c>
      <c r="Q26" s="40"/>
      <c r="R26" s="34">
        <f>O26/O24*R27</f>
        <v>2.467157142219897</v>
      </c>
    </row>
    <row r="27" spans="2:18" x14ac:dyDescent="0.35">
      <c r="B27" s="35" t="s">
        <v>84</v>
      </c>
      <c r="C27" s="35"/>
      <c r="D27" s="35"/>
      <c r="E27" s="35"/>
      <c r="F27" s="35"/>
      <c r="G27" s="24">
        <v>8.1340000000000003</v>
      </c>
      <c r="H27" s="35" t="s">
        <v>85</v>
      </c>
      <c r="I27" s="35"/>
      <c r="J27" s="35"/>
      <c r="K27" s="35"/>
      <c r="L27" s="35"/>
      <c r="M27" s="35"/>
      <c r="N27" s="35"/>
      <c r="O27" s="35"/>
      <c r="P27" s="35"/>
      <c r="Q27" s="35"/>
      <c r="R27" s="24">
        <v>1.1000000000000001</v>
      </c>
    </row>
  </sheetData>
  <mergeCells count="56">
    <mergeCell ref="P26:Q26"/>
    <mergeCell ref="B27:F27"/>
    <mergeCell ref="H27:Q27"/>
    <mergeCell ref="B26:C26"/>
    <mergeCell ref="D26:E26"/>
    <mergeCell ref="F26:G26"/>
    <mergeCell ref="H26:I26"/>
    <mergeCell ref="J26:K26"/>
    <mergeCell ref="L26:M26"/>
    <mergeCell ref="P24:Q24"/>
    <mergeCell ref="B25:C25"/>
    <mergeCell ref="D25:E25"/>
    <mergeCell ref="F25:G25"/>
    <mergeCell ref="H25:I25"/>
    <mergeCell ref="J25:K25"/>
    <mergeCell ref="L25:M25"/>
    <mergeCell ref="N25:R25"/>
    <mergeCell ref="B24:C24"/>
    <mergeCell ref="D24:E24"/>
    <mergeCell ref="F24:G24"/>
    <mergeCell ref="H24:I24"/>
    <mergeCell ref="J24:K24"/>
    <mergeCell ref="L24:M24"/>
    <mergeCell ref="N22:R22"/>
    <mergeCell ref="B23:C23"/>
    <mergeCell ref="D23:E23"/>
    <mergeCell ref="F23:G23"/>
    <mergeCell ref="H23:I23"/>
    <mergeCell ref="J23:K23"/>
    <mergeCell ref="L23:M23"/>
    <mergeCell ref="N23:O23"/>
    <mergeCell ref="B22:C22"/>
    <mergeCell ref="D22:E22"/>
    <mergeCell ref="F22:G22"/>
    <mergeCell ref="H22:I22"/>
    <mergeCell ref="J22:K22"/>
    <mergeCell ref="L22:M22"/>
    <mergeCell ref="O4:O5"/>
    <mergeCell ref="P4:P5"/>
    <mergeCell ref="Q4:Q5"/>
    <mergeCell ref="R4:R5"/>
    <mergeCell ref="B21:C21"/>
    <mergeCell ref="N21:O21"/>
    <mergeCell ref="D4:E4"/>
    <mergeCell ref="F4:G4"/>
    <mergeCell ref="H4:I4"/>
    <mergeCell ref="J4:K4"/>
    <mergeCell ref="L4:M4"/>
    <mergeCell ref="N4:N5"/>
    <mergeCell ref="B2:R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2"/>
  <sheetViews>
    <sheetView topLeftCell="B1" zoomScale="90" zoomScaleNormal="90" workbookViewId="0">
      <selection activeCell="B1" sqref="B1"/>
    </sheetView>
  </sheetViews>
  <sheetFormatPr defaultRowHeight="14.5" x14ac:dyDescent="0.35"/>
  <cols>
    <col min="2" max="2" width="13.6328125" customWidth="1"/>
    <col min="3" max="3" width="13.453125" customWidth="1"/>
    <col min="4" max="4" width="13.7265625" customWidth="1"/>
    <col min="8" max="8" width="10.453125" bestFit="1" customWidth="1"/>
  </cols>
  <sheetData>
    <row r="2" spans="2:20" ht="29" thickBot="1" x14ac:dyDescent="0.4">
      <c r="B2" s="120" t="s">
        <v>102</v>
      </c>
      <c r="C2" s="120"/>
      <c r="D2" s="120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</row>
    <row r="3" spans="2:20" ht="14.5" customHeight="1" x14ac:dyDescent="0.35">
      <c r="B3" s="118" t="s">
        <v>38</v>
      </c>
      <c r="C3" s="45" t="s">
        <v>25</v>
      </c>
      <c r="D3" s="46" t="s">
        <v>39</v>
      </c>
      <c r="E3" s="47">
        <v>1</v>
      </c>
      <c r="F3" s="48"/>
      <c r="G3" s="48"/>
      <c r="H3" s="49"/>
      <c r="I3" s="47">
        <v>2</v>
      </c>
      <c r="J3" s="48"/>
      <c r="K3" s="48"/>
      <c r="L3" s="49"/>
      <c r="M3" s="47">
        <v>3</v>
      </c>
      <c r="N3" s="48"/>
      <c r="O3" s="48"/>
      <c r="P3" s="49"/>
      <c r="Q3" s="50">
        <v>4</v>
      </c>
      <c r="R3" s="51"/>
      <c r="S3" s="51"/>
      <c r="T3" s="52"/>
    </row>
    <row r="4" spans="2:20" ht="58" customHeight="1" x14ac:dyDescent="0.35">
      <c r="B4" s="119"/>
      <c r="C4" s="45"/>
      <c r="D4" s="46"/>
      <c r="E4" s="53" t="s">
        <v>37</v>
      </c>
      <c r="F4" s="54" t="s">
        <v>40</v>
      </c>
      <c r="G4" s="54" t="s">
        <v>41</v>
      </c>
      <c r="H4" s="55" t="s">
        <v>42</v>
      </c>
      <c r="I4" s="53" t="s">
        <v>37</v>
      </c>
      <c r="J4" s="56" t="s">
        <v>40</v>
      </c>
      <c r="K4" s="54" t="s">
        <v>41</v>
      </c>
      <c r="L4" s="55" t="s">
        <v>42</v>
      </c>
      <c r="M4" s="53" t="s">
        <v>37</v>
      </c>
      <c r="N4" s="56" t="s">
        <v>40</v>
      </c>
      <c r="O4" s="54" t="s">
        <v>41</v>
      </c>
      <c r="P4" s="55" t="s">
        <v>42</v>
      </c>
      <c r="Q4" s="53" t="s">
        <v>37</v>
      </c>
      <c r="R4" s="56" t="s">
        <v>40</v>
      </c>
      <c r="S4" s="54" t="s">
        <v>41</v>
      </c>
      <c r="T4" s="55" t="s">
        <v>42</v>
      </c>
    </row>
    <row r="5" spans="2:20" x14ac:dyDescent="0.35">
      <c r="B5" s="57">
        <v>0</v>
      </c>
      <c r="C5" s="54">
        <v>0.5</v>
      </c>
      <c r="D5" s="54">
        <v>-5</v>
      </c>
      <c r="E5" s="58">
        <v>0</v>
      </c>
      <c r="F5" s="59">
        <f t="shared" ref="F5:G19" si="0">E5*C5</f>
        <v>0</v>
      </c>
      <c r="G5" s="59">
        <f t="shared" si="0"/>
        <v>0</v>
      </c>
      <c r="H5" s="60">
        <f t="shared" ref="H5:H19" si="1">G5*D5</f>
        <v>0</v>
      </c>
      <c r="I5" s="58">
        <v>0</v>
      </c>
      <c r="J5" s="59">
        <f>I5*C5</f>
        <v>0</v>
      </c>
      <c r="K5" s="59">
        <f>J5*D5</f>
        <v>0</v>
      </c>
      <c r="L5" s="60">
        <f t="shared" ref="L5:L19" si="2">K5*D5</f>
        <v>0</v>
      </c>
      <c r="M5" s="58">
        <v>0</v>
      </c>
      <c r="N5" s="59">
        <f t="shared" ref="N5:O19" si="3">M5*C5</f>
        <v>0</v>
      </c>
      <c r="O5" s="59">
        <f t="shared" si="3"/>
        <v>0</v>
      </c>
      <c r="P5" s="60">
        <f t="shared" ref="P5:P19" si="4">O5*D5</f>
        <v>0</v>
      </c>
      <c r="Q5" s="58">
        <v>3.1339999999999999</v>
      </c>
      <c r="R5" s="59">
        <f t="shared" ref="R5:S19" si="5">Q5*C5</f>
        <v>1.5669999999999999</v>
      </c>
      <c r="S5" s="59">
        <f t="shared" si="5"/>
        <v>-7.835</v>
      </c>
      <c r="T5" s="60">
        <f t="shared" ref="T5:T19" si="6">S5*D5</f>
        <v>39.174999999999997</v>
      </c>
    </row>
    <row r="6" spans="2:20" x14ac:dyDescent="0.35">
      <c r="B6" s="57">
        <v>0.5</v>
      </c>
      <c r="C6" s="54">
        <v>2</v>
      </c>
      <c r="D6" s="54">
        <v>-4.5</v>
      </c>
      <c r="E6" s="58">
        <v>0</v>
      </c>
      <c r="F6" s="59">
        <f t="shared" si="0"/>
        <v>0</v>
      </c>
      <c r="G6" s="59">
        <f t="shared" si="0"/>
        <v>0</v>
      </c>
      <c r="H6" s="60">
        <f t="shared" si="1"/>
        <v>0</v>
      </c>
      <c r="I6" s="58">
        <v>0</v>
      </c>
      <c r="J6" s="59">
        <f t="shared" ref="J6:K19" si="7">I6*C6</f>
        <v>0</v>
      </c>
      <c r="K6" s="59">
        <f t="shared" si="7"/>
        <v>0</v>
      </c>
      <c r="L6" s="60">
        <f t="shared" si="2"/>
        <v>0</v>
      </c>
      <c r="M6" s="58">
        <v>4.0125999999999999</v>
      </c>
      <c r="N6" s="59">
        <f t="shared" si="3"/>
        <v>8.0251999999999999</v>
      </c>
      <c r="O6" s="59">
        <f t="shared" si="3"/>
        <v>-36.113399999999999</v>
      </c>
      <c r="P6" s="60">
        <f t="shared" si="4"/>
        <v>162.5103</v>
      </c>
      <c r="Q6" s="58">
        <v>4.6047000000000002</v>
      </c>
      <c r="R6" s="59">
        <f t="shared" si="5"/>
        <v>9.2094000000000005</v>
      </c>
      <c r="S6" s="59">
        <f t="shared" si="5"/>
        <v>-41.442300000000003</v>
      </c>
      <c r="T6" s="60">
        <f t="shared" si="6"/>
        <v>186.49035000000001</v>
      </c>
    </row>
    <row r="7" spans="2:20" x14ac:dyDescent="0.35">
      <c r="B7" s="57">
        <v>1</v>
      </c>
      <c r="C7" s="54">
        <v>1</v>
      </c>
      <c r="D7" s="54">
        <v>-4</v>
      </c>
      <c r="E7" s="58">
        <v>2.5644</v>
      </c>
      <c r="F7" s="59">
        <f t="shared" si="0"/>
        <v>2.5644</v>
      </c>
      <c r="G7" s="59">
        <f t="shared" si="0"/>
        <v>-10.2576</v>
      </c>
      <c r="H7" s="60">
        <f t="shared" si="1"/>
        <v>41.0304</v>
      </c>
      <c r="I7" s="58">
        <v>4.4808000000000003</v>
      </c>
      <c r="J7" s="59">
        <f t="shared" si="7"/>
        <v>4.4808000000000003</v>
      </c>
      <c r="K7" s="59">
        <f t="shared" si="7"/>
        <v>-17.923200000000001</v>
      </c>
      <c r="L7" s="60">
        <f t="shared" si="2"/>
        <v>71.692800000000005</v>
      </c>
      <c r="M7" s="58">
        <v>4.9203999999999999</v>
      </c>
      <c r="N7" s="59">
        <f t="shared" si="3"/>
        <v>4.9203999999999999</v>
      </c>
      <c r="O7" s="59">
        <f t="shared" si="3"/>
        <v>-19.6816</v>
      </c>
      <c r="P7" s="60">
        <f t="shared" si="4"/>
        <v>78.726399999999998</v>
      </c>
      <c r="Q7" s="58">
        <v>5.1162000000000001</v>
      </c>
      <c r="R7" s="59">
        <f t="shared" si="5"/>
        <v>5.1162000000000001</v>
      </c>
      <c r="S7" s="59">
        <f t="shared" si="5"/>
        <v>-20.4648</v>
      </c>
      <c r="T7" s="60">
        <f t="shared" si="6"/>
        <v>81.859200000000001</v>
      </c>
    </row>
    <row r="8" spans="2:20" x14ac:dyDescent="0.35">
      <c r="B8" s="57">
        <v>1.5</v>
      </c>
      <c r="C8" s="54">
        <v>2</v>
      </c>
      <c r="D8" s="54">
        <v>-3.5</v>
      </c>
      <c r="E8" s="58">
        <v>4.4341999999999997</v>
      </c>
      <c r="F8" s="59">
        <f t="shared" si="0"/>
        <v>8.8683999999999994</v>
      </c>
      <c r="G8" s="59">
        <f t="shared" si="0"/>
        <v>-31.039399999999997</v>
      </c>
      <c r="H8" s="60">
        <f t="shared" si="1"/>
        <v>108.63789999999999</v>
      </c>
      <c r="I8" s="58">
        <v>4.9798999999999998</v>
      </c>
      <c r="J8" s="59">
        <f t="shared" si="7"/>
        <v>9.9597999999999995</v>
      </c>
      <c r="K8" s="59">
        <f t="shared" si="7"/>
        <v>-34.859299999999998</v>
      </c>
      <c r="L8" s="60">
        <f t="shared" si="2"/>
        <v>122.00754999999999</v>
      </c>
      <c r="M8" s="58">
        <v>5.1611000000000002</v>
      </c>
      <c r="N8" s="59">
        <f t="shared" si="3"/>
        <v>10.3222</v>
      </c>
      <c r="O8" s="59">
        <f t="shared" si="3"/>
        <v>-36.127700000000004</v>
      </c>
      <c r="P8" s="60">
        <f t="shared" si="4"/>
        <v>126.44695000000002</v>
      </c>
      <c r="Q8" s="58">
        <v>5.2484999999999999</v>
      </c>
      <c r="R8" s="59">
        <f t="shared" si="5"/>
        <v>10.497</v>
      </c>
      <c r="S8" s="59">
        <f t="shared" si="5"/>
        <v>-36.7395</v>
      </c>
      <c r="T8" s="60">
        <f t="shared" si="6"/>
        <v>128.58824999999999</v>
      </c>
    </row>
    <row r="9" spans="2:20" x14ac:dyDescent="0.35">
      <c r="B9" s="57">
        <v>2</v>
      </c>
      <c r="C9" s="54">
        <v>1.5</v>
      </c>
      <c r="D9" s="54">
        <v>-3</v>
      </c>
      <c r="E9" s="58">
        <v>4.97</v>
      </c>
      <c r="F9" s="59">
        <f t="shared" si="0"/>
        <v>7.4550000000000001</v>
      </c>
      <c r="G9" s="59">
        <f t="shared" si="0"/>
        <v>-22.365000000000002</v>
      </c>
      <c r="H9" s="60">
        <f t="shared" si="1"/>
        <v>67.094999999999999</v>
      </c>
      <c r="I9" s="58">
        <v>5.2610999999999999</v>
      </c>
      <c r="J9" s="59">
        <f t="shared" si="7"/>
        <v>7.8916500000000003</v>
      </c>
      <c r="K9" s="59">
        <f t="shared" si="7"/>
        <v>-23.674950000000003</v>
      </c>
      <c r="L9" s="60">
        <f t="shared" si="2"/>
        <v>71.024850000000015</v>
      </c>
      <c r="M9" s="58">
        <v>5.3236999999999997</v>
      </c>
      <c r="N9" s="59">
        <f t="shared" si="3"/>
        <v>7.9855499999999999</v>
      </c>
      <c r="O9" s="59">
        <f t="shared" si="3"/>
        <v>-23.95665</v>
      </c>
      <c r="P9" s="60">
        <f t="shared" si="4"/>
        <v>71.869950000000003</v>
      </c>
      <c r="Q9" s="58">
        <v>5.3693</v>
      </c>
      <c r="R9" s="59">
        <f t="shared" si="5"/>
        <v>8.0539500000000004</v>
      </c>
      <c r="S9" s="59">
        <f t="shared" si="5"/>
        <v>-24.161850000000001</v>
      </c>
      <c r="T9" s="60">
        <f t="shared" si="6"/>
        <v>72.485550000000003</v>
      </c>
    </row>
    <row r="10" spans="2:20" x14ac:dyDescent="0.35">
      <c r="B10" s="57">
        <v>3</v>
      </c>
      <c r="C10" s="54">
        <v>4</v>
      </c>
      <c r="D10" s="54">
        <v>-2</v>
      </c>
      <c r="E10" s="58">
        <v>5.3846999999999996</v>
      </c>
      <c r="F10" s="59">
        <f t="shared" si="0"/>
        <v>21.538799999999998</v>
      </c>
      <c r="G10" s="59">
        <f t="shared" si="0"/>
        <v>-43.077599999999997</v>
      </c>
      <c r="H10" s="60">
        <f t="shared" si="1"/>
        <v>86.155199999999994</v>
      </c>
      <c r="I10" s="58">
        <v>5.4965000000000002</v>
      </c>
      <c r="J10" s="59">
        <f t="shared" si="7"/>
        <v>21.986000000000001</v>
      </c>
      <c r="K10" s="59">
        <f t="shared" si="7"/>
        <v>-43.972000000000001</v>
      </c>
      <c r="L10" s="60">
        <f t="shared" si="2"/>
        <v>87.944000000000003</v>
      </c>
      <c r="M10" s="58">
        <v>5.5</v>
      </c>
      <c r="N10" s="59">
        <f t="shared" si="3"/>
        <v>22</v>
      </c>
      <c r="O10" s="59">
        <f t="shared" si="3"/>
        <v>-44</v>
      </c>
      <c r="P10" s="60">
        <f t="shared" si="4"/>
        <v>88</v>
      </c>
      <c r="Q10" s="58">
        <v>5.5</v>
      </c>
      <c r="R10" s="59">
        <f t="shared" si="5"/>
        <v>22</v>
      </c>
      <c r="S10" s="59">
        <f t="shared" si="5"/>
        <v>-44</v>
      </c>
      <c r="T10" s="60">
        <f t="shared" si="6"/>
        <v>88</v>
      </c>
    </row>
    <row r="11" spans="2:20" x14ac:dyDescent="0.35">
      <c r="B11" s="57">
        <v>4</v>
      </c>
      <c r="C11" s="54">
        <v>1</v>
      </c>
      <c r="D11" s="54">
        <v>-1</v>
      </c>
      <c r="E11" s="58">
        <v>5.3846999999999996</v>
      </c>
      <c r="F11" s="59">
        <f t="shared" si="0"/>
        <v>5.3846999999999996</v>
      </c>
      <c r="G11" s="59">
        <f t="shared" si="0"/>
        <v>-5.3846999999999996</v>
      </c>
      <c r="H11" s="60">
        <f t="shared" si="1"/>
        <v>5.3846999999999996</v>
      </c>
      <c r="I11" s="58">
        <v>5.4965000000000002</v>
      </c>
      <c r="J11" s="59">
        <f t="shared" si="7"/>
        <v>5.4965000000000002</v>
      </c>
      <c r="K11" s="59">
        <f t="shared" si="7"/>
        <v>-5.4965000000000002</v>
      </c>
      <c r="L11" s="60">
        <f t="shared" si="2"/>
        <v>5.4965000000000002</v>
      </c>
      <c r="M11" s="58">
        <v>5.5</v>
      </c>
      <c r="N11" s="59">
        <f t="shared" si="3"/>
        <v>5.5</v>
      </c>
      <c r="O11" s="59">
        <f t="shared" si="3"/>
        <v>-5.5</v>
      </c>
      <c r="P11" s="60">
        <f t="shared" si="4"/>
        <v>5.5</v>
      </c>
      <c r="Q11" s="58">
        <v>5.5</v>
      </c>
      <c r="R11" s="59">
        <f t="shared" si="5"/>
        <v>5.5</v>
      </c>
      <c r="S11" s="59">
        <f t="shared" si="5"/>
        <v>-5.5</v>
      </c>
      <c r="T11" s="60">
        <f t="shared" si="6"/>
        <v>5.5</v>
      </c>
    </row>
    <row r="12" spans="2:20" x14ac:dyDescent="0.35">
      <c r="B12" s="57">
        <v>5</v>
      </c>
      <c r="C12" s="54">
        <v>4</v>
      </c>
      <c r="D12" s="54">
        <v>0</v>
      </c>
      <c r="E12" s="58">
        <v>5.3846999999999996</v>
      </c>
      <c r="F12" s="59">
        <f t="shared" si="0"/>
        <v>21.538799999999998</v>
      </c>
      <c r="G12" s="59">
        <f t="shared" si="0"/>
        <v>0</v>
      </c>
      <c r="H12" s="60">
        <f t="shared" si="1"/>
        <v>0</v>
      </c>
      <c r="I12" s="58">
        <v>5.4965000000000002</v>
      </c>
      <c r="J12" s="59">
        <f t="shared" si="7"/>
        <v>21.986000000000001</v>
      </c>
      <c r="K12" s="59">
        <f t="shared" si="7"/>
        <v>0</v>
      </c>
      <c r="L12" s="60">
        <f t="shared" si="2"/>
        <v>0</v>
      </c>
      <c r="M12" s="58">
        <v>5.5</v>
      </c>
      <c r="N12" s="59">
        <f t="shared" si="3"/>
        <v>22</v>
      </c>
      <c r="O12" s="59">
        <f t="shared" si="3"/>
        <v>0</v>
      </c>
      <c r="P12" s="60">
        <f t="shared" si="4"/>
        <v>0</v>
      </c>
      <c r="Q12" s="58">
        <v>5.5</v>
      </c>
      <c r="R12" s="59">
        <f t="shared" si="5"/>
        <v>22</v>
      </c>
      <c r="S12" s="59">
        <f t="shared" si="5"/>
        <v>0</v>
      </c>
      <c r="T12" s="60">
        <f t="shared" si="6"/>
        <v>0</v>
      </c>
    </row>
    <row r="13" spans="2:20" x14ac:dyDescent="0.35">
      <c r="B13" s="57">
        <v>6</v>
      </c>
      <c r="C13" s="54">
        <v>2</v>
      </c>
      <c r="D13" s="54">
        <v>1</v>
      </c>
      <c r="E13" s="58">
        <v>5.3846999999999996</v>
      </c>
      <c r="F13" s="59">
        <f t="shared" si="0"/>
        <v>10.769399999999999</v>
      </c>
      <c r="G13" s="59">
        <f t="shared" si="0"/>
        <v>10.769399999999999</v>
      </c>
      <c r="H13" s="60">
        <f t="shared" si="1"/>
        <v>10.769399999999999</v>
      </c>
      <c r="I13" s="58">
        <v>5.4965000000000002</v>
      </c>
      <c r="J13" s="59">
        <f t="shared" si="7"/>
        <v>10.993</v>
      </c>
      <c r="K13" s="59">
        <f t="shared" si="7"/>
        <v>10.993</v>
      </c>
      <c r="L13" s="60">
        <f t="shared" si="2"/>
        <v>10.993</v>
      </c>
      <c r="M13" s="58">
        <v>5.5</v>
      </c>
      <c r="N13" s="59">
        <f t="shared" si="3"/>
        <v>11</v>
      </c>
      <c r="O13" s="59">
        <f t="shared" si="3"/>
        <v>11</v>
      </c>
      <c r="P13" s="60">
        <f t="shared" si="4"/>
        <v>11</v>
      </c>
      <c r="Q13" s="58">
        <v>5.5</v>
      </c>
      <c r="R13" s="59">
        <f t="shared" si="5"/>
        <v>11</v>
      </c>
      <c r="S13" s="59">
        <f t="shared" si="5"/>
        <v>11</v>
      </c>
      <c r="T13" s="60">
        <f t="shared" si="6"/>
        <v>11</v>
      </c>
    </row>
    <row r="14" spans="2:20" x14ac:dyDescent="0.35">
      <c r="B14" s="57">
        <v>7</v>
      </c>
      <c r="C14" s="54">
        <v>4</v>
      </c>
      <c r="D14" s="54">
        <v>2</v>
      </c>
      <c r="E14" s="58">
        <v>5.3846999999999996</v>
      </c>
      <c r="F14" s="59">
        <f t="shared" si="0"/>
        <v>21.538799999999998</v>
      </c>
      <c r="G14" s="59">
        <f t="shared" si="0"/>
        <v>43.077599999999997</v>
      </c>
      <c r="H14" s="60">
        <f t="shared" si="1"/>
        <v>86.155199999999994</v>
      </c>
      <c r="I14" s="58">
        <v>5.4965000000000002</v>
      </c>
      <c r="J14" s="59">
        <f t="shared" si="7"/>
        <v>21.986000000000001</v>
      </c>
      <c r="K14" s="59">
        <f t="shared" si="7"/>
        <v>43.972000000000001</v>
      </c>
      <c r="L14" s="60">
        <f t="shared" si="2"/>
        <v>87.944000000000003</v>
      </c>
      <c r="M14" s="58">
        <v>5.5</v>
      </c>
      <c r="N14" s="59">
        <f t="shared" si="3"/>
        <v>22</v>
      </c>
      <c r="O14" s="59">
        <f t="shared" si="3"/>
        <v>44</v>
      </c>
      <c r="P14" s="60">
        <f t="shared" si="4"/>
        <v>88</v>
      </c>
      <c r="Q14" s="58">
        <v>5.5</v>
      </c>
      <c r="R14" s="59">
        <f t="shared" si="5"/>
        <v>22</v>
      </c>
      <c r="S14" s="59">
        <f t="shared" si="5"/>
        <v>44</v>
      </c>
      <c r="T14" s="60">
        <f t="shared" si="6"/>
        <v>88</v>
      </c>
    </row>
    <row r="15" spans="2:20" x14ac:dyDescent="0.35">
      <c r="B15" s="57">
        <v>8</v>
      </c>
      <c r="C15" s="54">
        <v>1.5</v>
      </c>
      <c r="D15" s="54">
        <v>3</v>
      </c>
      <c r="E15" s="58">
        <v>4.9272999999999998</v>
      </c>
      <c r="F15" s="59">
        <f t="shared" si="0"/>
        <v>7.3909500000000001</v>
      </c>
      <c r="G15" s="59">
        <f t="shared" si="0"/>
        <v>22.17285</v>
      </c>
      <c r="H15" s="60">
        <f t="shared" si="1"/>
        <v>66.518550000000005</v>
      </c>
      <c r="I15" s="58">
        <v>5.1551999999999998</v>
      </c>
      <c r="J15" s="59">
        <f t="shared" si="7"/>
        <v>7.7327999999999992</v>
      </c>
      <c r="K15" s="59">
        <f t="shared" si="7"/>
        <v>23.198399999999999</v>
      </c>
      <c r="L15" s="60">
        <f t="shared" si="2"/>
        <v>69.595200000000006</v>
      </c>
      <c r="M15" s="58">
        <v>5.1844999999999999</v>
      </c>
      <c r="N15" s="59">
        <f t="shared" si="3"/>
        <v>7.7767499999999998</v>
      </c>
      <c r="O15" s="59">
        <f t="shared" si="3"/>
        <v>23.330249999999999</v>
      </c>
      <c r="P15" s="60">
        <f t="shared" si="4"/>
        <v>69.990749999999991</v>
      </c>
      <c r="Q15" s="58">
        <v>5.2252000000000001</v>
      </c>
      <c r="R15" s="59">
        <f t="shared" si="5"/>
        <v>7.8377999999999997</v>
      </c>
      <c r="S15" s="59">
        <f t="shared" si="5"/>
        <v>23.513399999999997</v>
      </c>
      <c r="T15" s="60">
        <f t="shared" si="6"/>
        <v>70.540199999999999</v>
      </c>
    </row>
    <row r="16" spans="2:20" x14ac:dyDescent="0.35">
      <c r="B16" s="57">
        <v>8.5</v>
      </c>
      <c r="C16" s="54">
        <v>2</v>
      </c>
      <c r="D16" s="54">
        <v>3.5</v>
      </c>
      <c r="E16" s="58">
        <v>4.1715</v>
      </c>
      <c r="F16" s="59">
        <f t="shared" si="0"/>
        <v>8.343</v>
      </c>
      <c r="G16" s="59">
        <f t="shared" si="0"/>
        <v>29.200499999999998</v>
      </c>
      <c r="H16" s="60">
        <f t="shared" si="1"/>
        <v>102.20174999999999</v>
      </c>
      <c r="I16" s="58">
        <v>4.5117000000000003</v>
      </c>
      <c r="J16" s="59">
        <f t="shared" si="7"/>
        <v>9.0234000000000005</v>
      </c>
      <c r="K16" s="59">
        <f t="shared" si="7"/>
        <v>31.581900000000001</v>
      </c>
      <c r="L16" s="60">
        <f t="shared" si="2"/>
        <v>110.53665000000001</v>
      </c>
      <c r="M16" s="58">
        <v>4.6313000000000004</v>
      </c>
      <c r="N16" s="59">
        <f t="shared" si="3"/>
        <v>9.2626000000000008</v>
      </c>
      <c r="O16" s="59">
        <f t="shared" si="3"/>
        <v>32.4191</v>
      </c>
      <c r="P16" s="60">
        <f t="shared" si="4"/>
        <v>113.46684999999999</v>
      </c>
      <c r="Q16" s="58">
        <v>4.7167000000000003</v>
      </c>
      <c r="R16" s="59">
        <f t="shared" si="5"/>
        <v>9.4334000000000007</v>
      </c>
      <c r="S16" s="59">
        <f t="shared" si="5"/>
        <v>33.0169</v>
      </c>
      <c r="T16" s="60">
        <f t="shared" si="6"/>
        <v>115.55915</v>
      </c>
    </row>
    <row r="17" spans="2:20" x14ac:dyDescent="0.35">
      <c r="B17" s="57">
        <v>9</v>
      </c>
      <c r="C17" s="54">
        <v>1</v>
      </c>
      <c r="D17" s="54">
        <v>4</v>
      </c>
      <c r="E17" s="58">
        <v>3.0457000000000001</v>
      </c>
      <c r="F17" s="59">
        <f t="shared" si="0"/>
        <v>3.0457000000000001</v>
      </c>
      <c r="G17" s="59">
        <f t="shared" si="0"/>
        <v>12.1828</v>
      </c>
      <c r="H17" s="60">
        <f t="shared" si="1"/>
        <v>48.731200000000001</v>
      </c>
      <c r="I17" s="58">
        <v>3.5143</v>
      </c>
      <c r="J17" s="59">
        <f t="shared" si="7"/>
        <v>3.5143</v>
      </c>
      <c r="K17" s="59">
        <f t="shared" si="7"/>
        <v>14.0572</v>
      </c>
      <c r="L17" s="60">
        <f t="shared" si="2"/>
        <v>56.2288</v>
      </c>
      <c r="M17" s="58">
        <v>3.7326000000000001</v>
      </c>
      <c r="N17" s="23">
        <f t="shared" si="3"/>
        <v>3.7326000000000001</v>
      </c>
      <c r="O17" s="59">
        <f t="shared" si="3"/>
        <v>14.930400000000001</v>
      </c>
      <c r="P17" s="60">
        <f t="shared" si="4"/>
        <v>59.721600000000002</v>
      </c>
      <c r="Q17" s="58">
        <v>3.9051</v>
      </c>
      <c r="R17" s="59">
        <f t="shared" si="5"/>
        <v>3.9051</v>
      </c>
      <c r="S17" s="59">
        <f t="shared" si="5"/>
        <v>15.6204</v>
      </c>
      <c r="T17" s="60">
        <f t="shared" si="6"/>
        <v>62.4816</v>
      </c>
    </row>
    <row r="18" spans="2:20" x14ac:dyDescent="0.35">
      <c r="B18" s="57">
        <v>9.5</v>
      </c>
      <c r="C18" s="54">
        <v>2</v>
      </c>
      <c r="D18" s="54">
        <v>4.5</v>
      </c>
      <c r="E18" s="58">
        <v>1.6696</v>
      </c>
      <c r="F18" s="59">
        <f t="shared" si="0"/>
        <v>3.3391999999999999</v>
      </c>
      <c r="G18" s="59">
        <f t="shared" si="0"/>
        <v>15.026399999999999</v>
      </c>
      <c r="H18" s="60">
        <f t="shared" si="1"/>
        <v>67.618799999999993</v>
      </c>
      <c r="I18" s="58">
        <v>2.0121000000000002</v>
      </c>
      <c r="J18" s="59">
        <f t="shared" si="7"/>
        <v>4.0242000000000004</v>
      </c>
      <c r="K18" s="59">
        <f t="shared" si="7"/>
        <v>18.108900000000002</v>
      </c>
      <c r="L18" s="60">
        <f t="shared" si="2"/>
        <v>81.490050000000011</v>
      </c>
      <c r="M18" s="58">
        <v>2.2183000000000002</v>
      </c>
      <c r="N18" s="23">
        <f t="shared" si="3"/>
        <v>4.4366000000000003</v>
      </c>
      <c r="O18" s="59">
        <f t="shared" si="3"/>
        <v>19.964700000000001</v>
      </c>
      <c r="P18" s="60">
        <f t="shared" si="4"/>
        <v>89.841149999999999</v>
      </c>
      <c r="Q18" s="58">
        <v>2.4049999999999998</v>
      </c>
      <c r="R18" s="59">
        <f t="shared" si="5"/>
        <v>4.8099999999999996</v>
      </c>
      <c r="S18" s="59">
        <f t="shared" si="5"/>
        <v>21.645</v>
      </c>
      <c r="T18" s="60">
        <f t="shared" si="6"/>
        <v>97.402500000000003</v>
      </c>
    </row>
    <row r="19" spans="2:20" x14ac:dyDescent="0.35">
      <c r="B19" s="57">
        <v>10</v>
      </c>
      <c r="C19" s="54">
        <v>0.5</v>
      </c>
      <c r="D19" s="54">
        <v>5</v>
      </c>
      <c r="E19" s="58">
        <v>0.35880000000000001</v>
      </c>
      <c r="F19" s="59">
        <f t="shared" si="0"/>
        <v>0.1794</v>
      </c>
      <c r="G19" s="59">
        <f t="shared" si="0"/>
        <v>0.89700000000000002</v>
      </c>
      <c r="H19" s="60">
        <f t="shared" si="1"/>
        <v>4.4850000000000003</v>
      </c>
      <c r="I19" s="58">
        <v>0.31259999999999999</v>
      </c>
      <c r="J19" s="59">
        <f t="shared" si="7"/>
        <v>0.15629999999999999</v>
      </c>
      <c r="K19" s="59">
        <f t="shared" si="7"/>
        <v>0.78149999999999997</v>
      </c>
      <c r="L19" s="60">
        <f t="shared" si="2"/>
        <v>3.9074999999999998</v>
      </c>
      <c r="M19" s="58">
        <v>0.1326</v>
      </c>
      <c r="N19" s="23">
        <f t="shared" si="3"/>
        <v>6.6299999999999998E-2</v>
      </c>
      <c r="O19" s="59">
        <f t="shared" si="3"/>
        <v>0.33150000000000002</v>
      </c>
      <c r="P19" s="60">
        <f t="shared" si="4"/>
        <v>1.6575000000000002</v>
      </c>
      <c r="Q19" s="58">
        <v>0</v>
      </c>
      <c r="R19" s="59">
        <f t="shared" si="5"/>
        <v>0</v>
      </c>
      <c r="S19" s="59">
        <f t="shared" si="5"/>
        <v>0</v>
      </c>
      <c r="T19" s="60">
        <f t="shared" si="6"/>
        <v>0</v>
      </c>
    </row>
    <row r="20" spans="2:20" x14ac:dyDescent="0.35">
      <c r="B20" s="79" t="s">
        <v>43</v>
      </c>
      <c r="C20" s="61"/>
      <c r="D20" s="62"/>
      <c r="E20" s="63"/>
      <c r="F20" s="64">
        <f>SUM(F5:F19)</f>
        <v>121.95655000000001</v>
      </c>
      <c r="G20" s="65">
        <f>SUM(G5:G19)</f>
        <v>21.20225000000001</v>
      </c>
      <c r="H20" s="66">
        <f>SUM(H5:H19)</f>
        <v>694.78309999999999</v>
      </c>
      <c r="I20" s="63"/>
      <c r="J20" s="64">
        <f>SUM(J5:J19)</f>
        <v>129.23075</v>
      </c>
      <c r="K20" s="65">
        <f>SUM(K5:K19)</f>
        <v>16.766950000000005</v>
      </c>
      <c r="L20" s="66">
        <f>SUM(L5:L19)</f>
        <v>778.86090000000013</v>
      </c>
      <c r="M20" s="63"/>
      <c r="N20" s="67">
        <f>SUM(N5:N19)</f>
        <v>139.0282</v>
      </c>
      <c r="O20" s="65">
        <f>SUM(O5:O19)</f>
        <v>-19.403399999999984</v>
      </c>
      <c r="P20" s="66">
        <f>SUM(P5:P19)</f>
        <v>966.73144999999988</v>
      </c>
      <c r="Q20" s="63"/>
      <c r="R20" s="65">
        <f>SUM(R5:R19)</f>
        <v>142.92985000000002</v>
      </c>
      <c r="S20" s="67">
        <f>SUM(S5:S19)</f>
        <v>-31.347750000000044</v>
      </c>
      <c r="T20" s="66">
        <f>SUM(T5:T19)</f>
        <v>1047.0817999999999</v>
      </c>
    </row>
    <row r="21" spans="2:20" x14ac:dyDescent="0.35">
      <c r="B21" s="68" t="s">
        <v>97</v>
      </c>
      <c r="C21" s="68"/>
      <c r="D21" s="69"/>
      <c r="E21" s="70"/>
      <c r="F21" s="71"/>
      <c r="G21" s="71"/>
      <c r="H21" s="72">
        <v>8.1340000000000003</v>
      </c>
      <c r="I21" s="70"/>
      <c r="J21" s="71"/>
      <c r="K21" s="71"/>
      <c r="L21" s="72">
        <v>8.1340000000000003</v>
      </c>
      <c r="M21" s="70"/>
      <c r="N21" s="71"/>
      <c r="O21" s="71"/>
      <c r="P21" s="72">
        <v>8.1340000000000003</v>
      </c>
      <c r="Q21" s="70"/>
      <c r="R21" s="71"/>
      <c r="S21" s="71"/>
      <c r="T21" s="72">
        <v>8.1340000000000003</v>
      </c>
    </row>
    <row r="22" spans="2:20" x14ac:dyDescent="0.35">
      <c r="B22" s="61" t="s">
        <v>44</v>
      </c>
      <c r="C22" s="61"/>
      <c r="D22" s="62"/>
      <c r="E22" s="63"/>
      <c r="F22" s="59"/>
      <c r="G22" s="59"/>
      <c r="H22" s="73">
        <f>'WL1'!N24</f>
        <v>420.73739284500016</v>
      </c>
      <c r="I22" s="63"/>
      <c r="J22" s="59"/>
      <c r="K22" s="59"/>
      <c r="L22" s="73">
        <f>'WL2'!N24</f>
        <v>1226.9011898733336</v>
      </c>
      <c r="M22" s="63"/>
      <c r="N22" s="59"/>
      <c r="O22" s="59"/>
      <c r="P22" s="73">
        <f>'WL3'!P24</f>
        <v>1996.5901651850004</v>
      </c>
      <c r="Q22" s="63"/>
      <c r="R22" s="59"/>
      <c r="S22" s="59"/>
      <c r="T22" s="73">
        <f>'WL4'!R24</f>
        <v>2993.1282890911116</v>
      </c>
    </row>
    <row r="23" spans="2:20" x14ac:dyDescent="0.35">
      <c r="B23" s="61" t="s">
        <v>92</v>
      </c>
      <c r="C23" s="61"/>
      <c r="D23" s="62"/>
      <c r="E23" s="63"/>
      <c r="F23" s="59"/>
      <c r="G23" s="59"/>
      <c r="H23" s="60">
        <f>F20*H21*2/3</f>
        <v>661.3297184666668</v>
      </c>
      <c r="I23" s="63"/>
      <c r="J23" s="59"/>
      <c r="K23" s="59"/>
      <c r="L23" s="60">
        <f>J20*L21*2/3</f>
        <v>700.7752803333334</v>
      </c>
      <c r="M23" s="63"/>
      <c r="N23" s="59"/>
      <c r="O23" s="59"/>
      <c r="P23" s="60">
        <f>N20*P21*2/3</f>
        <v>753.90358586666662</v>
      </c>
      <c r="Q23" s="63"/>
      <c r="R23" s="59"/>
      <c r="S23" s="59"/>
      <c r="T23" s="60">
        <f>R20*T21*2/3</f>
        <v>775.06093326666678</v>
      </c>
    </row>
    <row r="24" spans="2:20" x14ac:dyDescent="0.35">
      <c r="B24" s="74" t="s">
        <v>45</v>
      </c>
      <c r="C24" s="75"/>
      <c r="D24" s="76"/>
      <c r="E24" s="77"/>
      <c r="F24" s="67"/>
      <c r="G24" s="67"/>
      <c r="H24" s="78">
        <f>H23/100</f>
        <v>6.6132971846666679</v>
      </c>
      <c r="I24" s="77"/>
      <c r="J24" s="67"/>
      <c r="K24" s="67"/>
      <c r="L24" s="78">
        <f>L23/100</f>
        <v>7.0077528033333341</v>
      </c>
      <c r="M24" s="77"/>
      <c r="N24" s="67"/>
      <c r="O24" s="67"/>
      <c r="P24" s="78">
        <f>P23/100</f>
        <v>7.5390358586666659</v>
      </c>
      <c r="Q24" s="77"/>
      <c r="R24" s="67"/>
      <c r="S24" s="67"/>
      <c r="T24" s="78">
        <f>T23/100</f>
        <v>7.7506093326666674</v>
      </c>
    </row>
    <row r="25" spans="2:20" x14ac:dyDescent="0.35">
      <c r="B25" s="79" t="s">
        <v>46</v>
      </c>
      <c r="C25" s="79"/>
      <c r="D25" s="74"/>
      <c r="E25" s="77"/>
      <c r="F25" s="67"/>
      <c r="G25" s="67"/>
      <c r="H25" s="78">
        <f>G20/F20*H21</f>
        <v>1.4141028218656571</v>
      </c>
      <c r="I25" s="77"/>
      <c r="J25" s="67"/>
      <c r="K25" s="67"/>
      <c r="L25" s="78">
        <f>K20/J20*L21</f>
        <v>1.0553399349613002</v>
      </c>
      <c r="M25" s="77"/>
      <c r="N25" s="67"/>
      <c r="O25" s="67"/>
      <c r="P25" s="78">
        <f>O20/N20*P21</f>
        <v>-1.1352175716868944</v>
      </c>
      <c r="Q25" s="77"/>
      <c r="R25" s="67"/>
      <c r="S25" s="67"/>
      <c r="T25" s="78">
        <f>S20/R20*T21</f>
        <v>-1.78397023784745</v>
      </c>
    </row>
    <row r="26" spans="2:20" x14ac:dyDescent="0.35">
      <c r="B26" s="80" t="s">
        <v>98</v>
      </c>
      <c r="C26" s="80"/>
      <c r="D26" s="81"/>
      <c r="E26" s="63"/>
      <c r="F26" s="59"/>
      <c r="G26" s="59"/>
      <c r="H26" s="60">
        <f>H20*H21*H21*H21*2/3</f>
        <v>249270.27408362829</v>
      </c>
      <c r="I26" s="82"/>
      <c r="J26" s="83"/>
      <c r="K26" s="83"/>
      <c r="L26" s="84">
        <f>L20*L21*L21*L21*2/3</f>
        <v>279435.2223248111</v>
      </c>
      <c r="M26" s="82"/>
      <c r="N26" s="83"/>
      <c r="O26" s="83"/>
      <c r="P26" s="84">
        <f>P20*P21*P21*P21*2/3</f>
        <v>346838.33487999841</v>
      </c>
      <c r="Q26" s="82"/>
      <c r="R26" s="83"/>
      <c r="S26" s="83"/>
      <c r="T26" s="84">
        <f>T20*T21*T21*T21*2/3</f>
        <v>375665.97010488436</v>
      </c>
    </row>
    <row r="27" spans="2:20" x14ac:dyDescent="0.35">
      <c r="B27" s="80" t="s">
        <v>99</v>
      </c>
      <c r="C27" s="80"/>
      <c r="D27" s="81"/>
      <c r="E27" s="63"/>
      <c r="F27" s="59"/>
      <c r="G27" s="59"/>
      <c r="H27" s="60">
        <f>H26-H23*H25*H25</f>
        <v>247947.82178124145</v>
      </c>
      <c r="I27" s="82"/>
      <c r="J27" s="83"/>
      <c r="K27" s="83"/>
      <c r="L27" s="84">
        <f>L26-L23*L25*L25</f>
        <v>278654.73919742188</v>
      </c>
      <c r="M27" s="82"/>
      <c r="N27" s="83"/>
      <c r="O27" s="83"/>
      <c r="P27" s="84">
        <f>P26-P23*P25*P25</f>
        <v>345866.76505367737</v>
      </c>
      <c r="Q27" s="82"/>
      <c r="R27" s="83"/>
      <c r="S27" s="83"/>
      <c r="T27" s="84">
        <f>T26-T23*T25*T25</f>
        <v>373199.30007934588</v>
      </c>
    </row>
    <row r="28" spans="2:20" x14ac:dyDescent="0.35">
      <c r="B28" s="85" t="s">
        <v>100</v>
      </c>
      <c r="C28" s="85"/>
      <c r="D28" s="86"/>
      <c r="E28" s="77"/>
      <c r="F28" s="67"/>
      <c r="G28" s="67"/>
      <c r="H28" s="78">
        <f>H27/H22</f>
        <v>589.31729386977861</v>
      </c>
      <c r="I28" s="77"/>
      <c r="J28" s="67"/>
      <c r="K28" s="67"/>
      <c r="L28" s="78">
        <f>L27/L22</f>
        <v>227.12076693493992</v>
      </c>
      <c r="M28" s="77"/>
      <c r="N28" s="67"/>
      <c r="O28" s="67"/>
      <c r="P28" s="78">
        <f>P27/P22</f>
        <v>173.22872319248853</v>
      </c>
      <c r="Q28" s="77"/>
      <c r="R28" s="67"/>
      <c r="S28" s="67"/>
      <c r="T28" s="78">
        <f>T27/T22</f>
        <v>124.68536729264984</v>
      </c>
    </row>
    <row r="29" spans="2:20" x14ac:dyDescent="0.35">
      <c r="B29" s="87" t="s">
        <v>47</v>
      </c>
      <c r="C29" s="87"/>
      <c r="D29" s="88"/>
      <c r="E29" s="89"/>
      <c r="F29" s="90"/>
      <c r="G29" s="90"/>
      <c r="H29" s="91">
        <v>74.400000000000006</v>
      </c>
      <c r="I29" s="89"/>
      <c r="J29" s="90"/>
      <c r="K29" s="90"/>
      <c r="L29" s="91">
        <v>74.400000000000006</v>
      </c>
      <c r="M29" s="89"/>
      <c r="N29" s="90"/>
      <c r="O29" s="90"/>
      <c r="P29" s="91">
        <v>74.400000000000006</v>
      </c>
      <c r="Q29" s="89"/>
      <c r="R29" s="90"/>
      <c r="S29" s="90"/>
      <c r="T29" s="91">
        <v>74.400000000000006</v>
      </c>
    </row>
    <row r="30" spans="2:20" x14ac:dyDescent="0.35">
      <c r="B30" s="87" t="s">
        <v>101</v>
      </c>
      <c r="C30" s="87"/>
      <c r="D30" s="88"/>
      <c r="E30" s="89"/>
      <c r="F30" s="90"/>
      <c r="G30" s="90"/>
      <c r="H30" s="91">
        <v>1</v>
      </c>
      <c r="I30" s="89"/>
      <c r="J30" s="90"/>
      <c r="K30" s="90"/>
      <c r="L30" s="91">
        <v>1</v>
      </c>
      <c r="M30" s="89"/>
      <c r="N30" s="90"/>
      <c r="O30" s="90"/>
      <c r="P30" s="91">
        <v>1</v>
      </c>
      <c r="Q30" s="89"/>
      <c r="R30" s="90"/>
      <c r="S30" s="90"/>
      <c r="T30" s="91">
        <v>1</v>
      </c>
    </row>
    <row r="31" spans="2:20" x14ac:dyDescent="0.35">
      <c r="B31" s="92" t="s">
        <v>48</v>
      </c>
      <c r="C31" s="87"/>
      <c r="D31" s="88"/>
      <c r="E31" s="89"/>
      <c r="F31" s="90"/>
      <c r="G31" s="90"/>
      <c r="H31" s="91">
        <f>H30*H22</f>
        <v>420.73739284500016</v>
      </c>
      <c r="I31" s="89"/>
      <c r="J31" s="90"/>
      <c r="K31" s="90"/>
      <c r="L31" s="91">
        <f>L30*L22</f>
        <v>1226.9011898733336</v>
      </c>
      <c r="M31" s="89"/>
      <c r="N31" s="90"/>
      <c r="O31" s="90"/>
      <c r="P31" s="91">
        <f>P30*P22</f>
        <v>1996.5901651850004</v>
      </c>
      <c r="Q31" s="89"/>
      <c r="R31" s="90"/>
      <c r="S31" s="90"/>
      <c r="T31" s="91">
        <f>T30*T22</f>
        <v>2993.1282890911116</v>
      </c>
    </row>
    <row r="32" spans="2:20" ht="15" thickBot="1" x14ac:dyDescent="0.4">
      <c r="B32" s="93" t="s">
        <v>49</v>
      </c>
      <c r="C32" s="93"/>
      <c r="D32" s="94"/>
      <c r="E32" s="95"/>
      <c r="F32" s="96"/>
      <c r="G32" s="96"/>
      <c r="H32" s="97">
        <f>(H31*H28)/(100*H29)</f>
        <v>33.326320131887286</v>
      </c>
      <c r="I32" s="95"/>
      <c r="J32" s="96"/>
      <c r="K32" s="96"/>
      <c r="L32" s="97">
        <f>(L31*L28)/(100*L29)</f>
        <v>37.453593978148099</v>
      </c>
      <c r="M32" s="95"/>
      <c r="N32" s="96"/>
      <c r="O32" s="96"/>
      <c r="P32" s="97">
        <f>(P31*P28)/(100*P29)</f>
        <v>46.487468421193192</v>
      </c>
      <c r="Q32" s="95"/>
      <c r="R32" s="96"/>
      <c r="S32" s="96"/>
      <c r="T32" s="97">
        <f>(T31*T28)/(100*T29)</f>
        <v>50.161196247223906</v>
      </c>
    </row>
  </sheetData>
  <mergeCells count="21">
    <mergeCell ref="B32:D32"/>
    <mergeCell ref="B26:D26"/>
    <mergeCell ref="B27:D27"/>
    <mergeCell ref="B28:D28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2:T2"/>
    <mergeCell ref="B3:B4"/>
    <mergeCell ref="C3:C4"/>
    <mergeCell ref="D3:D4"/>
    <mergeCell ref="E3:H3"/>
    <mergeCell ref="I3:L3"/>
    <mergeCell ref="M3:P3"/>
    <mergeCell ref="Q3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workbookViewId="0"/>
  </sheetViews>
  <sheetFormatPr defaultRowHeight="14.5" x14ac:dyDescent="0.35"/>
  <cols>
    <col min="2" max="2" width="15.6328125" customWidth="1"/>
    <col min="3" max="3" width="13.54296875" customWidth="1"/>
  </cols>
  <sheetData>
    <row r="2" spans="2:15" ht="32.5" x14ac:dyDescent="0.35">
      <c r="B2" s="120" t="s">
        <v>112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21" customHeight="1" x14ac:dyDescent="0.35">
      <c r="B3" s="54"/>
      <c r="C3" s="54"/>
      <c r="D3" s="79" t="s">
        <v>103</v>
      </c>
      <c r="E3" s="79"/>
      <c r="F3" s="79"/>
      <c r="G3" s="79" t="s">
        <v>103</v>
      </c>
      <c r="H3" s="79"/>
      <c r="I3" s="79"/>
      <c r="J3" s="79" t="s">
        <v>103</v>
      </c>
      <c r="K3" s="79"/>
      <c r="L3" s="79"/>
      <c r="M3" s="79" t="s">
        <v>103</v>
      </c>
      <c r="N3" s="79"/>
      <c r="O3" s="79"/>
    </row>
    <row r="4" spans="2:15" ht="23" customHeight="1" x14ac:dyDescent="0.35">
      <c r="B4" s="99"/>
      <c r="C4" s="100"/>
      <c r="D4" s="61">
        <v>1</v>
      </c>
      <c r="E4" s="61"/>
      <c r="F4" s="61"/>
      <c r="G4" s="61">
        <v>2</v>
      </c>
      <c r="H4" s="61"/>
      <c r="I4" s="61"/>
      <c r="J4" s="22">
        <v>3</v>
      </c>
      <c r="K4" s="22"/>
      <c r="L4" s="22"/>
      <c r="M4" s="61">
        <v>4</v>
      </c>
      <c r="N4" s="61"/>
      <c r="O4" s="61"/>
    </row>
    <row r="5" spans="2:15" ht="48" customHeight="1" x14ac:dyDescent="0.35">
      <c r="B5" s="99" t="s">
        <v>38</v>
      </c>
      <c r="C5" s="100" t="s">
        <v>25</v>
      </c>
      <c r="D5" s="54" t="s">
        <v>37</v>
      </c>
      <c r="E5" s="54" t="s">
        <v>50</v>
      </c>
      <c r="F5" s="54" t="s">
        <v>51</v>
      </c>
      <c r="G5" s="54" t="s">
        <v>37</v>
      </c>
      <c r="H5" s="54" t="s">
        <v>50</v>
      </c>
      <c r="I5" s="54" t="s">
        <v>51</v>
      </c>
      <c r="J5" s="54" t="s">
        <v>37</v>
      </c>
      <c r="K5" s="54" t="s">
        <v>50</v>
      </c>
      <c r="L5" s="54" t="s">
        <v>51</v>
      </c>
      <c r="M5" s="54" t="s">
        <v>37</v>
      </c>
      <c r="N5" s="54" t="s">
        <v>50</v>
      </c>
      <c r="O5" s="54" t="s">
        <v>51</v>
      </c>
    </row>
    <row r="6" spans="2:15" x14ac:dyDescent="0.35">
      <c r="B6" s="57">
        <v>0</v>
      </c>
      <c r="C6" s="54">
        <v>0.5</v>
      </c>
      <c r="D6" s="101">
        <v>0</v>
      </c>
      <c r="E6" s="59">
        <f>D6*D6*D6</f>
        <v>0</v>
      </c>
      <c r="F6" s="59">
        <f t="shared" ref="F6:F20" si="0">E6*C6</f>
        <v>0</v>
      </c>
      <c r="G6" s="101">
        <v>0</v>
      </c>
      <c r="H6" s="59">
        <f>G6*G6*G6</f>
        <v>0</v>
      </c>
      <c r="I6" s="59">
        <f t="shared" ref="I6:I20" si="1">H6*C6</f>
        <v>0</v>
      </c>
      <c r="J6" s="101">
        <v>0</v>
      </c>
      <c r="K6" s="59">
        <f>J6*J6*J6</f>
        <v>0</v>
      </c>
      <c r="L6" s="59">
        <f t="shared" ref="L6:L20" si="2">K6*C6</f>
        <v>0</v>
      </c>
      <c r="M6" s="101">
        <v>3.1339999999999999</v>
      </c>
      <c r="N6" s="59">
        <f>M6*M6*M6</f>
        <v>30.782010104000001</v>
      </c>
      <c r="O6" s="59">
        <f t="shared" ref="O6:O20" si="3">N6*C6</f>
        <v>15.391005052000001</v>
      </c>
    </row>
    <row r="7" spans="2:15" x14ac:dyDescent="0.35">
      <c r="B7" s="57">
        <v>0.5</v>
      </c>
      <c r="C7" s="54">
        <v>2</v>
      </c>
      <c r="D7" s="101">
        <v>0</v>
      </c>
      <c r="E7" s="59">
        <f t="shared" ref="E7:E20" si="4">D7*D7*D7</f>
        <v>0</v>
      </c>
      <c r="F7" s="59">
        <f t="shared" si="0"/>
        <v>0</v>
      </c>
      <c r="G7" s="101">
        <v>0</v>
      </c>
      <c r="H7" s="59">
        <f t="shared" ref="H7:H20" si="5">G7*G7*G7</f>
        <v>0</v>
      </c>
      <c r="I7" s="59">
        <f t="shared" si="1"/>
        <v>0</v>
      </c>
      <c r="J7" s="101">
        <v>4.0125999999999999</v>
      </c>
      <c r="K7" s="59">
        <f t="shared" ref="K7:K20" si="6">J7*J7*J7</f>
        <v>64.606707120376001</v>
      </c>
      <c r="L7" s="59">
        <f t="shared" si="2"/>
        <v>129.213414240752</v>
      </c>
      <c r="M7" s="101">
        <v>4.6047000000000002</v>
      </c>
      <c r="N7" s="59">
        <f t="shared" ref="N7:N20" si="7">M7*M7*M7</f>
        <v>97.634660945823015</v>
      </c>
      <c r="O7" s="59">
        <f t="shared" si="3"/>
        <v>195.26932189164603</v>
      </c>
    </row>
    <row r="8" spans="2:15" x14ac:dyDescent="0.35">
      <c r="B8" s="57">
        <v>1</v>
      </c>
      <c r="C8" s="54">
        <v>1</v>
      </c>
      <c r="D8" s="101">
        <v>2.5644</v>
      </c>
      <c r="E8" s="59">
        <f t="shared" si="4"/>
        <v>16.863872289984002</v>
      </c>
      <c r="F8" s="59">
        <f t="shared" si="0"/>
        <v>16.863872289984002</v>
      </c>
      <c r="G8" s="101">
        <v>4.4808000000000003</v>
      </c>
      <c r="H8" s="59">
        <f t="shared" si="5"/>
        <v>89.963569562112014</v>
      </c>
      <c r="I8" s="59">
        <f t="shared" si="1"/>
        <v>89.963569562112014</v>
      </c>
      <c r="J8" s="101">
        <v>4.9203999999999999</v>
      </c>
      <c r="K8" s="59">
        <f t="shared" si="6"/>
        <v>119.12453804166398</v>
      </c>
      <c r="L8" s="59">
        <f t="shared" si="2"/>
        <v>119.12453804166398</v>
      </c>
      <c r="M8" s="101">
        <v>5.1162000000000001</v>
      </c>
      <c r="N8" s="59">
        <f t="shared" si="7"/>
        <v>133.91910558352802</v>
      </c>
      <c r="O8" s="59">
        <f t="shared" si="3"/>
        <v>133.91910558352802</v>
      </c>
    </row>
    <row r="9" spans="2:15" x14ac:dyDescent="0.35">
      <c r="B9" s="57">
        <v>1.5</v>
      </c>
      <c r="C9" s="54">
        <v>2</v>
      </c>
      <c r="D9" s="101">
        <v>4.4341999999999997</v>
      </c>
      <c r="E9" s="59">
        <f t="shared" si="4"/>
        <v>87.185815249687977</v>
      </c>
      <c r="F9" s="59">
        <f t="shared" si="0"/>
        <v>174.37163049937595</v>
      </c>
      <c r="G9" s="101">
        <v>4.9798999999999998</v>
      </c>
      <c r="H9" s="59">
        <f t="shared" si="5"/>
        <v>123.49855202939898</v>
      </c>
      <c r="I9" s="59">
        <f t="shared" si="1"/>
        <v>246.99710405879796</v>
      </c>
      <c r="J9" s="101">
        <v>5.1611000000000002</v>
      </c>
      <c r="K9" s="59">
        <f t="shared" si="6"/>
        <v>137.47597921213102</v>
      </c>
      <c r="L9" s="59">
        <f t="shared" si="2"/>
        <v>274.95195842426205</v>
      </c>
      <c r="M9" s="101">
        <v>5.2484999999999999</v>
      </c>
      <c r="N9" s="59">
        <f t="shared" si="7"/>
        <v>144.57912918412501</v>
      </c>
      <c r="O9" s="59">
        <f t="shared" si="3"/>
        <v>289.15825836825002</v>
      </c>
    </row>
    <row r="10" spans="2:15" x14ac:dyDescent="0.35">
      <c r="B10" s="57">
        <v>2</v>
      </c>
      <c r="C10" s="54">
        <v>1.5</v>
      </c>
      <c r="D10" s="101">
        <v>4.97</v>
      </c>
      <c r="E10" s="59">
        <f t="shared" si="4"/>
        <v>122.76347299999998</v>
      </c>
      <c r="F10" s="59">
        <f t="shared" si="0"/>
        <v>184.14520949999996</v>
      </c>
      <c r="G10" s="101">
        <v>5.2610999999999999</v>
      </c>
      <c r="H10" s="59">
        <f t="shared" si="5"/>
        <v>145.62289817513098</v>
      </c>
      <c r="I10" s="59">
        <f t="shared" si="1"/>
        <v>218.43434726269646</v>
      </c>
      <c r="J10" s="101">
        <v>5.3236999999999997</v>
      </c>
      <c r="K10" s="59">
        <f t="shared" si="6"/>
        <v>150.88314318305297</v>
      </c>
      <c r="L10" s="59">
        <f t="shared" si="2"/>
        <v>226.32471477457943</v>
      </c>
      <c r="M10" s="101">
        <v>5.3693</v>
      </c>
      <c r="N10" s="59">
        <f t="shared" si="7"/>
        <v>154.793603403557</v>
      </c>
      <c r="O10" s="59">
        <f t="shared" si="3"/>
        <v>232.19040510533551</v>
      </c>
    </row>
    <row r="11" spans="2:15" x14ac:dyDescent="0.35">
      <c r="B11" s="57">
        <v>3</v>
      </c>
      <c r="C11" s="54">
        <v>4</v>
      </c>
      <c r="D11" s="101">
        <v>5.3846999999999996</v>
      </c>
      <c r="E11" s="59">
        <f t="shared" si="4"/>
        <v>156.12934467642296</v>
      </c>
      <c r="F11" s="59">
        <f t="shared" si="0"/>
        <v>624.51737870569184</v>
      </c>
      <c r="G11" s="101">
        <v>5.4965000000000002</v>
      </c>
      <c r="H11" s="59">
        <f t="shared" si="5"/>
        <v>166.05757708212502</v>
      </c>
      <c r="I11" s="59">
        <f t="shared" si="1"/>
        <v>664.23030832850009</v>
      </c>
      <c r="J11" s="101">
        <v>5.5</v>
      </c>
      <c r="K11" s="59">
        <f t="shared" si="6"/>
        <v>166.375</v>
      </c>
      <c r="L11" s="59">
        <f t="shared" si="2"/>
        <v>665.5</v>
      </c>
      <c r="M11" s="101">
        <v>5.5</v>
      </c>
      <c r="N11" s="59">
        <f t="shared" si="7"/>
        <v>166.375</v>
      </c>
      <c r="O11" s="59">
        <f t="shared" si="3"/>
        <v>665.5</v>
      </c>
    </row>
    <row r="12" spans="2:15" x14ac:dyDescent="0.35">
      <c r="B12" s="57">
        <v>4</v>
      </c>
      <c r="C12" s="54">
        <v>1</v>
      </c>
      <c r="D12" s="101">
        <v>5.3846999999999996</v>
      </c>
      <c r="E12" s="59">
        <f t="shared" si="4"/>
        <v>156.12934467642296</v>
      </c>
      <c r="F12" s="59">
        <f t="shared" si="0"/>
        <v>156.12934467642296</v>
      </c>
      <c r="G12" s="101">
        <v>5.4965000000000002</v>
      </c>
      <c r="H12" s="59">
        <f t="shared" si="5"/>
        <v>166.05757708212502</v>
      </c>
      <c r="I12" s="59">
        <f t="shared" si="1"/>
        <v>166.05757708212502</v>
      </c>
      <c r="J12" s="101">
        <v>5.5</v>
      </c>
      <c r="K12" s="59">
        <f t="shared" si="6"/>
        <v>166.375</v>
      </c>
      <c r="L12" s="59">
        <f t="shared" si="2"/>
        <v>166.375</v>
      </c>
      <c r="M12" s="101">
        <v>5.5</v>
      </c>
      <c r="N12" s="59">
        <f t="shared" si="7"/>
        <v>166.375</v>
      </c>
      <c r="O12" s="59">
        <f t="shared" si="3"/>
        <v>166.375</v>
      </c>
    </row>
    <row r="13" spans="2:15" x14ac:dyDescent="0.35">
      <c r="B13" s="57">
        <v>5</v>
      </c>
      <c r="C13" s="54">
        <v>4</v>
      </c>
      <c r="D13" s="101">
        <v>5.3846999999999996</v>
      </c>
      <c r="E13" s="59">
        <f t="shared" si="4"/>
        <v>156.12934467642296</v>
      </c>
      <c r="F13" s="59">
        <f t="shared" si="0"/>
        <v>624.51737870569184</v>
      </c>
      <c r="G13" s="101">
        <v>5.4965000000000002</v>
      </c>
      <c r="H13" s="59">
        <f t="shared" si="5"/>
        <v>166.05757708212502</v>
      </c>
      <c r="I13" s="59">
        <f t="shared" si="1"/>
        <v>664.23030832850009</v>
      </c>
      <c r="J13" s="101">
        <v>5.5</v>
      </c>
      <c r="K13" s="59">
        <f t="shared" si="6"/>
        <v>166.375</v>
      </c>
      <c r="L13" s="59">
        <f t="shared" si="2"/>
        <v>665.5</v>
      </c>
      <c r="M13" s="101">
        <v>5.5</v>
      </c>
      <c r="N13" s="59">
        <f t="shared" si="7"/>
        <v>166.375</v>
      </c>
      <c r="O13" s="59">
        <f t="shared" si="3"/>
        <v>665.5</v>
      </c>
    </row>
    <row r="14" spans="2:15" x14ac:dyDescent="0.35">
      <c r="B14" s="57">
        <v>6</v>
      </c>
      <c r="C14" s="54">
        <v>2</v>
      </c>
      <c r="D14" s="101">
        <v>5.3846999999999996</v>
      </c>
      <c r="E14" s="59">
        <f t="shared" si="4"/>
        <v>156.12934467642296</v>
      </c>
      <c r="F14" s="59">
        <f t="shared" si="0"/>
        <v>312.25868935284592</v>
      </c>
      <c r="G14" s="101">
        <v>5.4965000000000002</v>
      </c>
      <c r="H14" s="59">
        <f t="shared" si="5"/>
        <v>166.05757708212502</v>
      </c>
      <c r="I14" s="59">
        <f t="shared" si="1"/>
        <v>332.11515416425004</v>
      </c>
      <c r="J14" s="101">
        <v>5.5</v>
      </c>
      <c r="K14" s="59">
        <f t="shared" si="6"/>
        <v>166.375</v>
      </c>
      <c r="L14" s="59">
        <f t="shared" si="2"/>
        <v>332.75</v>
      </c>
      <c r="M14" s="101">
        <v>5.5</v>
      </c>
      <c r="N14" s="59">
        <f t="shared" si="7"/>
        <v>166.375</v>
      </c>
      <c r="O14" s="59">
        <f t="shared" si="3"/>
        <v>332.75</v>
      </c>
    </row>
    <row r="15" spans="2:15" x14ac:dyDescent="0.35">
      <c r="B15" s="57">
        <v>7</v>
      </c>
      <c r="C15" s="54">
        <v>4</v>
      </c>
      <c r="D15" s="101">
        <v>5.3846999999999996</v>
      </c>
      <c r="E15" s="59">
        <f t="shared" si="4"/>
        <v>156.12934467642296</v>
      </c>
      <c r="F15" s="59">
        <f t="shared" si="0"/>
        <v>624.51737870569184</v>
      </c>
      <c r="G15" s="101">
        <v>5.4965000000000002</v>
      </c>
      <c r="H15" s="59">
        <f t="shared" si="5"/>
        <v>166.05757708212502</v>
      </c>
      <c r="I15" s="59">
        <f t="shared" si="1"/>
        <v>664.23030832850009</v>
      </c>
      <c r="J15" s="101">
        <v>5.5</v>
      </c>
      <c r="K15" s="59">
        <f t="shared" si="6"/>
        <v>166.375</v>
      </c>
      <c r="L15" s="59">
        <f t="shared" si="2"/>
        <v>665.5</v>
      </c>
      <c r="M15" s="101">
        <v>5.5</v>
      </c>
      <c r="N15" s="59">
        <f t="shared" si="7"/>
        <v>166.375</v>
      </c>
      <c r="O15" s="59">
        <f t="shared" si="3"/>
        <v>665.5</v>
      </c>
    </row>
    <row r="16" spans="2:15" x14ac:dyDescent="0.35">
      <c r="B16" s="57">
        <v>8</v>
      </c>
      <c r="C16" s="54">
        <v>1.5</v>
      </c>
      <c r="D16" s="101">
        <v>4.9272999999999998</v>
      </c>
      <c r="E16" s="59">
        <f t="shared" si="4"/>
        <v>119.62639510941699</v>
      </c>
      <c r="F16" s="59">
        <f t="shared" si="0"/>
        <v>179.43959266412548</v>
      </c>
      <c r="G16" s="101">
        <v>5.1551999999999998</v>
      </c>
      <c r="H16" s="59">
        <f t="shared" si="5"/>
        <v>137.00504390860797</v>
      </c>
      <c r="I16" s="59">
        <f t="shared" si="1"/>
        <v>205.50756586291197</v>
      </c>
      <c r="J16" s="101">
        <v>5.1844999999999999</v>
      </c>
      <c r="K16" s="59">
        <f t="shared" si="6"/>
        <v>139.354384176125</v>
      </c>
      <c r="L16" s="59">
        <f t="shared" si="2"/>
        <v>209.03157626418749</v>
      </c>
      <c r="M16" s="101">
        <v>5.2252000000000001</v>
      </c>
      <c r="N16" s="59">
        <f t="shared" si="7"/>
        <v>142.66214662700798</v>
      </c>
      <c r="O16" s="59">
        <f t="shared" si="3"/>
        <v>213.99321994051198</v>
      </c>
    </row>
    <row r="17" spans="2:15" x14ac:dyDescent="0.35">
      <c r="B17" s="57">
        <v>8.5</v>
      </c>
      <c r="C17" s="54">
        <v>2</v>
      </c>
      <c r="D17" s="101">
        <v>4.1715</v>
      </c>
      <c r="E17" s="59">
        <f t="shared" si="4"/>
        <v>72.589991200875005</v>
      </c>
      <c r="F17" s="59">
        <f t="shared" si="0"/>
        <v>145.17998240175001</v>
      </c>
      <c r="G17" s="101">
        <v>4.5117000000000003</v>
      </c>
      <c r="H17" s="59">
        <f t="shared" si="5"/>
        <v>91.837624616613027</v>
      </c>
      <c r="I17" s="59">
        <f t="shared" si="1"/>
        <v>183.67524923322605</v>
      </c>
      <c r="J17" s="101">
        <v>4.6313000000000004</v>
      </c>
      <c r="K17" s="59">
        <f t="shared" si="6"/>
        <v>99.336474386297027</v>
      </c>
      <c r="L17" s="59">
        <f t="shared" si="2"/>
        <v>198.67294877259405</v>
      </c>
      <c r="M17" s="101">
        <v>4.7167000000000003</v>
      </c>
      <c r="N17" s="59">
        <f t="shared" si="7"/>
        <v>104.93364600646304</v>
      </c>
      <c r="O17" s="59">
        <f t="shared" si="3"/>
        <v>209.86729201292607</v>
      </c>
    </row>
    <row r="18" spans="2:15" x14ac:dyDescent="0.35">
      <c r="B18" s="57">
        <v>9</v>
      </c>
      <c r="C18" s="54">
        <v>1</v>
      </c>
      <c r="D18" s="101">
        <v>3.0457000000000001</v>
      </c>
      <c r="E18" s="59">
        <f t="shared" si="4"/>
        <v>28.252791853993003</v>
      </c>
      <c r="F18" s="59">
        <f t="shared" si="0"/>
        <v>28.252791853993003</v>
      </c>
      <c r="G18" s="101">
        <v>3.5143</v>
      </c>
      <c r="H18" s="59">
        <f t="shared" si="5"/>
        <v>43.402675069207</v>
      </c>
      <c r="I18" s="59">
        <f t="shared" si="1"/>
        <v>43.402675069207</v>
      </c>
      <c r="J18" s="101">
        <v>3.7326000000000001</v>
      </c>
      <c r="K18" s="59">
        <f t="shared" si="6"/>
        <v>52.003713281976005</v>
      </c>
      <c r="L18" s="59">
        <f t="shared" si="2"/>
        <v>52.003713281976005</v>
      </c>
      <c r="M18" s="101">
        <v>3.9051</v>
      </c>
      <c r="N18" s="59">
        <f t="shared" si="7"/>
        <v>59.552017449651004</v>
      </c>
      <c r="O18" s="59">
        <f t="shared" si="3"/>
        <v>59.552017449651004</v>
      </c>
    </row>
    <row r="19" spans="2:15" x14ac:dyDescent="0.35">
      <c r="B19" s="57">
        <v>9.5</v>
      </c>
      <c r="C19" s="54">
        <v>2</v>
      </c>
      <c r="D19" s="101">
        <v>1.6696</v>
      </c>
      <c r="E19" s="59">
        <f t="shared" si="4"/>
        <v>4.6541171215360002</v>
      </c>
      <c r="F19" s="59">
        <f t="shared" si="0"/>
        <v>9.3082342430720004</v>
      </c>
      <c r="G19" s="101">
        <v>2.0121000000000002</v>
      </c>
      <c r="H19" s="59">
        <f t="shared" si="5"/>
        <v>8.1460802315610028</v>
      </c>
      <c r="I19" s="59">
        <f t="shared" si="1"/>
        <v>16.292160463122006</v>
      </c>
      <c r="J19" s="101">
        <v>2.2183000000000002</v>
      </c>
      <c r="K19" s="59">
        <f t="shared" si="6"/>
        <v>10.915932402487003</v>
      </c>
      <c r="L19" s="59">
        <f t="shared" si="2"/>
        <v>21.831864804974007</v>
      </c>
      <c r="M19" s="101">
        <v>2.4049999999999998</v>
      </c>
      <c r="N19" s="59">
        <f t="shared" si="7"/>
        <v>13.910580124999996</v>
      </c>
      <c r="O19" s="59">
        <f t="shared" si="3"/>
        <v>27.821160249999991</v>
      </c>
    </row>
    <row r="20" spans="2:15" x14ac:dyDescent="0.35">
      <c r="B20" s="57">
        <v>10</v>
      </c>
      <c r="C20" s="54">
        <v>0.5</v>
      </c>
      <c r="D20" s="101">
        <v>0.35880000000000001</v>
      </c>
      <c r="E20" s="59">
        <f t="shared" si="4"/>
        <v>4.6190993472000001E-2</v>
      </c>
      <c r="F20" s="59">
        <f t="shared" si="0"/>
        <v>2.3095496736000001E-2</v>
      </c>
      <c r="G20" s="101">
        <v>0.31259999999999999</v>
      </c>
      <c r="H20" s="59">
        <f t="shared" si="5"/>
        <v>3.0546884375999995E-2</v>
      </c>
      <c r="I20" s="59">
        <f t="shared" si="1"/>
        <v>1.5273442187999997E-2</v>
      </c>
      <c r="J20" s="101">
        <v>0.1326</v>
      </c>
      <c r="K20" s="59">
        <f t="shared" si="6"/>
        <v>2.3314739759999997E-3</v>
      </c>
      <c r="L20" s="59">
        <f t="shared" si="2"/>
        <v>1.1657369879999999E-3</v>
      </c>
      <c r="M20" s="101">
        <v>0</v>
      </c>
      <c r="N20" s="59">
        <f t="shared" si="7"/>
        <v>0</v>
      </c>
      <c r="O20" s="59">
        <f t="shared" si="3"/>
        <v>0</v>
      </c>
    </row>
    <row r="21" spans="2:15" x14ac:dyDescent="0.35">
      <c r="B21" s="102" t="s">
        <v>52</v>
      </c>
      <c r="C21" s="102"/>
      <c r="D21" s="103" t="s">
        <v>53</v>
      </c>
      <c r="E21" s="103"/>
      <c r="F21" s="59">
        <f>SUM(F6:F20)</f>
        <v>3079.5245790953809</v>
      </c>
      <c r="G21" s="103"/>
      <c r="H21" s="103"/>
      <c r="I21" s="59">
        <f>SUM(I6:I20)</f>
        <v>3495.1516011861368</v>
      </c>
      <c r="J21" s="103"/>
      <c r="K21" s="103"/>
      <c r="L21" s="59">
        <f>SUM(L6:L20)</f>
        <v>3726.7808943419773</v>
      </c>
      <c r="M21" s="103"/>
      <c r="N21" s="103"/>
      <c r="O21" s="59">
        <f>SUM(O6:O20)</f>
        <v>3872.7867856538487</v>
      </c>
    </row>
    <row r="22" spans="2:15" x14ac:dyDescent="0.35">
      <c r="B22" s="104" t="s">
        <v>104</v>
      </c>
      <c r="C22" s="104"/>
      <c r="D22" s="102" t="s">
        <v>54</v>
      </c>
      <c r="E22" s="102"/>
      <c r="F22" s="59">
        <v>8.1340000000000003</v>
      </c>
      <c r="G22" s="102" t="s">
        <v>54</v>
      </c>
      <c r="H22" s="102"/>
      <c r="I22" s="59">
        <v>8.1340000000000003</v>
      </c>
      <c r="J22" s="102" t="s">
        <v>54</v>
      </c>
      <c r="K22" s="102"/>
      <c r="L22" s="59">
        <v>8.1340000000000003</v>
      </c>
      <c r="M22" s="102" t="s">
        <v>54</v>
      </c>
      <c r="N22" s="102"/>
      <c r="O22" s="59">
        <v>8.1340000000000003</v>
      </c>
    </row>
    <row r="23" spans="2:15" x14ac:dyDescent="0.35">
      <c r="B23" s="104" t="s">
        <v>105</v>
      </c>
      <c r="C23" s="104"/>
      <c r="D23" s="104" t="s">
        <v>108</v>
      </c>
      <c r="E23" s="104"/>
      <c r="F23" s="59">
        <f>'WL1'!N24</f>
        <v>420.73739284500016</v>
      </c>
      <c r="G23" s="104" t="s">
        <v>109</v>
      </c>
      <c r="H23" s="104"/>
      <c r="I23" s="59">
        <f>'WL2'!N24</f>
        <v>1226.9011898733336</v>
      </c>
      <c r="J23" s="104" t="s">
        <v>110</v>
      </c>
      <c r="K23" s="104"/>
      <c r="L23" s="59">
        <f>'WL3'!P24</f>
        <v>1996.5901651850004</v>
      </c>
      <c r="M23" s="104" t="s">
        <v>111</v>
      </c>
      <c r="N23" s="104"/>
      <c r="O23" s="59">
        <f>'WL4'!P23</f>
        <v>2993.1282890911111</v>
      </c>
    </row>
    <row r="24" spans="2:15" x14ac:dyDescent="0.35">
      <c r="B24" s="104" t="s">
        <v>106</v>
      </c>
      <c r="C24" s="104"/>
      <c r="D24" s="102" t="s">
        <v>55</v>
      </c>
      <c r="E24" s="102"/>
      <c r="F24" s="59">
        <f>F21*F22*2/9</f>
        <v>5566.4117614137394</v>
      </c>
      <c r="G24" s="102" t="s">
        <v>55</v>
      </c>
      <c r="H24" s="102"/>
      <c r="I24" s="59">
        <f>I21*I22*2/9</f>
        <v>6317.6806942328967</v>
      </c>
      <c r="J24" s="102" t="s">
        <v>55</v>
      </c>
      <c r="K24" s="102"/>
      <c r="L24" s="59">
        <f>L21*L22*2/9</f>
        <v>6736.363509906143</v>
      </c>
      <c r="M24" s="102" t="s">
        <v>55</v>
      </c>
      <c r="N24" s="102"/>
      <c r="O24" s="59">
        <f>O21*O22*2/9</f>
        <v>7000.2772698907575</v>
      </c>
    </row>
    <row r="25" spans="2:15" ht="16.5" x14ac:dyDescent="0.35">
      <c r="B25" s="105" t="s">
        <v>107</v>
      </c>
      <c r="C25" s="105"/>
      <c r="D25" s="106" t="s">
        <v>56</v>
      </c>
      <c r="E25" s="106"/>
      <c r="F25" s="107">
        <f>F24/F23</f>
        <v>13.230133228173537</v>
      </c>
      <c r="G25" s="106" t="s">
        <v>56</v>
      </c>
      <c r="H25" s="106"/>
      <c r="I25" s="107">
        <f>I24/I23</f>
        <v>5.1492986936341136</v>
      </c>
      <c r="J25" s="106" t="s">
        <v>56</v>
      </c>
      <c r="K25" s="106"/>
      <c r="L25" s="107">
        <f>L24/L23</f>
        <v>3.3739340338190855</v>
      </c>
      <c r="M25" s="106" t="s">
        <v>56</v>
      </c>
      <c r="N25" s="106"/>
      <c r="O25" s="107">
        <f>O24/O23</f>
        <v>2.3387829032936143</v>
      </c>
    </row>
  </sheetData>
  <mergeCells count="30">
    <mergeCell ref="B25:C25"/>
    <mergeCell ref="D25:E25"/>
    <mergeCell ref="G25:H25"/>
    <mergeCell ref="J25:K25"/>
    <mergeCell ref="M25:N25"/>
    <mergeCell ref="B23:C23"/>
    <mergeCell ref="D23:E23"/>
    <mergeCell ref="G23:H23"/>
    <mergeCell ref="J23:K23"/>
    <mergeCell ref="M23:N23"/>
    <mergeCell ref="B24:C24"/>
    <mergeCell ref="D24:E24"/>
    <mergeCell ref="G24:H24"/>
    <mergeCell ref="J24:K24"/>
    <mergeCell ref="M24:N24"/>
    <mergeCell ref="B21:C21"/>
    <mergeCell ref="B22:C22"/>
    <mergeCell ref="D22:E22"/>
    <mergeCell ref="G22:H22"/>
    <mergeCell ref="J22:K22"/>
    <mergeCell ref="M22:N22"/>
    <mergeCell ref="B2:O2"/>
    <mergeCell ref="D3:F3"/>
    <mergeCell ref="G3:I3"/>
    <mergeCell ref="J3:L3"/>
    <mergeCell ref="M3:O3"/>
    <mergeCell ref="D4:F4"/>
    <mergeCell ref="G4:I4"/>
    <mergeCell ref="J4:L4"/>
    <mergeCell ref="M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20"/>
  <sheetViews>
    <sheetView zoomScale="75" zoomScaleNormal="75" workbookViewId="0"/>
  </sheetViews>
  <sheetFormatPr defaultRowHeight="14.5" x14ac:dyDescent="0.35"/>
  <cols>
    <col min="3" max="3" width="10.54296875" customWidth="1"/>
    <col min="4" max="4" width="11.08984375" customWidth="1"/>
    <col min="5" max="5" width="12.7265625" customWidth="1"/>
    <col min="6" max="6" width="10.1796875" customWidth="1"/>
    <col min="7" max="7" width="10.08984375" customWidth="1"/>
    <col min="8" max="8" width="16.1796875" customWidth="1"/>
    <col min="9" max="9" width="9.26953125" customWidth="1"/>
    <col min="10" max="10" width="9.453125" customWidth="1"/>
    <col min="11" max="11" width="10.54296875" customWidth="1"/>
    <col min="12" max="12" width="11.1796875" customWidth="1"/>
  </cols>
  <sheetData>
    <row r="1" spans="2:45" ht="15" thickBot="1" x14ac:dyDescent="0.4"/>
    <row r="2" spans="2:45" ht="43.5" x14ac:dyDescent="0.35">
      <c r="C2" s="108" t="s">
        <v>113</v>
      </c>
      <c r="D2" s="109" t="s">
        <v>114</v>
      </c>
      <c r="E2" s="109" t="s">
        <v>57</v>
      </c>
      <c r="F2" s="110" t="s">
        <v>58</v>
      </c>
      <c r="G2" s="109" t="s">
        <v>59</v>
      </c>
      <c r="H2" s="110" t="s">
        <v>119</v>
      </c>
      <c r="I2" s="110" t="s">
        <v>60</v>
      </c>
      <c r="J2" s="110" t="s">
        <v>61</v>
      </c>
      <c r="K2" s="109" t="s">
        <v>115</v>
      </c>
      <c r="L2" s="109" t="s">
        <v>62</v>
      </c>
      <c r="M2" s="110" t="s">
        <v>63</v>
      </c>
      <c r="N2" s="110" t="s">
        <v>64</v>
      </c>
      <c r="O2" s="110" t="s">
        <v>65</v>
      </c>
      <c r="P2" s="110" t="s">
        <v>120</v>
      </c>
      <c r="Q2" s="131" t="s">
        <v>121</v>
      </c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</row>
    <row r="3" spans="2:45" x14ac:dyDescent="0.35">
      <c r="C3" s="63">
        <v>1</v>
      </c>
      <c r="D3" s="103">
        <v>1.1000000000000001</v>
      </c>
      <c r="E3" s="103">
        <f>'WL1'!N24</f>
        <v>420.73739284500016</v>
      </c>
      <c r="F3" s="103">
        <f>'WL1'!N26</f>
        <v>0.93205317940532373</v>
      </c>
      <c r="G3" s="103">
        <f>'WL1'!N23</f>
        <v>1.4688783547774309</v>
      </c>
      <c r="H3" s="103">
        <f>'LCF &amp; BML'!H24</f>
        <v>6.6132971846666679</v>
      </c>
      <c r="I3" s="103">
        <f>BMT!F25</f>
        <v>13.230133228173537</v>
      </c>
      <c r="J3" s="103">
        <f>'LCF &amp; BML'!H28</f>
        <v>589.31729386977861</v>
      </c>
      <c r="K3" s="103">
        <f>'LCF &amp; BML'!H25</f>
        <v>1.4141028218656571</v>
      </c>
      <c r="L3" s="103">
        <f>'LCF &amp; BML'!H32</f>
        <v>33.326320131887286</v>
      </c>
      <c r="M3" s="112">
        <v>0.72199999999999998</v>
      </c>
      <c r="N3" s="112">
        <v>0.78700000000000003</v>
      </c>
      <c r="O3" s="112">
        <f>M3/N3</f>
        <v>0.917407878017789</v>
      </c>
      <c r="P3" s="112">
        <f>J3+G3</f>
        <v>590.78617222455603</v>
      </c>
      <c r="Q3" s="113">
        <f>I3+F3</f>
        <v>14.162186407578861</v>
      </c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</row>
    <row r="4" spans="2:45" x14ac:dyDescent="0.35">
      <c r="C4" s="63">
        <v>2</v>
      </c>
      <c r="D4" s="103">
        <f>D3*2</f>
        <v>2.2000000000000002</v>
      </c>
      <c r="E4" s="103">
        <f>'WL2'!N24</f>
        <v>1226.9011898733336</v>
      </c>
      <c r="F4" s="103">
        <f>'WL2'!N26</f>
        <v>1.3303739144336679</v>
      </c>
      <c r="G4" s="103">
        <f>'WL2'!N23</f>
        <v>1.3389668122204934</v>
      </c>
      <c r="H4" s="103">
        <f>'LCF &amp; BML'!L24</f>
        <v>7.0077528033333341</v>
      </c>
      <c r="I4" s="103">
        <f>BMT!I25</f>
        <v>5.1492986936341136</v>
      </c>
      <c r="J4" s="103">
        <f>'LCF &amp; BML'!L28</f>
        <v>227.12076693493992</v>
      </c>
      <c r="K4" s="103">
        <f>'LCF &amp; BML'!L25</f>
        <v>1.0553399349613002</v>
      </c>
      <c r="L4" s="103">
        <f>'LCF &amp; BML'!L32</f>
        <v>37.453593978148099</v>
      </c>
      <c r="M4" s="112">
        <v>0.76500000000000001</v>
      </c>
      <c r="N4" s="112">
        <v>0.80600000000000005</v>
      </c>
      <c r="O4" s="112">
        <f t="shared" ref="O4:O6" si="0">M4/N4</f>
        <v>0.94913151364764259</v>
      </c>
      <c r="P4" s="112">
        <f>J4+G4</f>
        <v>228.45973374716041</v>
      </c>
      <c r="Q4" s="113">
        <f t="shared" ref="Q4:Q6" si="1">I4+F4</f>
        <v>6.4796726080677818</v>
      </c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</row>
    <row r="5" spans="2:45" x14ac:dyDescent="0.35">
      <c r="C5" s="63">
        <v>3</v>
      </c>
      <c r="D5" s="103">
        <f>D3*3</f>
        <v>3.3000000000000003</v>
      </c>
      <c r="E5" s="103">
        <f>'WL3'!P24</f>
        <v>1996.5901651850004</v>
      </c>
      <c r="F5" s="103">
        <f>'WL3'!P26</f>
        <v>1.9204477228685375</v>
      </c>
      <c r="G5" s="103">
        <f>'WL3'!P23</f>
        <v>0.86119839644199569</v>
      </c>
      <c r="H5" s="103">
        <f>'LCF &amp; BML'!P24</f>
        <v>7.5390358586666659</v>
      </c>
      <c r="I5" s="103">
        <f>BMT!L25</f>
        <v>3.3739340338190855</v>
      </c>
      <c r="J5" s="103">
        <f>'LCF &amp; BML'!P28</f>
        <v>173.22872319248853</v>
      </c>
      <c r="K5" s="103">
        <f>'LCF &amp; BML'!P25</f>
        <v>-1.1352175716868944</v>
      </c>
      <c r="L5" s="103">
        <f>'LCF &amp; BML'!P32</f>
        <v>46.487468421193192</v>
      </c>
      <c r="M5" s="112">
        <v>0.77900000000000003</v>
      </c>
      <c r="N5" s="112">
        <v>0.80800000000000005</v>
      </c>
      <c r="O5" s="112">
        <f t="shared" si="0"/>
        <v>0.96410891089108908</v>
      </c>
      <c r="P5" s="112">
        <f t="shared" ref="P5:P6" si="2">J5+G5</f>
        <v>174.08992158893054</v>
      </c>
      <c r="Q5" s="113">
        <f t="shared" si="1"/>
        <v>5.2943817566876232</v>
      </c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</row>
    <row r="6" spans="2:45" x14ac:dyDescent="0.35">
      <c r="C6" s="63">
        <v>4</v>
      </c>
      <c r="D6" s="103">
        <f>D3*4</f>
        <v>4.4000000000000004</v>
      </c>
      <c r="E6" s="103">
        <f>'WL4'!R24</f>
        <v>2993.1282890911116</v>
      </c>
      <c r="F6" s="103">
        <f>'WL4'!R26</f>
        <v>2.467157142219897</v>
      </c>
      <c r="G6" s="103">
        <f>'WL4'!R23</f>
        <v>-0.27368107634432021</v>
      </c>
      <c r="H6" s="103">
        <f>'LCF &amp; BML'!T24</f>
        <v>7.7506093326666674</v>
      </c>
      <c r="I6" s="103">
        <f>BMT!O25</f>
        <v>2.3387829032936143</v>
      </c>
      <c r="J6" s="103">
        <f>'LCF &amp; BML'!T28</f>
        <v>124.68536729264984</v>
      </c>
      <c r="K6" s="103">
        <f>'LCF &amp; BML'!T25</f>
        <v>-1.78397023784745</v>
      </c>
      <c r="L6" s="103">
        <f>'LCF &amp; BML'!T32</f>
        <v>50.161196247223906</v>
      </c>
      <c r="M6" s="112">
        <v>0.78400000000000003</v>
      </c>
      <c r="N6" s="112">
        <v>0.80600000000000005</v>
      </c>
      <c r="O6" s="112">
        <f t="shared" si="0"/>
        <v>0.97270471464019848</v>
      </c>
      <c r="P6" s="112">
        <f t="shared" si="2"/>
        <v>124.41168621630553</v>
      </c>
      <c r="Q6" s="113">
        <f t="shared" si="1"/>
        <v>4.8059400455135108</v>
      </c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</row>
    <row r="7" spans="2:45" x14ac:dyDescent="0.35">
      <c r="B7" s="114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</row>
    <row r="8" spans="2:45" x14ac:dyDescent="0.35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</row>
    <row r="9" spans="2:45" x14ac:dyDescent="0.35"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</row>
    <row r="10" spans="2:45" x14ac:dyDescent="0.35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</row>
    <row r="11" spans="2:45" x14ac:dyDescent="0.35"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</row>
    <row r="12" spans="2:45" x14ac:dyDescent="0.35">
      <c r="B12" s="111"/>
      <c r="C12" s="122" t="s">
        <v>66</v>
      </c>
      <c r="D12" s="122"/>
      <c r="E12" s="111"/>
      <c r="F12" s="111"/>
      <c r="G12" s="111"/>
      <c r="H12" s="111"/>
      <c r="I12" s="111"/>
      <c r="J12" s="111"/>
      <c r="K12" s="111"/>
      <c r="L12" s="124" t="s">
        <v>35</v>
      </c>
      <c r="M12" s="124"/>
      <c r="N12" s="111"/>
      <c r="O12" s="111"/>
      <c r="P12" s="111"/>
      <c r="Q12" s="111"/>
      <c r="R12" s="111"/>
      <c r="S12" s="123" t="s">
        <v>34</v>
      </c>
      <c r="T12" s="123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</row>
    <row r="13" spans="2:45" x14ac:dyDescent="0.35">
      <c r="B13" s="111"/>
      <c r="C13" s="103">
        <v>420.73700000000002</v>
      </c>
      <c r="D13" s="103">
        <v>1.1000000000000001</v>
      </c>
      <c r="E13" s="111"/>
      <c r="F13" s="111"/>
      <c r="G13" s="111"/>
      <c r="H13" s="111"/>
      <c r="I13" s="111"/>
      <c r="J13" s="111"/>
      <c r="K13" s="111"/>
      <c r="L13" s="103">
        <v>0.93200000000000005</v>
      </c>
      <c r="M13" s="103">
        <v>1.1000000000000001</v>
      </c>
      <c r="N13" s="111"/>
      <c r="O13" s="111"/>
      <c r="P13" s="111"/>
      <c r="Q13" s="111"/>
      <c r="R13" s="111"/>
      <c r="S13" s="111">
        <v>1.4690000000000001</v>
      </c>
      <c r="T13" s="103">
        <v>1.1000000000000001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</row>
    <row r="14" spans="2:45" x14ac:dyDescent="0.35">
      <c r="B14" s="111"/>
      <c r="C14" s="103">
        <v>1226.9010000000001</v>
      </c>
      <c r="D14" s="103">
        <f>D13*2</f>
        <v>2.2000000000000002</v>
      </c>
      <c r="E14" s="111"/>
      <c r="F14" s="111"/>
      <c r="G14" s="111"/>
      <c r="H14" s="111"/>
      <c r="I14" s="111"/>
      <c r="J14" s="111"/>
      <c r="K14" s="111"/>
      <c r="L14" s="103">
        <v>1.33</v>
      </c>
      <c r="M14" s="103">
        <f>M13*2</f>
        <v>2.2000000000000002</v>
      </c>
      <c r="N14" s="111"/>
      <c r="O14" s="111"/>
      <c r="P14" s="111"/>
      <c r="Q14" s="111"/>
      <c r="R14" s="111"/>
      <c r="S14" s="111">
        <v>1.339</v>
      </c>
      <c r="T14" s="103">
        <f>T13*2</f>
        <v>2.2000000000000002</v>
      </c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</row>
    <row r="15" spans="2:45" x14ac:dyDescent="0.35">
      <c r="B15" s="111"/>
      <c r="C15" s="103">
        <v>1996.59</v>
      </c>
      <c r="D15" s="103">
        <f>D13*3</f>
        <v>3.3000000000000003</v>
      </c>
      <c r="E15" s="111"/>
      <c r="F15" s="111"/>
      <c r="G15" s="111"/>
      <c r="H15" s="111"/>
      <c r="I15" s="111"/>
      <c r="J15" s="111"/>
      <c r="K15" s="111"/>
      <c r="L15" s="103">
        <v>1.92</v>
      </c>
      <c r="M15" s="103">
        <f>M13*3</f>
        <v>3.3000000000000003</v>
      </c>
      <c r="N15" s="111"/>
      <c r="O15" s="111"/>
      <c r="P15" s="111"/>
      <c r="Q15" s="111"/>
      <c r="R15" s="111"/>
      <c r="S15" s="111">
        <v>0.86099999999999999</v>
      </c>
      <c r="T15" s="103">
        <f>T13*3</f>
        <v>3.3000000000000003</v>
      </c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</row>
    <row r="16" spans="2:45" x14ac:dyDescent="0.35">
      <c r="B16" s="111"/>
      <c r="C16" s="103">
        <v>2993.1280000000002</v>
      </c>
      <c r="D16" s="103">
        <f>D13*4</f>
        <v>4.4000000000000004</v>
      </c>
      <c r="E16" s="111"/>
      <c r="F16" s="111"/>
      <c r="G16" s="111"/>
      <c r="H16" s="111"/>
      <c r="I16" s="111"/>
      <c r="J16" s="111"/>
      <c r="K16" s="111"/>
      <c r="L16" s="103">
        <v>2.4670000000000001</v>
      </c>
      <c r="M16" s="103">
        <f>M13*4</f>
        <v>4.4000000000000004</v>
      </c>
      <c r="N16" s="111"/>
      <c r="O16" s="111"/>
      <c r="P16" s="111"/>
      <c r="Q16" s="111"/>
      <c r="R16" s="111"/>
      <c r="S16" s="111">
        <v>-0.27400000000000002</v>
      </c>
      <c r="T16" s="103">
        <f>T13*4</f>
        <v>4.4000000000000004</v>
      </c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</row>
    <row r="17" spans="2:44" x14ac:dyDescent="0.35">
      <c r="B17" s="111"/>
      <c r="C17" s="115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</row>
    <row r="18" spans="2:44" x14ac:dyDescent="0.35"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</row>
    <row r="19" spans="2:44" x14ac:dyDescent="0.35"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</row>
    <row r="20" spans="2:44" x14ac:dyDescent="0.35"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</row>
    <row r="21" spans="2:44" x14ac:dyDescent="0.35"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</row>
    <row r="22" spans="2:44" x14ac:dyDescent="0.35"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</row>
    <row r="23" spans="2:44" x14ac:dyDescent="0.35"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</row>
    <row r="24" spans="2:44" x14ac:dyDescent="0.35"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</row>
    <row r="25" spans="2:44" x14ac:dyDescent="0.35"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</row>
    <row r="26" spans="2:44" x14ac:dyDescent="0.35"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</row>
    <row r="27" spans="2:44" x14ac:dyDescent="0.35"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</row>
    <row r="28" spans="2:44" x14ac:dyDescent="0.35"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</row>
    <row r="29" spans="2:44" x14ac:dyDescent="0.35"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</row>
    <row r="30" spans="2:44" x14ac:dyDescent="0.35"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</row>
    <row r="31" spans="2:44" x14ac:dyDescent="0.35"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</row>
    <row r="32" spans="2:44" x14ac:dyDescent="0.35"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</row>
    <row r="33" spans="2:44" x14ac:dyDescent="0.35"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</row>
    <row r="34" spans="2:44" x14ac:dyDescent="0.35"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</row>
    <row r="35" spans="2:44" x14ac:dyDescent="0.35"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</row>
    <row r="36" spans="2:44" x14ac:dyDescent="0.35"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</row>
    <row r="37" spans="2:44" x14ac:dyDescent="0.35"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</row>
    <row r="38" spans="2:44" x14ac:dyDescent="0.35"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</row>
    <row r="39" spans="2:44" x14ac:dyDescent="0.35"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</row>
    <row r="40" spans="2:44" x14ac:dyDescent="0.35">
      <c r="B40" s="123" t="s">
        <v>45</v>
      </c>
      <c r="C40" s="123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23" t="s">
        <v>67</v>
      </c>
      <c r="O40" s="123"/>
      <c r="P40" s="111"/>
      <c r="Q40" s="111"/>
      <c r="R40" s="111"/>
      <c r="S40" s="111"/>
      <c r="T40" s="111"/>
      <c r="U40" s="111"/>
      <c r="V40" s="123" t="s">
        <v>68</v>
      </c>
      <c r="W40" s="123"/>
      <c r="X40" s="111"/>
      <c r="Y40" s="111"/>
      <c r="Z40" s="111"/>
      <c r="AA40" s="111"/>
      <c r="AB40" s="111"/>
      <c r="AC40" s="111"/>
      <c r="AD40" s="123" t="s">
        <v>63</v>
      </c>
      <c r="AE40" s="123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</row>
    <row r="41" spans="2:44" x14ac:dyDescent="0.35">
      <c r="B41" s="103">
        <v>6.6130000000000004</v>
      </c>
      <c r="C41" s="103">
        <v>1.1000000000000001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>
        <v>1.4139999999999999</v>
      </c>
      <c r="O41" s="103">
        <v>1.1000000000000001</v>
      </c>
      <c r="P41" s="111"/>
      <c r="Q41" s="111"/>
      <c r="R41" s="111"/>
      <c r="S41" s="111"/>
      <c r="T41" s="111"/>
      <c r="U41" s="111"/>
      <c r="V41" s="103">
        <v>33.326000000000001</v>
      </c>
      <c r="W41" s="103">
        <v>1.1000000000000001</v>
      </c>
      <c r="X41" s="111"/>
      <c r="Y41" s="111"/>
      <c r="Z41" s="111"/>
      <c r="AA41" s="111"/>
      <c r="AB41" s="111"/>
      <c r="AC41" s="111"/>
      <c r="AD41" s="111">
        <v>0.72199999999999998</v>
      </c>
      <c r="AE41" s="103">
        <v>1.1000000000000001</v>
      </c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</row>
    <row r="42" spans="2:44" x14ac:dyDescent="0.35">
      <c r="B42" s="103">
        <v>7.008</v>
      </c>
      <c r="C42" s="103">
        <f>C41*2</f>
        <v>2.2000000000000002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>
        <v>1.0549999999999999</v>
      </c>
      <c r="O42" s="103">
        <f>O41*2</f>
        <v>2.2000000000000002</v>
      </c>
      <c r="P42" s="111"/>
      <c r="Q42" s="111"/>
      <c r="R42" s="111"/>
      <c r="S42" s="111"/>
      <c r="T42" s="111"/>
      <c r="U42" s="111"/>
      <c r="V42" s="103">
        <v>37.454000000000001</v>
      </c>
      <c r="W42" s="103">
        <f>W41*2</f>
        <v>2.2000000000000002</v>
      </c>
      <c r="X42" s="111"/>
      <c r="Y42" s="111"/>
      <c r="Z42" s="111"/>
      <c r="AA42" s="111"/>
      <c r="AB42" s="111"/>
      <c r="AC42" s="111"/>
      <c r="AD42" s="111">
        <v>0.76500000000000001</v>
      </c>
      <c r="AE42" s="103">
        <f>AE41*2</f>
        <v>2.2000000000000002</v>
      </c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</row>
    <row r="43" spans="2:44" x14ac:dyDescent="0.35">
      <c r="B43" s="103">
        <v>7.5389999999999997</v>
      </c>
      <c r="C43" s="103">
        <f>C41*3</f>
        <v>3.3000000000000003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>
        <v>-1.135</v>
      </c>
      <c r="O43" s="103">
        <f>O41*3</f>
        <v>3.3000000000000003</v>
      </c>
      <c r="P43" s="111"/>
      <c r="Q43" s="111"/>
      <c r="R43" s="111"/>
      <c r="S43" s="111"/>
      <c r="T43" s="111"/>
      <c r="U43" s="111"/>
      <c r="V43" s="103">
        <v>46.487000000000002</v>
      </c>
      <c r="W43" s="103">
        <f>W41*3</f>
        <v>3.3000000000000003</v>
      </c>
      <c r="X43" s="111"/>
      <c r="Y43" s="111"/>
      <c r="Z43" s="111"/>
      <c r="AA43" s="111"/>
      <c r="AB43" s="111"/>
      <c r="AC43" s="111"/>
      <c r="AD43" s="111">
        <v>0.77900000000000003</v>
      </c>
      <c r="AE43" s="103">
        <f>AE41*3</f>
        <v>3.3000000000000003</v>
      </c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</row>
    <row r="44" spans="2:44" x14ac:dyDescent="0.35">
      <c r="B44" s="103">
        <v>7.7510000000000003</v>
      </c>
      <c r="C44" s="103">
        <f>C41*4</f>
        <v>4.4000000000000004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>
        <v>-1.784</v>
      </c>
      <c r="O44" s="103">
        <f>O41*4</f>
        <v>4.4000000000000004</v>
      </c>
      <c r="P44" s="111"/>
      <c r="Q44" s="111"/>
      <c r="R44" s="111"/>
      <c r="S44" s="111"/>
      <c r="T44" s="111"/>
      <c r="U44" s="111"/>
      <c r="V44" s="103">
        <v>50.161000000000001</v>
      </c>
      <c r="W44" s="103">
        <f>W41*4</f>
        <v>4.4000000000000004</v>
      </c>
      <c r="X44" s="111"/>
      <c r="Y44" s="111"/>
      <c r="Z44" s="111"/>
      <c r="AA44" s="111"/>
      <c r="AB44" s="111"/>
      <c r="AC44" s="111"/>
      <c r="AD44" s="111">
        <v>0.78400000000000003</v>
      </c>
      <c r="AE44" s="103">
        <f>AE41*4</f>
        <v>4.4000000000000004</v>
      </c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</row>
    <row r="45" spans="2:44" x14ac:dyDescent="0.35"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</row>
    <row r="46" spans="2:44" x14ac:dyDescent="0.35"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</row>
    <row r="47" spans="2:44" x14ac:dyDescent="0.35"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</row>
    <row r="48" spans="2:44" x14ac:dyDescent="0.35"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</row>
    <row r="49" spans="2:44" x14ac:dyDescent="0.35"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</row>
    <row r="50" spans="2:44" x14ac:dyDescent="0.35"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</row>
    <row r="51" spans="2:44" x14ac:dyDescent="0.35"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</row>
    <row r="52" spans="2:44" x14ac:dyDescent="0.35"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</row>
    <row r="53" spans="2:44" x14ac:dyDescent="0.35"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</row>
    <row r="54" spans="2:44" x14ac:dyDescent="0.35"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</row>
    <row r="55" spans="2:44" x14ac:dyDescent="0.35"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</row>
    <row r="56" spans="2:44" x14ac:dyDescent="0.35"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</row>
    <row r="57" spans="2:44" x14ac:dyDescent="0.35"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</row>
    <row r="58" spans="2:44" x14ac:dyDescent="0.35"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</row>
    <row r="59" spans="2:44" x14ac:dyDescent="0.35"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</row>
    <row r="60" spans="2:44" x14ac:dyDescent="0.35"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</row>
    <row r="61" spans="2:44" x14ac:dyDescent="0.35"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</row>
    <row r="62" spans="2:44" x14ac:dyDescent="0.35"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</row>
    <row r="63" spans="2:44" x14ac:dyDescent="0.35"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</row>
    <row r="64" spans="2:44" x14ac:dyDescent="0.35"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</row>
    <row r="65" spans="2:44" x14ac:dyDescent="0.35">
      <c r="B65" s="123" t="s">
        <v>64</v>
      </c>
      <c r="C65" s="123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</row>
    <row r="66" spans="2:44" x14ac:dyDescent="0.35">
      <c r="B66" s="111">
        <v>0.78700000000000003</v>
      </c>
      <c r="C66" s="103">
        <v>1.1000000000000001</v>
      </c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23" t="s">
        <v>65</v>
      </c>
      <c r="O66" s="123"/>
      <c r="P66" s="111"/>
      <c r="Q66" s="111"/>
      <c r="R66" s="111"/>
      <c r="S66" s="111"/>
      <c r="T66" s="111"/>
      <c r="U66" s="123" t="s">
        <v>118</v>
      </c>
      <c r="V66" s="123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</row>
    <row r="67" spans="2:44" x14ac:dyDescent="0.35">
      <c r="B67" s="111">
        <v>0.80600000000000005</v>
      </c>
      <c r="C67" s="103">
        <f>C66*2</f>
        <v>2.2000000000000002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>
        <v>0.917407878017789</v>
      </c>
      <c r="O67" s="103">
        <v>1.1000000000000001</v>
      </c>
      <c r="P67" s="111"/>
      <c r="Q67" s="111"/>
      <c r="R67" s="111"/>
      <c r="S67" s="111"/>
      <c r="T67" s="111"/>
      <c r="U67" s="111">
        <v>661.33</v>
      </c>
      <c r="V67" s="103">
        <v>1.1000000000000001</v>
      </c>
      <c r="W67" s="111"/>
      <c r="X67" s="111"/>
      <c r="Y67" s="111"/>
      <c r="Z67" s="111"/>
      <c r="AA67" s="111"/>
      <c r="AB67" s="111"/>
      <c r="AC67" s="123" t="s">
        <v>70</v>
      </c>
      <c r="AD67" s="123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</row>
    <row r="68" spans="2:44" x14ac:dyDescent="0.35">
      <c r="B68" s="111">
        <v>0.80800000000000005</v>
      </c>
      <c r="C68" s="103">
        <f>C66*3</f>
        <v>3.3000000000000003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>
        <v>0.94913151364764259</v>
      </c>
      <c r="O68" s="103">
        <f>O67*2</f>
        <v>2.2000000000000002</v>
      </c>
      <c r="P68" s="111"/>
      <c r="Q68" s="111"/>
      <c r="R68" s="111"/>
      <c r="S68" s="111"/>
      <c r="T68" s="111"/>
      <c r="U68" s="111">
        <v>700.77499999999998</v>
      </c>
      <c r="V68" s="103">
        <f>V67*2</f>
        <v>2.2000000000000002</v>
      </c>
      <c r="W68" s="111"/>
      <c r="X68" s="111"/>
      <c r="Y68" s="111"/>
      <c r="Z68" s="111"/>
      <c r="AA68" s="111"/>
      <c r="AB68" s="111"/>
      <c r="AC68" s="103">
        <v>13.23</v>
      </c>
      <c r="AD68" s="103">
        <v>1.1000000000000001</v>
      </c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</row>
    <row r="69" spans="2:44" x14ac:dyDescent="0.35">
      <c r="B69" s="111">
        <v>0.80900000000000005</v>
      </c>
      <c r="C69" s="103">
        <f>C66*4</f>
        <v>4.4000000000000004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>
        <v>0.96410891089108908</v>
      </c>
      <c r="O69" s="103">
        <f>O67*3</f>
        <v>3.3000000000000003</v>
      </c>
      <c r="P69" s="111"/>
      <c r="Q69" s="111"/>
      <c r="R69" s="111"/>
      <c r="S69" s="111"/>
      <c r="T69" s="111"/>
      <c r="U69" s="111">
        <v>753.904</v>
      </c>
      <c r="V69" s="103">
        <f>V67*3</f>
        <v>3.3000000000000003</v>
      </c>
      <c r="W69" s="111"/>
      <c r="X69" s="111"/>
      <c r="Y69" s="111"/>
      <c r="Z69" s="111"/>
      <c r="AA69" s="111"/>
      <c r="AB69" s="111"/>
      <c r="AC69" s="103">
        <v>5.149</v>
      </c>
      <c r="AD69" s="103">
        <f>AD68*2</f>
        <v>2.2000000000000002</v>
      </c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</row>
    <row r="70" spans="2:44" x14ac:dyDescent="0.35"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>
        <v>0.97270471464019848</v>
      </c>
      <c r="O70" s="103">
        <f>O67*4</f>
        <v>4.4000000000000004</v>
      </c>
      <c r="P70" s="111"/>
      <c r="Q70" s="111"/>
      <c r="R70" s="111"/>
      <c r="S70" s="111"/>
      <c r="T70" s="111"/>
      <c r="U70" s="111">
        <v>775.06100000000004</v>
      </c>
      <c r="V70" s="103">
        <f>V67*4</f>
        <v>4.4000000000000004</v>
      </c>
      <c r="W70" s="111"/>
      <c r="X70" s="111"/>
      <c r="Y70" s="111"/>
      <c r="Z70" s="111"/>
      <c r="AA70" s="111"/>
      <c r="AB70" s="111"/>
      <c r="AC70" s="103">
        <v>3.3740000000000001</v>
      </c>
      <c r="AD70" s="103">
        <f>AD68*3</f>
        <v>3.3000000000000003</v>
      </c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</row>
    <row r="71" spans="2:44" x14ac:dyDescent="0.35"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03">
        <v>2.339</v>
      </c>
      <c r="AD71" s="103">
        <f>AD68*4</f>
        <v>4.4000000000000004</v>
      </c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</row>
    <row r="72" spans="2:44" x14ac:dyDescent="0.35"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</row>
    <row r="73" spans="2:44" x14ac:dyDescent="0.35"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</row>
    <row r="74" spans="2:44" x14ac:dyDescent="0.35"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</row>
    <row r="75" spans="2:44" x14ac:dyDescent="0.35"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</row>
    <row r="76" spans="2:44" x14ac:dyDescent="0.35"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</row>
    <row r="77" spans="2:44" x14ac:dyDescent="0.35"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</row>
    <row r="78" spans="2:44" x14ac:dyDescent="0.35"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</row>
    <row r="79" spans="2:44" x14ac:dyDescent="0.35"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</row>
    <row r="80" spans="2:44" x14ac:dyDescent="0.35"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</row>
    <row r="81" spans="2:44" x14ac:dyDescent="0.35"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</row>
    <row r="82" spans="2:44" x14ac:dyDescent="0.35"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</row>
    <row r="83" spans="2:44" x14ac:dyDescent="0.35"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</row>
    <row r="84" spans="2:44" x14ac:dyDescent="0.35"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</row>
    <row r="85" spans="2:44" x14ac:dyDescent="0.35"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</row>
    <row r="86" spans="2:44" x14ac:dyDescent="0.35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</row>
    <row r="87" spans="2:44" x14ac:dyDescent="0.35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</row>
    <row r="88" spans="2:44" x14ac:dyDescent="0.35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</row>
    <row r="89" spans="2:44" x14ac:dyDescent="0.35"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</row>
    <row r="90" spans="2:44" x14ac:dyDescent="0.35"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</row>
    <row r="91" spans="2:44" x14ac:dyDescent="0.35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</row>
    <row r="92" spans="2:44" x14ac:dyDescent="0.35"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</row>
    <row r="93" spans="2:44" x14ac:dyDescent="0.35"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</row>
    <row r="94" spans="2:44" x14ac:dyDescent="0.35">
      <c r="B94" s="123" t="s">
        <v>71</v>
      </c>
      <c r="C94" s="123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</row>
    <row r="95" spans="2:44" x14ac:dyDescent="0.35">
      <c r="B95" s="111">
        <v>589.31700000000001</v>
      </c>
      <c r="C95" s="103">
        <v>1.1000000000000001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23" t="s">
        <v>116</v>
      </c>
      <c r="O95" s="123"/>
      <c r="P95" s="111"/>
      <c r="Q95" s="111"/>
      <c r="R95" s="111"/>
      <c r="S95" s="111"/>
      <c r="T95" s="111"/>
      <c r="U95" s="111"/>
      <c r="V95" s="111"/>
      <c r="W95" s="111"/>
      <c r="X95" s="111"/>
      <c r="Y95" s="123" t="s">
        <v>117</v>
      </c>
      <c r="Z95" s="123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</row>
    <row r="96" spans="2:44" x14ac:dyDescent="0.35">
      <c r="B96" s="111">
        <v>227.12100000000001</v>
      </c>
      <c r="C96" s="103">
        <f>C95*2</f>
        <v>2.2000000000000002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>
        <v>590.78599999999994</v>
      </c>
      <c r="O96" s="103">
        <v>1.1000000000000001</v>
      </c>
      <c r="P96" s="111"/>
      <c r="Q96" s="111"/>
      <c r="R96" s="111"/>
      <c r="S96" s="111"/>
      <c r="T96" s="111"/>
      <c r="U96" s="111"/>
      <c r="V96" s="111"/>
      <c r="W96" s="111"/>
      <c r="X96" s="111"/>
      <c r="Y96" s="111">
        <v>14.162000000000001</v>
      </c>
      <c r="Z96" s="103">
        <v>1.1000000000000001</v>
      </c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</row>
    <row r="97" spans="2:44" x14ac:dyDescent="0.35">
      <c r="B97" s="111">
        <v>173.22900000000001</v>
      </c>
      <c r="C97" s="103">
        <f>C95*3</f>
        <v>3.3000000000000003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>
        <v>228.46</v>
      </c>
      <c r="O97" s="103">
        <f>O96*2</f>
        <v>2.2000000000000002</v>
      </c>
      <c r="P97" s="111"/>
      <c r="Q97" s="111"/>
      <c r="R97" s="111"/>
      <c r="S97" s="111"/>
      <c r="T97" s="111"/>
      <c r="U97" s="111"/>
      <c r="V97" s="111"/>
      <c r="W97" s="111"/>
      <c r="X97" s="111"/>
      <c r="Y97" s="111">
        <v>6.48</v>
      </c>
      <c r="Z97" s="103">
        <f>Z96*2</f>
        <v>2.2000000000000002</v>
      </c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</row>
    <row r="98" spans="2:44" x14ac:dyDescent="0.35">
      <c r="B98" s="111">
        <v>124.685</v>
      </c>
      <c r="C98" s="103">
        <f>C95*4</f>
        <v>4.4000000000000004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>
        <v>174.09</v>
      </c>
      <c r="O98" s="103">
        <f>O96*3</f>
        <v>3.3000000000000003</v>
      </c>
      <c r="P98" s="111"/>
      <c r="Q98" s="111"/>
      <c r="R98" s="111"/>
      <c r="S98" s="111"/>
      <c r="T98" s="111"/>
      <c r="U98" s="111"/>
      <c r="V98" s="111"/>
      <c r="W98" s="111"/>
      <c r="X98" s="111"/>
      <c r="Y98" s="111">
        <v>5.2939999999999996</v>
      </c>
      <c r="Z98" s="103">
        <f>Z96*3</f>
        <v>3.3000000000000003</v>
      </c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</row>
    <row r="99" spans="2:44" x14ac:dyDescent="0.35"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>
        <v>124.41200000000001</v>
      </c>
      <c r="O99" s="103">
        <f>O96*4</f>
        <v>4.4000000000000004</v>
      </c>
      <c r="P99" s="111"/>
      <c r="Q99" s="111"/>
      <c r="R99" s="111"/>
      <c r="S99" s="111"/>
      <c r="T99" s="111"/>
      <c r="U99" s="111"/>
      <c r="V99" s="111"/>
      <c r="W99" s="111"/>
      <c r="X99" s="111"/>
      <c r="Y99" s="111">
        <v>4.806</v>
      </c>
      <c r="Z99" s="103">
        <f>Z96*4</f>
        <v>4.4000000000000004</v>
      </c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</row>
    <row r="100" spans="2:44" x14ac:dyDescent="0.35"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</row>
    <row r="101" spans="2:44" x14ac:dyDescent="0.35"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</row>
    <row r="102" spans="2:44" x14ac:dyDescent="0.35"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</row>
    <row r="103" spans="2:44" x14ac:dyDescent="0.35"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</row>
    <row r="104" spans="2:44" x14ac:dyDescent="0.35"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</row>
    <row r="105" spans="2:44" x14ac:dyDescent="0.35"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</row>
    <row r="106" spans="2:44" x14ac:dyDescent="0.35"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</row>
    <row r="107" spans="2:44" x14ac:dyDescent="0.35"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</row>
    <row r="108" spans="2:44" x14ac:dyDescent="0.35"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</row>
    <row r="109" spans="2:44" x14ac:dyDescent="0.35"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</row>
    <row r="110" spans="2:44" x14ac:dyDescent="0.35"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</row>
    <row r="111" spans="2:44" x14ac:dyDescent="0.35"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</row>
    <row r="112" spans="2:44" x14ac:dyDescent="0.35"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</row>
    <row r="113" spans="2:44" x14ac:dyDescent="0.35"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</row>
    <row r="114" spans="2:44" x14ac:dyDescent="0.35"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</row>
    <row r="115" spans="2:44" x14ac:dyDescent="0.35"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</row>
    <row r="116" spans="2:44" x14ac:dyDescent="0.35"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</row>
    <row r="117" spans="2:44" x14ac:dyDescent="0.35"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</row>
    <row r="118" spans="2:44" x14ac:dyDescent="0.35"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</row>
    <row r="119" spans="2:44" x14ac:dyDescent="0.35"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</row>
    <row r="120" spans="2:44" x14ac:dyDescent="0.35"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</row>
  </sheetData>
  <mergeCells count="14">
    <mergeCell ref="N95:O95"/>
    <mergeCell ref="Y95:Z95"/>
    <mergeCell ref="AD40:AE40"/>
    <mergeCell ref="B65:C65"/>
    <mergeCell ref="N66:O66"/>
    <mergeCell ref="U66:V66"/>
    <mergeCell ref="AC67:AD67"/>
    <mergeCell ref="B94:C94"/>
    <mergeCell ref="C12:D12"/>
    <mergeCell ref="L12:M12"/>
    <mergeCell ref="S12:T12"/>
    <mergeCell ref="B40:C40"/>
    <mergeCell ref="N40:O40"/>
    <mergeCell ref="V40:W4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F52"/>
  <sheetViews>
    <sheetView zoomScale="62" zoomScaleNormal="62" workbookViewId="0">
      <selection activeCell="B1" sqref="B1"/>
    </sheetView>
  </sheetViews>
  <sheetFormatPr defaultRowHeight="14.5" x14ac:dyDescent="0.35"/>
  <cols>
    <col min="5" max="5" width="12.54296875" customWidth="1"/>
    <col min="6" max="6" width="24.54296875" customWidth="1"/>
    <col min="8" max="8" width="8.1796875" customWidth="1"/>
    <col min="9" max="9" width="16.08984375" customWidth="1"/>
    <col min="10" max="10" width="14.54296875" customWidth="1"/>
    <col min="11" max="11" width="8" customWidth="1"/>
    <col min="13" max="13" width="11.54296875" customWidth="1"/>
    <col min="14" max="14" width="17.1796875" customWidth="1"/>
    <col min="15" max="15" width="9.36328125" customWidth="1"/>
    <col min="16" max="16" width="13.90625" customWidth="1"/>
    <col min="17" max="17" width="10.90625" customWidth="1"/>
    <col min="27" max="27" width="11.08984375" customWidth="1"/>
  </cols>
  <sheetData>
    <row r="1" spans="5:32" s="12" customFormat="1" x14ac:dyDescent="0.35"/>
    <row r="2" spans="5:32" s="12" customFormat="1" x14ac:dyDescent="0.35"/>
    <row r="3" spans="5:32" s="12" customFormat="1" x14ac:dyDescent="0.35"/>
    <row r="4" spans="5:32" s="12" customFormat="1" x14ac:dyDescent="0.35"/>
    <row r="5" spans="5:32" s="128" customFormat="1" x14ac:dyDescent="0.35">
      <c r="E5" s="128" t="s">
        <v>122</v>
      </c>
      <c r="F5" s="128" t="s">
        <v>128</v>
      </c>
      <c r="H5" s="128" t="s">
        <v>58</v>
      </c>
      <c r="I5" s="128" t="s">
        <v>119</v>
      </c>
      <c r="J5" s="128" t="s">
        <v>62</v>
      </c>
      <c r="K5" s="128" t="s">
        <v>69</v>
      </c>
      <c r="L5" s="128" t="s">
        <v>129</v>
      </c>
      <c r="N5" s="130" t="s">
        <v>131</v>
      </c>
      <c r="P5" s="130" t="s">
        <v>132</v>
      </c>
      <c r="R5" s="128" t="s">
        <v>63</v>
      </c>
      <c r="T5" s="128" t="s">
        <v>65</v>
      </c>
      <c r="V5" s="128" t="s">
        <v>64</v>
      </c>
      <c r="X5" s="128" t="s">
        <v>121</v>
      </c>
      <c r="Y5" s="128" t="s">
        <v>120</v>
      </c>
      <c r="AA5" s="128" t="s">
        <v>130</v>
      </c>
      <c r="AD5" s="126" t="s">
        <v>122</v>
      </c>
      <c r="AE5" s="126" t="s">
        <v>123</v>
      </c>
    </row>
    <row r="6" spans="5:32" s="16" customFormat="1" x14ac:dyDescent="0.35">
      <c r="E6" s="16" t="s">
        <v>124</v>
      </c>
      <c r="F6" s="128">
        <v>420.73700000000002</v>
      </c>
      <c r="G6" s="128">
        <f>F6/100</f>
        <v>4.2073700000000001</v>
      </c>
      <c r="H6" s="128">
        <v>0.93200000000000005</v>
      </c>
      <c r="I6" s="128">
        <v>6.6130000000000004</v>
      </c>
      <c r="J6" s="128">
        <v>33.326000000000001</v>
      </c>
      <c r="K6" s="128">
        <v>13.23</v>
      </c>
      <c r="L6" s="16">
        <v>589.31700000000001</v>
      </c>
      <c r="M6" s="128">
        <f>L6/10</f>
        <v>58.931699999999999</v>
      </c>
      <c r="N6" s="16">
        <v>1.4690000000000001</v>
      </c>
      <c r="O6" s="128">
        <f>N6+AE7</f>
        <v>38.669000000000004</v>
      </c>
      <c r="P6" s="16">
        <v>1.4139999999999999</v>
      </c>
      <c r="Q6" s="128">
        <f>P6+AE7</f>
        <v>38.614000000000004</v>
      </c>
      <c r="R6" s="16">
        <v>0.72199999999999998</v>
      </c>
      <c r="S6" s="128">
        <f>R6*10</f>
        <v>7.22</v>
      </c>
      <c r="T6" s="16">
        <v>0.91700000000000004</v>
      </c>
      <c r="U6" s="128">
        <f>T6*10</f>
        <v>9.17</v>
      </c>
      <c r="V6" s="16">
        <v>0.78700000000000003</v>
      </c>
      <c r="W6" s="128">
        <f>V6*10</f>
        <v>7.87</v>
      </c>
      <c r="X6" s="128">
        <v>14.162000000000001</v>
      </c>
      <c r="Y6" s="16">
        <v>590.78599999999994</v>
      </c>
      <c r="Z6" s="128">
        <f>Y6/10</f>
        <v>59.078599999999994</v>
      </c>
      <c r="AA6" s="111">
        <v>661.33</v>
      </c>
      <c r="AB6" s="128">
        <f>AA6/100</f>
        <v>6.6133000000000006</v>
      </c>
      <c r="AD6" s="129">
        <v>0</v>
      </c>
      <c r="AE6" s="129">
        <v>37.200000000000003</v>
      </c>
    </row>
    <row r="7" spans="5:32" s="16" customFormat="1" x14ac:dyDescent="0.35">
      <c r="E7" s="16" t="s">
        <v>125</v>
      </c>
      <c r="F7" s="128">
        <v>1226.9010000000001</v>
      </c>
      <c r="G7" s="128">
        <f t="shared" ref="G7:G9" si="0">F7/100</f>
        <v>12.269010000000002</v>
      </c>
      <c r="H7" s="128">
        <v>1.33</v>
      </c>
      <c r="I7" s="128">
        <v>7.008</v>
      </c>
      <c r="J7" s="128">
        <v>37.454000000000001</v>
      </c>
      <c r="K7" s="128">
        <v>5.149</v>
      </c>
      <c r="L7" s="16">
        <v>227.12100000000001</v>
      </c>
      <c r="M7" s="128">
        <f t="shared" ref="M7:M9" si="1">L7/10</f>
        <v>22.7121</v>
      </c>
      <c r="N7" s="16">
        <v>1.339</v>
      </c>
      <c r="O7" s="128">
        <f>N7+AE8</f>
        <v>38.539000000000001</v>
      </c>
      <c r="P7" s="16">
        <v>1.0549999999999999</v>
      </c>
      <c r="Q7" s="128">
        <f>P7+AE8</f>
        <v>38.255000000000003</v>
      </c>
      <c r="R7" s="16">
        <v>0.76500000000000001</v>
      </c>
      <c r="S7" s="128">
        <f t="shared" ref="S7:S9" si="2">R7*10</f>
        <v>7.65</v>
      </c>
      <c r="T7" s="16">
        <v>0.94899999999999995</v>
      </c>
      <c r="U7" s="128">
        <f t="shared" ref="U7:U9" si="3">T7*10</f>
        <v>9.49</v>
      </c>
      <c r="V7" s="16">
        <v>0.80600000000000005</v>
      </c>
      <c r="W7" s="128">
        <f t="shared" ref="W7:W9" si="4">V7*10</f>
        <v>8.06</v>
      </c>
      <c r="X7" s="128">
        <v>6.48</v>
      </c>
      <c r="Y7" s="16">
        <v>228.46</v>
      </c>
      <c r="Z7" s="128">
        <f t="shared" ref="Z7:Z9" si="5">Y7/10</f>
        <v>22.846</v>
      </c>
      <c r="AA7" s="111">
        <v>700.77499999999998</v>
      </c>
      <c r="AB7" s="128">
        <f t="shared" ref="AB7:AB9" si="6">AA7/100</f>
        <v>7.0077499999999997</v>
      </c>
      <c r="AD7" s="16">
        <v>1.1000000000000001</v>
      </c>
      <c r="AE7" s="127">
        <v>37.200000000000003</v>
      </c>
    </row>
    <row r="8" spans="5:32" s="16" customFormat="1" x14ac:dyDescent="0.35">
      <c r="E8" s="16" t="s">
        <v>126</v>
      </c>
      <c r="F8" s="128">
        <v>1996.59</v>
      </c>
      <c r="G8" s="128">
        <f t="shared" si="0"/>
        <v>19.965899999999998</v>
      </c>
      <c r="H8" s="128">
        <v>1.92</v>
      </c>
      <c r="I8" s="128">
        <v>7.5389999999999997</v>
      </c>
      <c r="J8" s="128">
        <v>46.487000000000002</v>
      </c>
      <c r="K8" s="128">
        <v>3.3740000000000001</v>
      </c>
      <c r="L8" s="16">
        <v>173.22900000000001</v>
      </c>
      <c r="M8" s="128">
        <f t="shared" si="1"/>
        <v>17.322900000000001</v>
      </c>
      <c r="N8" s="16">
        <v>0.86099999999999999</v>
      </c>
      <c r="O8" s="128">
        <f>N8+AE9</f>
        <v>38.061</v>
      </c>
      <c r="P8" s="16">
        <v>-1.135</v>
      </c>
      <c r="Q8" s="128">
        <f>P8+AE9</f>
        <v>36.065000000000005</v>
      </c>
      <c r="R8" s="16">
        <v>0.77900000000000003</v>
      </c>
      <c r="S8" s="128">
        <f t="shared" si="2"/>
        <v>7.79</v>
      </c>
      <c r="T8" s="16">
        <v>0.96399999999999997</v>
      </c>
      <c r="U8" s="128">
        <f t="shared" si="3"/>
        <v>9.64</v>
      </c>
      <c r="V8" s="16">
        <v>0.80800000000000005</v>
      </c>
      <c r="W8" s="128">
        <f t="shared" si="4"/>
        <v>8.08</v>
      </c>
      <c r="X8" s="128">
        <v>5.2939999999999996</v>
      </c>
      <c r="Y8" s="16">
        <v>174.09</v>
      </c>
      <c r="Z8" s="128">
        <f t="shared" si="5"/>
        <v>17.408999999999999</v>
      </c>
      <c r="AA8" s="111">
        <v>753.904</v>
      </c>
      <c r="AB8" s="128">
        <f t="shared" si="6"/>
        <v>7.53904</v>
      </c>
      <c r="AD8" s="16">
        <v>2.2000000000000002</v>
      </c>
      <c r="AE8" s="127">
        <v>37.200000000000003</v>
      </c>
    </row>
    <row r="9" spans="5:32" s="16" customFormat="1" x14ac:dyDescent="0.35">
      <c r="E9" s="16" t="s">
        <v>127</v>
      </c>
      <c r="F9" s="128">
        <v>2993.1280000000002</v>
      </c>
      <c r="G9" s="128">
        <f t="shared" si="0"/>
        <v>29.931280000000001</v>
      </c>
      <c r="H9" s="128">
        <v>2.4670000000000001</v>
      </c>
      <c r="I9" s="128">
        <v>7.7510000000000003</v>
      </c>
      <c r="J9" s="128">
        <v>50.161000000000001</v>
      </c>
      <c r="K9" s="128">
        <v>2.339</v>
      </c>
      <c r="L9" s="16">
        <v>124.685</v>
      </c>
      <c r="M9" s="128">
        <f t="shared" si="1"/>
        <v>12.468500000000001</v>
      </c>
      <c r="N9" s="16">
        <v>-0.27400000000000002</v>
      </c>
      <c r="O9" s="128">
        <f>N9+AE10</f>
        <v>36.926000000000002</v>
      </c>
      <c r="P9" s="16">
        <v>-1.784</v>
      </c>
      <c r="Q9" s="128">
        <f>P9+AE10</f>
        <v>35.416000000000004</v>
      </c>
      <c r="R9" s="16">
        <v>0.78400000000000003</v>
      </c>
      <c r="S9" s="128">
        <f t="shared" si="2"/>
        <v>7.84</v>
      </c>
      <c r="T9" s="16">
        <v>0.97299999999999998</v>
      </c>
      <c r="U9" s="128">
        <f t="shared" si="3"/>
        <v>9.73</v>
      </c>
      <c r="V9" s="16">
        <v>0.80600000000000005</v>
      </c>
      <c r="W9" s="128">
        <f t="shared" si="4"/>
        <v>8.06</v>
      </c>
      <c r="X9" s="128">
        <v>4.806</v>
      </c>
      <c r="Y9" s="16">
        <v>124.41200000000001</v>
      </c>
      <c r="Z9" s="128">
        <f t="shared" si="5"/>
        <v>12.4412</v>
      </c>
      <c r="AA9" s="111">
        <v>775.06100000000004</v>
      </c>
      <c r="AB9" s="128">
        <f t="shared" si="6"/>
        <v>7.75061</v>
      </c>
      <c r="AD9" s="16">
        <v>3.3</v>
      </c>
      <c r="AE9" s="127">
        <v>37.200000000000003</v>
      </c>
    </row>
    <row r="10" spans="5:32" s="12" customFormat="1" x14ac:dyDescent="0.35">
      <c r="AD10" s="16">
        <v>4.4000000000000004</v>
      </c>
      <c r="AE10" s="127">
        <v>37.200000000000003</v>
      </c>
      <c r="AF10" s="125"/>
    </row>
    <row r="11" spans="5:32" s="12" customFormat="1" x14ac:dyDescent="0.35"/>
    <row r="12" spans="5:32" s="12" customFormat="1" x14ac:dyDescent="0.35"/>
    <row r="13" spans="5:32" s="12" customFormat="1" x14ac:dyDescent="0.35"/>
    <row r="14" spans="5:32" s="12" customFormat="1" x14ac:dyDescent="0.35"/>
    <row r="15" spans="5:32" s="12" customFormat="1" x14ac:dyDescent="0.35"/>
    <row r="16" spans="5:32" s="12" customFormat="1" x14ac:dyDescent="0.35"/>
    <row r="17" s="12" customFormat="1" x14ac:dyDescent="0.35"/>
    <row r="18" s="12" customFormat="1" x14ac:dyDescent="0.35"/>
    <row r="19" s="12" customFormat="1" x14ac:dyDescent="0.35"/>
    <row r="20" s="12" customFormat="1" x14ac:dyDescent="0.35"/>
    <row r="21" s="12" customFormat="1" x14ac:dyDescent="0.35"/>
    <row r="22" s="12" customFormat="1" x14ac:dyDescent="0.35"/>
    <row r="23" s="12" customFormat="1" x14ac:dyDescent="0.35"/>
    <row r="24" s="12" customFormat="1" x14ac:dyDescent="0.35"/>
    <row r="25" s="12" customFormat="1" x14ac:dyDescent="0.35"/>
    <row r="26" s="12" customFormat="1" x14ac:dyDescent="0.35"/>
    <row r="27" s="12" customFormat="1" x14ac:dyDescent="0.35"/>
    <row r="28" s="12" customFormat="1" x14ac:dyDescent="0.35"/>
    <row r="29" s="12" customFormat="1" x14ac:dyDescent="0.35"/>
    <row r="30" s="12" customFormat="1" x14ac:dyDescent="0.35"/>
    <row r="31" s="12" customFormat="1" x14ac:dyDescent="0.35"/>
    <row r="32" s="12" customFormat="1" x14ac:dyDescent="0.35"/>
    <row r="33" s="12" customFormat="1" x14ac:dyDescent="0.35"/>
    <row r="34" s="12" customFormat="1" x14ac:dyDescent="0.35"/>
    <row r="35" s="12" customFormat="1" x14ac:dyDescent="0.35"/>
    <row r="36" s="12" customFormat="1" x14ac:dyDescent="0.35"/>
    <row r="37" s="12" customFormat="1" x14ac:dyDescent="0.35"/>
    <row r="38" s="12" customFormat="1" x14ac:dyDescent="0.35"/>
    <row r="39" s="12" customFormat="1" x14ac:dyDescent="0.35"/>
    <row r="40" s="12" customFormat="1" x14ac:dyDescent="0.35"/>
    <row r="41" s="12" customFormat="1" x14ac:dyDescent="0.35"/>
    <row r="42" s="12" customFormat="1" x14ac:dyDescent="0.35"/>
    <row r="43" s="12" customFormat="1" x14ac:dyDescent="0.35"/>
    <row r="44" s="12" customFormat="1" x14ac:dyDescent="0.35"/>
    <row r="45" s="12" customFormat="1" x14ac:dyDescent="0.35"/>
    <row r="46" s="12" customFormat="1" x14ac:dyDescent="0.35"/>
    <row r="47" s="12" customFormat="1" x14ac:dyDescent="0.35"/>
    <row r="48" s="12" customFormat="1" x14ac:dyDescent="0.35"/>
    <row r="49" spans="31:31" s="12" customFormat="1" x14ac:dyDescent="0.35"/>
    <row r="50" spans="31:31" s="12" customFormat="1" x14ac:dyDescent="0.35"/>
    <row r="51" spans="31:31" s="12" customFormat="1" x14ac:dyDescent="0.35"/>
    <row r="52" spans="31:31" s="12" customFormat="1" x14ac:dyDescent="0.35">
      <c r="AE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Offset Table</vt:lpstr>
      <vt:lpstr>WL1</vt:lpstr>
      <vt:lpstr>WL2</vt:lpstr>
      <vt:lpstr>WL3</vt:lpstr>
      <vt:lpstr>WL4</vt:lpstr>
      <vt:lpstr>LCF &amp; BML</vt:lpstr>
      <vt:lpstr>BMT</vt:lpstr>
      <vt:lpstr>Separated Hydrostatic Curves</vt:lpstr>
      <vt:lpstr>Merged Hydrostatic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2022-07-15T18:24:29Z</dcterms:modified>
</cp:coreProperties>
</file>