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8" i="1" l="1"/>
  <c r="F162" i="1" l="1"/>
  <c r="F155" i="1"/>
  <c r="F153" i="1"/>
  <c r="F145" i="1"/>
  <c r="F143" i="1"/>
  <c r="F111" i="1"/>
  <c r="G76" i="1"/>
  <c r="G71" i="1"/>
  <c r="F106" i="1"/>
  <c r="F107" i="1" s="1"/>
  <c r="F101" i="1"/>
  <c r="F102" i="1" s="1"/>
  <c r="F96" i="1"/>
  <c r="F97" i="1" s="1"/>
  <c r="F88" i="1"/>
  <c r="F89" i="1" s="1"/>
  <c r="F149" i="1" s="1"/>
  <c r="E82" i="1"/>
  <c r="E83" i="1" s="1"/>
  <c r="F147" i="1" s="1"/>
  <c r="H45" i="1"/>
  <c r="G42" i="1"/>
  <c r="G39" i="1"/>
  <c r="E35" i="1"/>
  <c r="E33" i="1"/>
  <c r="E31" i="1"/>
  <c r="E29" i="1"/>
  <c r="G182" i="1" l="1"/>
  <c r="F151" i="1"/>
  <c r="F158" i="1" s="1"/>
  <c r="F166" i="1"/>
  <c r="F169" i="1"/>
  <c r="F113" i="1"/>
  <c r="F121" i="1" s="1"/>
  <c r="F123" i="1" s="1"/>
  <c r="F126" i="1" s="1"/>
</calcChain>
</file>

<file path=xl/sharedStrings.xml><?xml version="1.0" encoding="utf-8"?>
<sst xmlns="http://schemas.openxmlformats.org/spreadsheetml/2006/main" count="178" uniqueCount="109">
  <si>
    <t>Project Requirements:</t>
  </si>
  <si>
    <t>Vessel Type:</t>
  </si>
  <si>
    <t>Capacity:</t>
  </si>
  <si>
    <t>Route:</t>
  </si>
  <si>
    <t>Route Distance:</t>
  </si>
  <si>
    <t>Bulk Carrier</t>
  </si>
  <si>
    <t>Dhaka-Chittagong (Inland)</t>
  </si>
  <si>
    <t>Service Speed:</t>
  </si>
  <si>
    <t>tonnes</t>
  </si>
  <si>
    <t>knots</t>
  </si>
  <si>
    <t>km</t>
  </si>
  <si>
    <t>m/s</t>
  </si>
  <si>
    <t>km/hr</t>
  </si>
  <si>
    <t>nautical miles</t>
  </si>
  <si>
    <t>Basis Ship Data:</t>
  </si>
  <si>
    <t>LOA</t>
  </si>
  <si>
    <t>LBP</t>
  </si>
  <si>
    <t>B mld.</t>
  </si>
  <si>
    <t>D mld.</t>
  </si>
  <si>
    <t>T</t>
  </si>
  <si>
    <t>Engine Power</t>
  </si>
  <si>
    <t>Service Speed</t>
  </si>
  <si>
    <t>Cb</t>
  </si>
  <si>
    <t>m</t>
  </si>
  <si>
    <t>kW</t>
  </si>
  <si>
    <t>522*2</t>
  </si>
  <si>
    <t>Cd</t>
  </si>
  <si>
    <t>(Coal Carrier, NAME Library)</t>
  </si>
  <si>
    <t>Calculation from Basis Ship:</t>
  </si>
  <si>
    <t>LOA/LBP</t>
  </si>
  <si>
    <t>LBP/B</t>
  </si>
  <si>
    <t>B/D</t>
  </si>
  <si>
    <t>B/T</t>
  </si>
  <si>
    <t>= 1–0.19*(V/√L)</t>
  </si>
  <si>
    <t>(C.B. Barrass, 1992)</t>
  </si>
  <si>
    <t>= LBP*B*T*Cb</t>
  </si>
  <si>
    <t>m^3</t>
  </si>
  <si>
    <t>(for inland water density of 1ton/m^3)</t>
  </si>
  <si>
    <t>∇</t>
  </si>
  <si>
    <t>DWT</t>
  </si>
  <si>
    <t>= ∇*Cd</t>
  </si>
  <si>
    <t xml:space="preserve">Admiralty Coefficient = </t>
  </si>
  <si>
    <t>kg/person</t>
  </si>
  <si>
    <t xml:space="preserve">Number of crew = </t>
  </si>
  <si>
    <t>Weight =</t>
  </si>
  <si>
    <t>kg</t>
  </si>
  <si>
    <t xml:space="preserve">Stores and Provisions = </t>
  </si>
  <si>
    <t>kg/person/day</t>
  </si>
  <si>
    <t xml:space="preserve">Weight = </t>
  </si>
  <si>
    <t xml:space="preserve">Fresh Water = </t>
  </si>
  <si>
    <t xml:space="preserve">Consumption for Crew = </t>
  </si>
  <si>
    <t xml:space="preserve">Bath &amp; Laundry = </t>
  </si>
  <si>
    <t xml:space="preserve">Cooking = </t>
  </si>
  <si>
    <t xml:space="preserve">Main Engine Cooling = </t>
  </si>
  <si>
    <t>g/kWh</t>
  </si>
  <si>
    <t xml:space="preserve">Total Fresh Water Needed = </t>
  </si>
  <si>
    <t>Basic Assumptions:</t>
  </si>
  <si>
    <t>Voyage Time</t>
  </si>
  <si>
    <t>hours</t>
  </si>
  <si>
    <t>Endurance</t>
  </si>
  <si>
    <t>days</t>
  </si>
  <si>
    <t>Safety Factor</t>
  </si>
  <si>
    <t>Engine Assumptions:</t>
  </si>
  <si>
    <t>Engine</t>
  </si>
  <si>
    <t>Model</t>
  </si>
  <si>
    <t>Power</t>
  </si>
  <si>
    <t>SFC</t>
  </si>
  <si>
    <t>Manning:</t>
  </si>
  <si>
    <t>(ISO 2001)</t>
  </si>
  <si>
    <t>Master</t>
  </si>
  <si>
    <t>(Class 1)</t>
  </si>
  <si>
    <t>(Class 2)</t>
  </si>
  <si>
    <t>Sailor</t>
  </si>
  <si>
    <t>Driver</t>
  </si>
  <si>
    <t>Total Crew:</t>
  </si>
  <si>
    <t>Weichai Marine Engines</t>
  </si>
  <si>
    <t>8M26C650-18</t>
  </si>
  <si>
    <t>2x650</t>
  </si>
  <si>
    <t>HP</t>
  </si>
  <si>
    <t>(twin screw propulsion)</t>
  </si>
  <si>
    <t xml:space="preserve">Fuel Consumption = </t>
  </si>
  <si>
    <t>Engine Power x SFOC x Constant oil addition factor x Time</t>
  </si>
  <si>
    <t xml:space="preserve">Lubricating Oil Weight = </t>
  </si>
  <si>
    <t>Engine Power x SLOC x Constant oil addition factor x Time</t>
  </si>
  <si>
    <t xml:space="preserve">Weight of Crew = </t>
  </si>
  <si>
    <t>Miscellaneous Weight =</t>
  </si>
  <si>
    <t xml:space="preserve">Bulk Capacity = </t>
  </si>
  <si>
    <t>Deadweight =</t>
  </si>
  <si>
    <t>Deadweight Assumptions:</t>
  </si>
  <si>
    <t xml:space="preserve">Total Displacement = </t>
  </si>
  <si>
    <t xml:space="preserve">Power Needed = </t>
  </si>
  <si>
    <t>(∆^(2/3)∗V^3)/(Ac)</t>
  </si>
  <si>
    <t>Thus, we need a slightly bigger engine than the one we've picked.</t>
  </si>
  <si>
    <t>New Engine Assumptions:</t>
  </si>
  <si>
    <t>8M26C750-18</t>
  </si>
  <si>
    <t>2x750</t>
  </si>
  <si>
    <t>New Deadweight Assumptions:</t>
  </si>
  <si>
    <t xml:space="preserve">Crew Weight = </t>
  </si>
  <si>
    <t xml:space="preserve">Miscellaneous Weight = </t>
  </si>
  <si>
    <t>(rounding off)</t>
  </si>
  <si>
    <t xml:space="preserve">Final Deadweight = </t>
  </si>
  <si>
    <t xml:space="preserve">Final Displacement = </t>
  </si>
  <si>
    <t xml:space="preserve">Final Power Needed = </t>
  </si>
  <si>
    <t xml:space="preserve">Final Lightweight = </t>
  </si>
  <si>
    <t>Particulars Calculations:</t>
  </si>
  <si>
    <t xml:space="preserve">LBP </t>
  </si>
  <si>
    <t>B</t>
  </si>
  <si>
    <t>D</t>
  </si>
  <si>
    <t>Geezer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</si>
</sst>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292100</xdr:colOff>
      <xdr:row>43</xdr:row>
      <xdr:rowOff>171450</xdr:rowOff>
    </xdr:from>
    <xdr:to>
      <xdr:col>6</xdr:col>
      <xdr:colOff>17862</xdr:colOff>
      <xdr:row>46</xdr:row>
      <xdr:rowOff>112819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500" y="8128000"/>
          <a:ext cx="944962" cy="493819"/>
        </a:xfrm>
        <a:prstGeom prst="rect">
          <a:avLst/>
        </a:prstGeom>
      </xdr:spPr>
    </xdr:pic>
    <xdr:clientData/>
  </xdr:twoCellAnchor>
  <xdr:twoCellAnchor editAs="oneCell">
    <xdr:from>
      <xdr:col>4</xdr:col>
      <xdr:colOff>166320</xdr:colOff>
      <xdr:row>176</xdr:row>
      <xdr:rowOff>133350</xdr:rowOff>
    </xdr:from>
    <xdr:to>
      <xdr:col>8</xdr:col>
      <xdr:colOff>354024</xdr:colOff>
      <xdr:row>178</xdr:row>
      <xdr:rowOff>151919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4720" y="32759650"/>
          <a:ext cx="2842004" cy="386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92"/>
  <sheetViews>
    <sheetView tabSelected="1" topLeftCell="A97" zoomScale="91" zoomScaleNormal="91" workbookViewId="0">
      <selection activeCell="H180" sqref="H180"/>
    </sheetView>
  </sheetViews>
  <sheetFormatPr defaultRowHeight="14.5" x14ac:dyDescent="0.35"/>
  <cols>
    <col min="7" max="7" width="11.81640625" bestFit="1" customWidth="1"/>
  </cols>
  <sheetData>
    <row r="3" spans="3:12" ht="15.5" x14ac:dyDescent="0.35">
      <c r="C3" s="2" t="s">
        <v>0</v>
      </c>
    </row>
    <row r="4" spans="3:12" x14ac:dyDescent="0.35">
      <c r="C4" s="1"/>
    </row>
    <row r="5" spans="3:12" x14ac:dyDescent="0.35">
      <c r="C5" t="s">
        <v>1</v>
      </c>
      <c r="E5" t="s">
        <v>5</v>
      </c>
    </row>
    <row r="6" spans="3:12" x14ac:dyDescent="0.35">
      <c r="C6" t="s">
        <v>2</v>
      </c>
      <c r="E6">
        <v>2300</v>
      </c>
      <c r="F6" t="s">
        <v>8</v>
      </c>
    </row>
    <row r="7" spans="3:12" x14ac:dyDescent="0.35">
      <c r="C7" t="s">
        <v>7</v>
      </c>
      <c r="E7">
        <v>10</v>
      </c>
      <c r="F7" t="s">
        <v>9</v>
      </c>
      <c r="I7">
        <v>5.14</v>
      </c>
      <c r="J7" t="s">
        <v>11</v>
      </c>
      <c r="K7">
        <v>18.52</v>
      </c>
      <c r="L7" t="s">
        <v>12</v>
      </c>
    </row>
    <row r="8" spans="3:12" x14ac:dyDescent="0.35">
      <c r="C8" t="s">
        <v>3</v>
      </c>
      <c r="E8" t="s">
        <v>6</v>
      </c>
    </row>
    <row r="9" spans="3:12" x14ac:dyDescent="0.35">
      <c r="C9" t="s">
        <v>4</v>
      </c>
      <c r="E9">
        <v>315</v>
      </c>
      <c r="F9" t="s">
        <v>10</v>
      </c>
      <c r="I9">
        <v>170.08600000000001</v>
      </c>
      <c r="J9" t="s">
        <v>13</v>
      </c>
    </row>
    <row r="13" spans="3:12" ht="15.5" x14ac:dyDescent="0.35">
      <c r="C13" s="2" t="s">
        <v>14</v>
      </c>
      <c r="E13" s="4" t="s">
        <v>27</v>
      </c>
    </row>
    <row r="15" spans="3:12" x14ac:dyDescent="0.35">
      <c r="C15" t="s">
        <v>15</v>
      </c>
      <c r="E15">
        <v>63.2</v>
      </c>
      <c r="F15" t="s">
        <v>23</v>
      </c>
    </row>
    <row r="16" spans="3:12" x14ac:dyDescent="0.35">
      <c r="C16" t="s">
        <v>16</v>
      </c>
      <c r="E16">
        <v>61.5</v>
      </c>
      <c r="F16" t="s">
        <v>23</v>
      </c>
    </row>
    <row r="17" spans="3:6" x14ac:dyDescent="0.35">
      <c r="C17" t="s">
        <v>17</v>
      </c>
      <c r="E17">
        <v>10.199999999999999</v>
      </c>
      <c r="F17" t="s">
        <v>23</v>
      </c>
    </row>
    <row r="18" spans="3:6" x14ac:dyDescent="0.35">
      <c r="C18" t="s">
        <v>18</v>
      </c>
      <c r="E18">
        <v>4.5999999999999996</v>
      </c>
      <c r="F18" t="s">
        <v>23</v>
      </c>
    </row>
    <row r="19" spans="3:6" x14ac:dyDescent="0.35">
      <c r="C19" t="s">
        <v>19</v>
      </c>
      <c r="E19">
        <v>3.5</v>
      </c>
      <c r="F19" t="s">
        <v>23</v>
      </c>
    </row>
    <row r="20" spans="3:6" x14ac:dyDescent="0.35">
      <c r="C20" t="s">
        <v>20</v>
      </c>
      <c r="E20" s="3" t="s">
        <v>25</v>
      </c>
      <c r="F20" t="s">
        <v>24</v>
      </c>
    </row>
    <row r="21" spans="3:6" x14ac:dyDescent="0.35">
      <c r="C21" t="s">
        <v>21</v>
      </c>
      <c r="E21">
        <v>10</v>
      </c>
      <c r="F21" t="s">
        <v>9</v>
      </c>
    </row>
    <row r="22" spans="3:6" x14ac:dyDescent="0.35">
      <c r="C22" t="s">
        <v>22</v>
      </c>
      <c r="E22">
        <v>0.79</v>
      </c>
    </row>
    <row r="23" spans="3:6" x14ac:dyDescent="0.35">
      <c r="C23" t="s">
        <v>26</v>
      </c>
      <c r="E23">
        <v>0.76</v>
      </c>
    </row>
    <row r="27" spans="3:6" ht="15.5" x14ac:dyDescent="0.35">
      <c r="C27" s="2" t="s">
        <v>28</v>
      </c>
    </row>
    <row r="29" spans="3:6" x14ac:dyDescent="0.35">
      <c r="C29" t="s">
        <v>29</v>
      </c>
      <c r="E29">
        <f>E15/E16</f>
        <v>1.0276422764227642</v>
      </c>
    </row>
    <row r="31" spans="3:6" x14ac:dyDescent="0.35">
      <c r="C31" t="s">
        <v>30</v>
      </c>
      <c r="E31">
        <f>E16/E17</f>
        <v>6.0294117647058831</v>
      </c>
    </row>
    <row r="33" spans="3:9" x14ac:dyDescent="0.35">
      <c r="C33" t="s">
        <v>31</v>
      </c>
      <c r="E33">
        <f>E17/E18</f>
        <v>2.2173913043478262</v>
      </c>
    </row>
    <row r="35" spans="3:9" x14ac:dyDescent="0.35">
      <c r="C35" t="s">
        <v>32</v>
      </c>
      <c r="E35">
        <f>E17/E19</f>
        <v>2.9142857142857141</v>
      </c>
    </row>
    <row r="37" spans="3:9" x14ac:dyDescent="0.35">
      <c r="C37" t="s">
        <v>22</v>
      </c>
      <c r="E37" s="5" t="s">
        <v>33</v>
      </c>
      <c r="G37">
        <v>0.79</v>
      </c>
      <c r="I37" s="6" t="s">
        <v>34</v>
      </c>
    </row>
    <row r="39" spans="3:9" x14ac:dyDescent="0.35">
      <c r="C39" t="s">
        <v>38</v>
      </c>
      <c r="E39" s="5" t="s">
        <v>35</v>
      </c>
      <c r="G39">
        <f>E16*E17*E19*G37</f>
        <v>1734.4844999999998</v>
      </c>
      <c r="H39" t="s">
        <v>36</v>
      </c>
    </row>
    <row r="40" spans="3:9" x14ac:dyDescent="0.35">
      <c r="G40">
        <v>1734.4849999999999</v>
      </c>
      <c r="H40" t="s">
        <v>8</v>
      </c>
      <c r="I40" s="6" t="s">
        <v>37</v>
      </c>
    </row>
    <row r="42" spans="3:9" x14ac:dyDescent="0.35">
      <c r="C42" t="s">
        <v>39</v>
      </c>
      <c r="E42" s="5" t="s">
        <v>40</v>
      </c>
      <c r="G42">
        <f xml:space="preserve"> G40*E23</f>
        <v>1318.2085999999999</v>
      </c>
      <c r="H42" t="s">
        <v>8</v>
      </c>
    </row>
    <row r="45" spans="3:9" x14ac:dyDescent="0.35">
      <c r="C45" t="s">
        <v>41</v>
      </c>
      <c r="H45">
        <f>((G40)^(2/3)*(E21)^(3))/(522*2*0.746)</f>
        <v>185.35645127200678</v>
      </c>
    </row>
    <row r="50" spans="3:14" ht="15.5" x14ac:dyDescent="0.35">
      <c r="C50" s="2" t="s">
        <v>56</v>
      </c>
      <c r="L50" s="2" t="s">
        <v>67</v>
      </c>
      <c r="N50" s="6" t="s">
        <v>68</v>
      </c>
    </row>
    <row r="52" spans="3:14" x14ac:dyDescent="0.35">
      <c r="C52" t="s">
        <v>57</v>
      </c>
      <c r="E52">
        <v>35</v>
      </c>
      <c r="F52" t="s">
        <v>58</v>
      </c>
      <c r="L52" t="s">
        <v>69</v>
      </c>
      <c r="M52" t="s">
        <v>70</v>
      </c>
      <c r="N52">
        <v>1</v>
      </c>
    </row>
    <row r="53" spans="3:14" x14ac:dyDescent="0.35">
      <c r="C53" t="s">
        <v>59</v>
      </c>
      <c r="E53">
        <v>3</v>
      </c>
      <c r="F53" t="s">
        <v>60</v>
      </c>
      <c r="M53" t="s">
        <v>71</v>
      </c>
      <c r="N53">
        <v>1</v>
      </c>
    </row>
    <row r="54" spans="3:14" x14ac:dyDescent="0.35">
      <c r="C54" t="s">
        <v>61</v>
      </c>
      <c r="E54">
        <v>1.25</v>
      </c>
      <c r="L54" t="s">
        <v>72</v>
      </c>
      <c r="N54">
        <v>8</v>
      </c>
    </row>
    <row r="55" spans="3:14" x14ac:dyDescent="0.35">
      <c r="L55" t="s">
        <v>73</v>
      </c>
      <c r="M55" t="s">
        <v>70</v>
      </c>
      <c r="N55">
        <v>1</v>
      </c>
    </row>
    <row r="56" spans="3:14" x14ac:dyDescent="0.35">
      <c r="M56" t="s">
        <v>71</v>
      </c>
      <c r="N56">
        <v>1</v>
      </c>
    </row>
    <row r="57" spans="3:14" x14ac:dyDescent="0.35">
      <c r="L57" t="s">
        <v>108</v>
      </c>
      <c r="N57">
        <v>3</v>
      </c>
    </row>
    <row r="58" spans="3:14" ht="15.5" x14ac:dyDescent="0.35">
      <c r="C58" s="2" t="s">
        <v>62</v>
      </c>
    </row>
    <row r="59" spans="3:14" x14ac:dyDescent="0.35">
      <c r="L59" t="s">
        <v>74</v>
      </c>
      <c r="N59">
        <v>15</v>
      </c>
    </row>
    <row r="60" spans="3:14" x14ac:dyDescent="0.35">
      <c r="C60" t="s">
        <v>63</v>
      </c>
      <c r="E60" t="s">
        <v>75</v>
      </c>
    </row>
    <row r="61" spans="3:14" x14ac:dyDescent="0.35">
      <c r="C61" t="s">
        <v>64</v>
      </c>
      <c r="E61" t="s">
        <v>76</v>
      </c>
    </row>
    <row r="62" spans="3:14" x14ac:dyDescent="0.35">
      <c r="C62" t="s">
        <v>65</v>
      </c>
      <c r="E62" t="s">
        <v>77</v>
      </c>
      <c r="F62" t="s">
        <v>78</v>
      </c>
      <c r="G62" s="6" t="s">
        <v>79</v>
      </c>
    </row>
    <row r="63" spans="3:14" x14ac:dyDescent="0.35">
      <c r="C63" t="s">
        <v>66</v>
      </c>
      <c r="E63">
        <v>213</v>
      </c>
      <c r="F63" t="s">
        <v>54</v>
      </c>
    </row>
    <row r="67" spans="3:8" ht="15.5" x14ac:dyDescent="0.35">
      <c r="C67" s="2" t="s">
        <v>88</v>
      </c>
    </row>
    <row r="68" spans="3:8" ht="15.5" x14ac:dyDescent="0.35">
      <c r="C68" s="2"/>
    </row>
    <row r="69" spans="3:8" x14ac:dyDescent="0.35">
      <c r="C69" s="1" t="s">
        <v>80</v>
      </c>
      <c r="G69" t="s">
        <v>81</v>
      </c>
    </row>
    <row r="70" spans="3:8" ht="15.5" x14ac:dyDescent="0.35">
      <c r="C70" s="2"/>
    </row>
    <row r="71" spans="3:8" ht="15.5" x14ac:dyDescent="0.35">
      <c r="C71" s="2"/>
      <c r="G71">
        <f xml:space="preserve"> (650*2*E63*1.5*0.746*E52)/1000000</f>
        <v>10.8447885</v>
      </c>
      <c r="H71" t="s">
        <v>8</v>
      </c>
    </row>
    <row r="72" spans="3:8" ht="15.5" x14ac:dyDescent="0.35">
      <c r="C72" s="2"/>
    </row>
    <row r="73" spans="3:8" ht="15.5" x14ac:dyDescent="0.35">
      <c r="C73" s="2"/>
    </row>
    <row r="74" spans="3:8" x14ac:dyDescent="0.35">
      <c r="C74" s="1" t="s">
        <v>82</v>
      </c>
      <c r="G74" t="s">
        <v>83</v>
      </c>
    </row>
    <row r="75" spans="3:8" ht="15.5" x14ac:dyDescent="0.35">
      <c r="C75" s="2"/>
    </row>
    <row r="76" spans="3:8" ht="15.5" x14ac:dyDescent="0.35">
      <c r="C76" s="2"/>
      <c r="G76">
        <f xml:space="preserve"> (650*2*1*1.5*0.746*E52)/1000000</f>
        <v>5.0914500000000001E-2</v>
      </c>
      <c r="H76" t="s">
        <v>8</v>
      </c>
    </row>
    <row r="77" spans="3:8" ht="15.5" x14ac:dyDescent="0.35">
      <c r="C77" s="2"/>
    </row>
    <row r="79" spans="3:8" s="1" customFormat="1" x14ac:dyDescent="0.35">
      <c r="C79" s="1" t="s">
        <v>84</v>
      </c>
      <c r="E79" s="7">
        <v>75</v>
      </c>
      <c r="F79" s="7" t="s">
        <v>42</v>
      </c>
    </row>
    <row r="80" spans="3:8" x14ac:dyDescent="0.35">
      <c r="C80" t="s">
        <v>43</v>
      </c>
      <c r="E80">
        <v>15</v>
      </c>
    </row>
    <row r="82" spans="3:7" x14ac:dyDescent="0.35">
      <c r="C82" t="s">
        <v>44</v>
      </c>
      <c r="E82">
        <f>E79*E80</f>
        <v>1125</v>
      </c>
      <c r="F82" t="s">
        <v>45</v>
      </c>
    </row>
    <row r="83" spans="3:7" x14ac:dyDescent="0.35">
      <c r="E83">
        <f>E82/1000</f>
        <v>1.125</v>
      </c>
      <c r="F83" t="s">
        <v>8</v>
      </c>
    </row>
    <row r="86" spans="3:7" s="1" customFormat="1" x14ac:dyDescent="0.35">
      <c r="C86" s="1" t="s">
        <v>46</v>
      </c>
      <c r="F86" s="7">
        <v>5</v>
      </c>
      <c r="G86" s="7" t="s">
        <v>47</v>
      </c>
    </row>
    <row r="88" spans="3:7" x14ac:dyDescent="0.35">
      <c r="C88" t="s">
        <v>48</v>
      </c>
      <c r="F88">
        <f>5*15*3*1.25</f>
        <v>281.25</v>
      </c>
      <c r="G88" t="s">
        <v>45</v>
      </c>
    </row>
    <row r="89" spans="3:7" x14ac:dyDescent="0.35">
      <c r="F89">
        <f>F88/1000</f>
        <v>0.28125</v>
      </c>
      <c r="G89" t="s">
        <v>8</v>
      </c>
    </row>
    <row r="92" spans="3:7" x14ac:dyDescent="0.35">
      <c r="C92" s="1" t="s">
        <v>49</v>
      </c>
    </row>
    <row r="94" spans="3:7" x14ac:dyDescent="0.35">
      <c r="C94" t="s">
        <v>50</v>
      </c>
      <c r="F94">
        <v>20</v>
      </c>
      <c r="G94" t="s">
        <v>47</v>
      </c>
    </row>
    <row r="96" spans="3:7" x14ac:dyDescent="0.35">
      <c r="F96">
        <f>20*15*3*1.25</f>
        <v>1125</v>
      </c>
      <c r="G96" t="s">
        <v>45</v>
      </c>
    </row>
    <row r="97" spans="3:7" x14ac:dyDescent="0.35">
      <c r="F97">
        <f>F96/1000</f>
        <v>1.125</v>
      </c>
      <c r="G97" t="s">
        <v>8</v>
      </c>
    </row>
    <row r="99" spans="3:7" x14ac:dyDescent="0.35">
      <c r="C99" t="s">
        <v>51</v>
      </c>
      <c r="F99">
        <v>200</v>
      </c>
      <c r="G99" t="s">
        <v>47</v>
      </c>
    </row>
    <row r="101" spans="3:7" x14ac:dyDescent="0.35">
      <c r="F101">
        <f xml:space="preserve"> 200*15*3*1.25</f>
        <v>11250</v>
      </c>
      <c r="G101" t="s">
        <v>45</v>
      </c>
    </row>
    <row r="102" spans="3:7" x14ac:dyDescent="0.35">
      <c r="F102">
        <f>F101/1000</f>
        <v>11.25</v>
      </c>
      <c r="G102" t="s">
        <v>8</v>
      </c>
    </row>
    <row r="104" spans="3:7" x14ac:dyDescent="0.35">
      <c r="C104" t="s">
        <v>52</v>
      </c>
      <c r="F104">
        <v>4</v>
      </c>
      <c r="G104" t="s">
        <v>47</v>
      </c>
    </row>
    <row r="106" spans="3:7" x14ac:dyDescent="0.35">
      <c r="F106">
        <f>4*15*3*1.25</f>
        <v>225</v>
      </c>
      <c r="G106" t="s">
        <v>45</v>
      </c>
    </row>
    <row r="107" spans="3:7" x14ac:dyDescent="0.35">
      <c r="F107">
        <f>F106/1000</f>
        <v>0.22500000000000001</v>
      </c>
      <c r="G107" t="s">
        <v>8</v>
      </c>
    </row>
    <row r="109" spans="3:7" x14ac:dyDescent="0.35">
      <c r="C109" t="s">
        <v>53</v>
      </c>
      <c r="F109">
        <v>7</v>
      </c>
      <c r="G109" t="s">
        <v>54</v>
      </c>
    </row>
    <row r="111" spans="3:7" x14ac:dyDescent="0.35">
      <c r="F111">
        <f>(7*650*2*0.746*E52)/1000000</f>
        <v>0.23760100000000001</v>
      </c>
      <c r="G111" t="s">
        <v>8</v>
      </c>
    </row>
    <row r="113" spans="3:7" x14ac:dyDescent="0.35">
      <c r="C113" s="1" t="s">
        <v>55</v>
      </c>
      <c r="F113">
        <f>F97+F102+F107+F111</f>
        <v>12.837600999999999</v>
      </c>
      <c r="G113" t="s">
        <v>8</v>
      </c>
    </row>
    <row r="116" spans="3:7" x14ac:dyDescent="0.35">
      <c r="C116" s="1" t="s">
        <v>85</v>
      </c>
      <c r="F116">
        <v>2</v>
      </c>
      <c r="G116" t="s">
        <v>8</v>
      </c>
    </row>
    <row r="118" spans="3:7" x14ac:dyDescent="0.35">
      <c r="C118" s="1" t="s">
        <v>86</v>
      </c>
      <c r="F118">
        <v>2300</v>
      </c>
      <c r="G118" t="s">
        <v>8</v>
      </c>
    </row>
    <row r="121" spans="3:7" x14ac:dyDescent="0.35">
      <c r="C121" t="s">
        <v>87</v>
      </c>
      <c r="F121">
        <f>G71+G76+E83+F89+F113+F116+F118</f>
        <v>2327.1395539999999</v>
      </c>
      <c r="G121" t="s">
        <v>8</v>
      </c>
    </row>
    <row r="123" spans="3:7" x14ac:dyDescent="0.35">
      <c r="C123" t="s">
        <v>89</v>
      </c>
      <c r="F123">
        <f>F121/E23</f>
        <v>3062.0257289473684</v>
      </c>
      <c r="G123" t="s">
        <v>8</v>
      </c>
    </row>
    <row r="125" spans="3:7" x14ac:dyDescent="0.35">
      <c r="C125" t="s">
        <v>90</v>
      </c>
      <c r="F125" t="s">
        <v>91</v>
      </c>
    </row>
    <row r="126" spans="3:7" x14ac:dyDescent="0.35">
      <c r="F126">
        <f>((F123)^(2/3)*(E21)^(3))/H45</f>
        <v>1137.6225295712084</v>
      </c>
      <c r="G126" t="s">
        <v>24</v>
      </c>
    </row>
    <row r="128" spans="3:7" x14ac:dyDescent="0.35">
      <c r="C128" s="4" t="s">
        <v>92</v>
      </c>
    </row>
    <row r="132" spans="3:7" ht="15.5" x14ac:dyDescent="0.35">
      <c r="C132" s="2" t="s">
        <v>93</v>
      </c>
    </row>
    <row r="134" spans="3:7" x14ac:dyDescent="0.35">
      <c r="C134" t="s">
        <v>63</v>
      </c>
      <c r="E134" t="s">
        <v>75</v>
      </c>
    </row>
    <row r="135" spans="3:7" x14ac:dyDescent="0.35">
      <c r="C135" t="s">
        <v>64</v>
      </c>
      <c r="E135" t="s">
        <v>94</v>
      </c>
    </row>
    <row r="136" spans="3:7" x14ac:dyDescent="0.35">
      <c r="C136" t="s">
        <v>65</v>
      </c>
      <c r="E136" t="s">
        <v>95</v>
      </c>
      <c r="F136" t="s">
        <v>78</v>
      </c>
      <c r="G136" s="6" t="s">
        <v>79</v>
      </c>
    </row>
    <row r="137" spans="3:7" x14ac:dyDescent="0.35">
      <c r="C137" t="s">
        <v>66</v>
      </c>
      <c r="E137">
        <v>213</v>
      </c>
      <c r="F137" t="s">
        <v>54</v>
      </c>
    </row>
    <row r="141" spans="3:7" ht="15.5" x14ac:dyDescent="0.35">
      <c r="C141" s="2" t="s">
        <v>96</v>
      </c>
    </row>
    <row r="143" spans="3:7" x14ac:dyDescent="0.35">
      <c r="C143" s="7" t="s">
        <v>80</v>
      </c>
      <c r="F143">
        <f xml:space="preserve"> (700*2*E63*1.5*0.746*E52)/1000000</f>
        <v>11.679003</v>
      </c>
      <c r="G143" t="s">
        <v>8</v>
      </c>
    </row>
    <row r="145" spans="3:8" x14ac:dyDescent="0.35">
      <c r="C145" t="s">
        <v>82</v>
      </c>
      <c r="F145">
        <f xml:space="preserve"> (700*2*1*1.5*0.746*E52)/1000000</f>
        <v>5.4830999999999998E-2</v>
      </c>
      <c r="G145" t="s">
        <v>8</v>
      </c>
    </row>
    <row r="147" spans="3:8" x14ac:dyDescent="0.35">
      <c r="C147" t="s">
        <v>97</v>
      </c>
      <c r="F147">
        <f>E83</f>
        <v>1.125</v>
      </c>
      <c r="G147" t="s">
        <v>8</v>
      </c>
    </row>
    <row r="149" spans="3:8" x14ac:dyDescent="0.35">
      <c r="C149" t="s">
        <v>46</v>
      </c>
      <c r="F149">
        <f>F89</f>
        <v>0.28125</v>
      </c>
      <c r="G149" t="s">
        <v>8</v>
      </c>
    </row>
    <row r="151" spans="3:8" x14ac:dyDescent="0.35">
      <c r="C151" t="s">
        <v>49</v>
      </c>
      <c r="F151">
        <f>F97+F102+F107+(7*700*2*0.746*E52)/1000000</f>
        <v>12.855877999999999</v>
      </c>
      <c r="G151" t="s">
        <v>8</v>
      </c>
    </row>
    <row r="153" spans="3:8" x14ac:dyDescent="0.35">
      <c r="C153" t="s">
        <v>98</v>
      </c>
      <c r="F153">
        <f>F116</f>
        <v>2</v>
      </c>
      <c r="G153" t="s">
        <v>8</v>
      </c>
    </row>
    <row r="155" spans="3:8" x14ac:dyDescent="0.35">
      <c r="C155" t="s">
        <v>86</v>
      </c>
      <c r="F155">
        <f>F118</f>
        <v>2300</v>
      </c>
      <c r="G155" t="s">
        <v>8</v>
      </c>
    </row>
    <row r="158" spans="3:8" x14ac:dyDescent="0.35">
      <c r="C158" t="s">
        <v>100</v>
      </c>
      <c r="F158">
        <f>SUM(F143:F155)</f>
        <v>2327.995962</v>
      </c>
      <c r="G158" t="s">
        <v>8</v>
      </c>
    </row>
    <row r="159" spans="3:8" x14ac:dyDescent="0.35">
      <c r="F159" s="1">
        <v>2328</v>
      </c>
      <c r="G159" s="1" t="s">
        <v>8</v>
      </c>
      <c r="H159" s="6" t="s">
        <v>99</v>
      </c>
    </row>
    <row r="162" spans="3:7" x14ac:dyDescent="0.35">
      <c r="C162" t="s">
        <v>101</v>
      </c>
      <c r="F162" s="1">
        <f>F159/E23</f>
        <v>3063.1578947368421</v>
      </c>
      <c r="G162" s="1" t="s">
        <v>8</v>
      </c>
    </row>
    <row r="165" spans="3:7" x14ac:dyDescent="0.35">
      <c r="C165" t="s">
        <v>102</v>
      </c>
      <c r="F165" t="s">
        <v>91</v>
      </c>
    </row>
    <row r="166" spans="3:7" x14ac:dyDescent="0.35">
      <c r="F166">
        <f xml:space="preserve"> ((F162)^(2/3)*(E21)^(3))/H45</f>
        <v>1137.9029317332706</v>
      </c>
      <c r="G166" t="s">
        <v>24</v>
      </c>
    </row>
    <row r="169" spans="3:7" x14ac:dyDescent="0.35">
      <c r="C169" t="s">
        <v>103</v>
      </c>
      <c r="F169" s="1">
        <f>F162-F159</f>
        <v>735.15789473684208</v>
      </c>
      <c r="G169" s="1" t="s">
        <v>8</v>
      </c>
    </row>
    <row r="175" spans="3:7" ht="15.5" x14ac:dyDescent="0.35">
      <c r="C175" s="2" t="s">
        <v>104</v>
      </c>
    </row>
    <row r="182" spans="5:14" x14ac:dyDescent="0.35">
      <c r="E182" t="s">
        <v>105</v>
      </c>
      <c r="G182">
        <f>((F159*E31*E31*E35)/(1*E22*E23))^(1/3)</f>
        <v>74.337525864879581</v>
      </c>
      <c r="H182" t="s">
        <v>23</v>
      </c>
      <c r="K182" t="s">
        <v>15</v>
      </c>
      <c r="M182">
        <v>76.400000000000006</v>
      </c>
      <c r="N182" t="s">
        <v>23</v>
      </c>
    </row>
    <row r="183" spans="5:14" x14ac:dyDescent="0.35">
      <c r="G183" s="1">
        <v>74.400000000000006</v>
      </c>
      <c r="H183" t="s">
        <v>23</v>
      </c>
    </row>
    <row r="185" spans="5:14" x14ac:dyDescent="0.35">
      <c r="E185" t="s">
        <v>106</v>
      </c>
      <c r="G185">
        <v>13.5398</v>
      </c>
      <c r="H185" t="s">
        <v>23</v>
      </c>
    </row>
    <row r="186" spans="5:14" x14ac:dyDescent="0.35">
      <c r="G186" s="1">
        <v>13.54</v>
      </c>
      <c r="H186" t="s">
        <v>23</v>
      </c>
    </row>
    <row r="188" spans="5:14" x14ac:dyDescent="0.35">
      <c r="E188" t="s">
        <v>19</v>
      </c>
      <c r="G188">
        <f>(F162/(G183*E35*0.84))^(1/2)</f>
        <v>4.1010259496601646</v>
      </c>
      <c r="H188" t="s">
        <v>23</v>
      </c>
      <c r="K188" t="s">
        <v>107</v>
      </c>
      <c r="M188">
        <v>5.0999999999999996</v>
      </c>
      <c r="N188" t="s">
        <v>23</v>
      </c>
    </row>
    <row r="189" spans="5:14" x14ac:dyDescent="0.35">
      <c r="G189" s="1">
        <v>3.85</v>
      </c>
      <c r="H189" t="s">
        <v>23</v>
      </c>
    </row>
    <row r="190" spans="5:14" x14ac:dyDescent="0.35">
      <c r="G190" s="1"/>
    </row>
    <row r="191" spans="5:14" x14ac:dyDescent="0.35">
      <c r="E191" t="s">
        <v>22</v>
      </c>
      <c r="G191" s="7">
        <v>0.78979900000000003</v>
      </c>
    </row>
    <row r="192" spans="5:14" x14ac:dyDescent="0.35">
      <c r="G192" s="1">
        <v>0.79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2023-02-28T03:40:39Z</dcterms:modified>
</cp:coreProperties>
</file>