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Resistance Calculation" sheetId="1" r:id="rId1"/>
    <sheet name="Power Calculation" sheetId="2" r:id="rId2"/>
    <sheet name="Resistance Summary" sheetId="3" r:id="rId3"/>
    <sheet name="Power Summary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2" l="1"/>
  <c r="H8" i="2"/>
  <c r="L12" i="2"/>
  <c r="M82" i="2"/>
  <c r="N108" i="2"/>
  <c r="Q36" i="2"/>
  <c r="M26" i="2"/>
  <c r="C26" i="2"/>
  <c r="D26" i="2" s="1"/>
  <c r="B26" i="2"/>
  <c r="D11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E108" i="1"/>
  <c r="F108" i="1" s="1"/>
  <c r="D130" i="1" s="1"/>
  <c r="F107" i="1"/>
  <c r="D129" i="1" s="1"/>
  <c r="E107" i="1"/>
  <c r="I107" i="1" s="1"/>
  <c r="E106" i="1"/>
  <c r="G106" i="1" s="1"/>
  <c r="G83" i="1" s="1"/>
  <c r="H106" i="1" s="1"/>
  <c r="E105" i="1"/>
  <c r="E104" i="1"/>
  <c r="E103" i="1"/>
  <c r="K103" i="1" s="1"/>
  <c r="E102" i="1"/>
  <c r="K102" i="1" s="1"/>
  <c r="E101" i="1"/>
  <c r="I101" i="1" s="1"/>
  <c r="E100" i="1"/>
  <c r="F100" i="1" s="1"/>
  <c r="D122" i="1" s="1"/>
  <c r="E99" i="1"/>
  <c r="I99" i="1" s="1"/>
  <c r="E98" i="1"/>
  <c r="I98" i="1" s="1"/>
  <c r="E97" i="1"/>
  <c r="E96" i="1"/>
  <c r="E95" i="1"/>
  <c r="F95" i="1" s="1"/>
  <c r="D118" i="1" s="1"/>
  <c r="E94" i="1"/>
  <c r="I94" i="1" s="1"/>
  <c r="J94" i="1" s="1"/>
  <c r="E93" i="1"/>
  <c r="I93" i="1" s="1"/>
  <c r="J93" i="1" s="1"/>
  <c r="F85" i="1"/>
  <c r="D85" i="1"/>
  <c r="M108" i="1" s="1"/>
  <c r="F84" i="1"/>
  <c r="D84" i="1"/>
  <c r="E84" i="1" s="1"/>
  <c r="D83" i="1"/>
  <c r="F83" i="1" s="1"/>
  <c r="D82" i="1"/>
  <c r="M105" i="1" s="1"/>
  <c r="D81" i="1"/>
  <c r="F81" i="1" s="1"/>
  <c r="D80" i="1"/>
  <c r="D79" i="1"/>
  <c r="F79" i="1" s="1"/>
  <c r="D78" i="1"/>
  <c r="M101" i="1" s="1"/>
  <c r="D77" i="1"/>
  <c r="M100" i="1" s="1"/>
  <c r="D76" i="1"/>
  <c r="D75" i="1"/>
  <c r="F75" i="1" s="1"/>
  <c r="D74" i="1"/>
  <c r="M97" i="1" s="1"/>
  <c r="D73" i="1"/>
  <c r="F73" i="1" s="1"/>
  <c r="D72" i="1"/>
  <c r="D71" i="1"/>
  <c r="F71" i="1" s="1"/>
  <c r="D70" i="1"/>
  <c r="L41" i="1"/>
  <c r="L36" i="1"/>
  <c r="L33" i="1"/>
  <c r="L28" i="1"/>
  <c r="L26" i="1"/>
  <c r="L23" i="1"/>
  <c r="L15" i="1"/>
  <c r="L30" i="1" s="1"/>
  <c r="L14" i="1"/>
  <c r="L13" i="1"/>
  <c r="L12" i="1"/>
  <c r="L11" i="1"/>
  <c r="L42" i="1" s="1"/>
  <c r="L43" i="1" s="1"/>
  <c r="H10" i="1"/>
  <c r="L16" i="1" s="1"/>
  <c r="L8" i="1"/>
  <c r="L7" i="1"/>
  <c r="L5" i="1"/>
  <c r="M94" i="1" l="1"/>
  <c r="M102" i="1"/>
  <c r="G107" i="1"/>
  <c r="G84" i="1" s="1"/>
  <c r="H107" i="1" s="1"/>
  <c r="I103" i="1"/>
  <c r="L14" i="2"/>
  <c r="L10" i="2"/>
  <c r="Q46" i="2"/>
  <c r="Q47" i="2" s="1"/>
  <c r="M62" i="2" s="1"/>
  <c r="L64" i="2" s="1"/>
  <c r="L11" i="2"/>
  <c r="L50" i="2" s="1"/>
  <c r="N125" i="2"/>
  <c r="N106" i="2"/>
  <c r="N37" i="2"/>
  <c r="L13" i="2"/>
  <c r="L9" i="2"/>
  <c r="L32" i="1"/>
  <c r="L29" i="1"/>
  <c r="P101" i="1" s="1"/>
  <c r="G98" i="1"/>
  <c r="G75" i="1" s="1"/>
  <c r="H98" i="1" s="1"/>
  <c r="I106" i="1"/>
  <c r="F94" i="1"/>
  <c r="D117" i="1" s="1"/>
  <c r="F103" i="1"/>
  <c r="D125" i="1" s="1"/>
  <c r="G103" i="1"/>
  <c r="G80" i="1" s="1"/>
  <c r="H103" i="1" s="1"/>
  <c r="I95" i="1"/>
  <c r="J95" i="1" s="1"/>
  <c r="K95" i="1" s="1"/>
  <c r="F99" i="1"/>
  <c r="D121" i="1" s="1"/>
  <c r="G99" i="1"/>
  <c r="G76" i="1" s="1"/>
  <c r="H99" i="1" s="1"/>
  <c r="G102" i="1"/>
  <c r="G79" i="1" s="1"/>
  <c r="H102" i="1" s="1"/>
  <c r="K107" i="1"/>
  <c r="G93" i="1"/>
  <c r="G70" i="1" s="1"/>
  <c r="H93" i="1" s="1"/>
  <c r="K101" i="1"/>
  <c r="K93" i="1"/>
  <c r="P37" i="1"/>
  <c r="K99" i="1"/>
  <c r="G95" i="1"/>
  <c r="G72" i="1" s="1"/>
  <c r="H95" i="1" s="1"/>
  <c r="L24" i="1"/>
  <c r="L27" i="1" s="1"/>
  <c r="K97" i="1"/>
  <c r="I97" i="1"/>
  <c r="G97" i="1"/>
  <c r="G74" i="1" s="1"/>
  <c r="H97" i="1" s="1"/>
  <c r="F97" i="1"/>
  <c r="D119" i="1" s="1"/>
  <c r="K105" i="1"/>
  <c r="I105" i="1"/>
  <c r="G105" i="1"/>
  <c r="G82" i="1" s="1"/>
  <c r="H105" i="1" s="1"/>
  <c r="F105" i="1"/>
  <c r="D127" i="1" s="1"/>
  <c r="M95" i="1"/>
  <c r="F72" i="1"/>
  <c r="E72" i="1"/>
  <c r="F76" i="1"/>
  <c r="M99" i="1"/>
  <c r="E76" i="1"/>
  <c r="M103" i="1"/>
  <c r="F80" i="1"/>
  <c r="E80" i="1"/>
  <c r="K100" i="1"/>
  <c r="G100" i="1"/>
  <c r="G77" i="1" s="1"/>
  <c r="H100" i="1" s="1"/>
  <c r="K108" i="1"/>
  <c r="G108" i="1"/>
  <c r="G85" i="1" s="1"/>
  <c r="H108" i="1" s="1"/>
  <c r="I96" i="1"/>
  <c r="J96" i="1" s="1"/>
  <c r="K96" i="1" s="1"/>
  <c r="G96" i="1"/>
  <c r="G73" i="1" s="1"/>
  <c r="H96" i="1" s="1"/>
  <c r="G104" i="1"/>
  <c r="G81" i="1" s="1"/>
  <c r="H104" i="1" s="1"/>
  <c r="F104" i="1"/>
  <c r="D126" i="1" s="1"/>
  <c r="L31" i="1"/>
  <c r="L38" i="1"/>
  <c r="I100" i="1"/>
  <c r="I104" i="1"/>
  <c r="I108" i="1"/>
  <c r="L35" i="1"/>
  <c r="F70" i="1"/>
  <c r="M93" i="1"/>
  <c r="K104" i="1"/>
  <c r="E70" i="1"/>
  <c r="F74" i="1"/>
  <c r="E74" i="1"/>
  <c r="F78" i="1"/>
  <c r="E78" i="1"/>
  <c r="F82" i="1"/>
  <c r="E82" i="1"/>
  <c r="K94" i="1"/>
  <c r="G94" i="1"/>
  <c r="G71" i="1" s="1"/>
  <c r="H94" i="1" s="1"/>
  <c r="M107" i="1"/>
  <c r="F93" i="1"/>
  <c r="D116" i="1" s="1"/>
  <c r="M96" i="1"/>
  <c r="K98" i="1"/>
  <c r="F102" i="1"/>
  <c r="D124" i="1" s="1"/>
  <c r="M104" i="1"/>
  <c r="K106" i="1"/>
  <c r="M98" i="1"/>
  <c r="M106" i="1"/>
  <c r="E71" i="1"/>
  <c r="E73" i="1"/>
  <c r="E75" i="1"/>
  <c r="E77" i="1"/>
  <c r="E79" i="1"/>
  <c r="E81" i="1"/>
  <c r="E83" i="1"/>
  <c r="F101" i="1"/>
  <c r="D123" i="1" s="1"/>
  <c r="I102" i="1"/>
  <c r="F77" i="1"/>
  <c r="E85" i="1"/>
  <c r="F98" i="1"/>
  <c r="D120" i="1" s="1"/>
  <c r="G101" i="1"/>
  <c r="G78" i="1" s="1"/>
  <c r="H101" i="1" s="1"/>
  <c r="F106" i="1"/>
  <c r="D128" i="1" s="1"/>
  <c r="L52" i="2" l="1"/>
  <c r="N123" i="2" s="1"/>
  <c r="V138" i="2" s="1"/>
  <c r="V140" i="2" s="1"/>
  <c r="N109" i="2"/>
  <c r="N111" i="2" s="1"/>
  <c r="N115" i="2" s="1"/>
  <c r="L66" i="2"/>
  <c r="N107" i="2"/>
  <c r="P95" i="1"/>
  <c r="P104" i="1"/>
  <c r="L95" i="1"/>
  <c r="L106" i="1"/>
  <c r="P102" i="1"/>
  <c r="P103" i="1"/>
  <c r="P99" i="1"/>
  <c r="L105" i="1"/>
  <c r="P97" i="1"/>
  <c r="L96" i="1"/>
  <c r="L100" i="1"/>
  <c r="L103" i="1"/>
  <c r="P105" i="1"/>
  <c r="L93" i="1"/>
  <c r="L99" i="1"/>
  <c r="L97" i="1"/>
  <c r="P93" i="1"/>
  <c r="L94" i="1"/>
  <c r="P96" i="1"/>
  <c r="P100" i="1"/>
  <c r="P107" i="1"/>
  <c r="P108" i="1"/>
  <c r="L98" i="1"/>
  <c r="L107" i="1"/>
  <c r="P106" i="1"/>
  <c r="L104" i="1"/>
  <c r="L101" i="1"/>
  <c r="P94" i="1"/>
  <c r="L39" i="1"/>
  <c r="F53" i="1" s="1"/>
  <c r="L108" i="1"/>
  <c r="P98" i="1"/>
  <c r="L102" i="1"/>
  <c r="N98" i="1"/>
  <c r="K83" i="1"/>
  <c r="N95" i="1"/>
  <c r="N104" i="1"/>
  <c r="N102" i="1"/>
  <c r="N103" i="1"/>
  <c r="N106" i="1"/>
  <c r="N100" i="1"/>
  <c r="N93" i="1"/>
  <c r="N99" i="1"/>
  <c r="N108" i="1"/>
  <c r="N96" i="1"/>
  <c r="N97" i="1"/>
  <c r="N107" i="1"/>
  <c r="N101" i="1"/>
  <c r="N94" i="1"/>
  <c r="N105" i="1"/>
  <c r="N124" i="2" l="1"/>
  <c r="M87" i="2"/>
  <c r="R128" i="2" s="1"/>
  <c r="N128" i="2" s="1"/>
  <c r="O145" i="2" s="1"/>
  <c r="M150" i="2" s="1"/>
  <c r="M152" i="2" s="1"/>
  <c r="M154" i="2" s="1"/>
  <c r="M156" i="2" s="1"/>
  <c r="M157" i="2" s="1"/>
  <c r="O157" i="2" s="1"/>
  <c r="O160" i="2" s="1"/>
  <c r="N120" i="2"/>
  <c r="Q107" i="2"/>
  <c r="M91" i="2"/>
  <c r="F55" i="1"/>
  <c r="F54" i="1"/>
  <c r="F52" i="1"/>
  <c r="F56" i="1" s="1"/>
  <c r="L40" i="1" s="1"/>
  <c r="F51" i="1"/>
  <c r="N131" i="2" l="1"/>
  <c r="V135" i="2" s="1"/>
  <c r="O94" i="1"/>
  <c r="Q94" i="1" s="1"/>
  <c r="O101" i="1"/>
  <c r="Q101" i="1" s="1"/>
  <c r="O97" i="1"/>
  <c r="Q97" i="1" s="1"/>
  <c r="O98" i="1"/>
  <c r="Q98" i="1" s="1"/>
  <c r="O100" i="1"/>
  <c r="Q100" i="1" s="1"/>
  <c r="O102" i="1"/>
  <c r="Q102" i="1" s="1"/>
  <c r="O104" i="1"/>
  <c r="Q104" i="1" s="1"/>
  <c r="O106" i="1"/>
  <c r="Q106" i="1" s="1"/>
  <c r="O108" i="1"/>
  <c r="Q108" i="1" s="1"/>
  <c r="R108" i="1" s="1"/>
  <c r="E154" i="1" s="1"/>
  <c r="O105" i="1"/>
  <c r="Q105" i="1" s="1"/>
  <c r="O107" i="1"/>
  <c r="Q107" i="1" s="1"/>
  <c r="O103" i="1"/>
  <c r="Q103" i="1" s="1"/>
  <c r="O96" i="1"/>
  <c r="Q96" i="1" s="1"/>
  <c r="O99" i="1"/>
  <c r="Q99" i="1" s="1"/>
  <c r="O95" i="1"/>
  <c r="Q95" i="1" s="1"/>
  <c r="O93" i="1"/>
  <c r="Q93" i="1" s="1"/>
  <c r="E118" i="1" l="1"/>
  <c r="R95" i="1"/>
  <c r="E142" i="1" s="1"/>
  <c r="E127" i="1"/>
  <c r="R104" i="1"/>
  <c r="E150" i="1" s="1"/>
  <c r="R99" i="1"/>
  <c r="E145" i="1" s="1"/>
  <c r="E122" i="1"/>
  <c r="R102" i="1"/>
  <c r="E148" i="1" s="1"/>
  <c r="E125" i="1"/>
  <c r="E119" i="1"/>
  <c r="R96" i="1"/>
  <c r="E123" i="1"/>
  <c r="R100" i="1"/>
  <c r="E146" i="1" s="1"/>
  <c r="R106" i="1"/>
  <c r="E152" i="1" s="1"/>
  <c r="E129" i="1"/>
  <c r="R98" i="1"/>
  <c r="E144" i="1" s="1"/>
  <c r="E121" i="1"/>
  <c r="E126" i="1"/>
  <c r="R103" i="1"/>
  <c r="E149" i="1" s="1"/>
  <c r="R107" i="1"/>
  <c r="E153" i="1" s="1"/>
  <c r="E130" i="1"/>
  <c r="E120" i="1"/>
  <c r="R97" i="1"/>
  <c r="E143" i="1" s="1"/>
  <c r="E124" i="1"/>
  <c r="R101" i="1"/>
  <c r="E147" i="1" s="1"/>
  <c r="E116" i="1"/>
  <c r="R93" i="1"/>
  <c r="E140" i="1" s="1"/>
  <c r="E128" i="1"/>
  <c r="R105" i="1"/>
  <c r="E151" i="1" s="1"/>
  <c r="R94" i="1"/>
  <c r="E141" i="1" s="1"/>
  <c r="E117" i="1"/>
</calcChain>
</file>

<file path=xl/sharedStrings.xml><?xml version="1.0" encoding="utf-8"?>
<sst xmlns="http://schemas.openxmlformats.org/spreadsheetml/2006/main" count="310" uniqueCount="233">
  <si>
    <t>L (LWL)</t>
  </si>
  <si>
    <t>m</t>
  </si>
  <si>
    <t>L/LPP</t>
  </si>
  <si>
    <t>LCB</t>
  </si>
  <si>
    <t>B</t>
  </si>
  <si>
    <t>B/LPP</t>
  </si>
  <si>
    <t>H</t>
  </si>
  <si>
    <t>H/LPP</t>
  </si>
  <si>
    <t>T</t>
  </si>
  <si>
    <t>∇</t>
  </si>
  <si>
    <t>T/L</t>
  </si>
  <si>
    <t>B/T</t>
  </si>
  <si>
    <t>L/B</t>
  </si>
  <si>
    <t>L/T</t>
  </si>
  <si>
    <t>Fn</t>
  </si>
  <si>
    <t>0.1-0.8</t>
  </si>
  <si>
    <t>B/L</t>
  </si>
  <si>
    <t>Coefficient accounts for specific shape of afterbody</t>
  </si>
  <si>
    <t xml:space="preserve">Coefficient </t>
  </si>
  <si>
    <t>(T/L)^0.2228446</t>
  </si>
  <si>
    <t>( When T/L &gt; 0.05 )</t>
  </si>
  <si>
    <t>Longitudinal centre of buoyancy</t>
  </si>
  <si>
    <t>1.5% of Length aft of amidship</t>
  </si>
  <si>
    <t>Parameter reflecting the length of the run</t>
  </si>
  <si>
    <t>Form factor</t>
  </si>
  <si>
    <t>Waterplane area co-efficient</t>
  </si>
  <si>
    <t>Wetted area of the hull</t>
  </si>
  <si>
    <t>S</t>
  </si>
  <si>
    <t>Coefficient</t>
  </si>
  <si>
    <t>( For .11&lt; B/L &lt;.25 )</t>
  </si>
  <si>
    <t>Half angle of entrance</t>
  </si>
  <si>
    <t>Parameter</t>
  </si>
  <si>
    <t>1.73014-0.7067*Cp</t>
  </si>
  <si>
    <t>λ</t>
  </si>
  <si>
    <t>( For L/B &lt;12 )</t>
  </si>
  <si>
    <t>The wetted area of the appendages</t>
  </si>
  <si>
    <t>2% of S</t>
  </si>
  <si>
    <t>The equivalent appendage resistance factor</t>
  </si>
  <si>
    <t>Increase in the correlation allowance coefficient</t>
  </si>
  <si>
    <t>The correlation allowance coefficient</t>
  </si>
  <si>
    <t>For calculation of the equivalent appendage resistance factor</t>
  </si>
  <si>
    <t xml:space="preserve"> </t>
  </si>
  <si>
    <t>We take appendage as</t>
  </si>
  <si>
    <t>Rudder behind Stern</t>
  </si>
  <si>
    <t>Twin Screw Balance Rudder</t>
  </si>
  <si>
    <t>Shaft Bracket</t>
  </si>
  <si>
    <t>Strut Bossing</t>
  </si>
  <si>
    <t>Shaft</t>
  </si>
  <si>
    <t>Sum</t>
  </si>
  <si>
    <t>logRn - 2</t>
  </si>
  <si>
    <t>V ( m/s )</t>
  </si>
  <si>
    <t>V ( kn )</t>
  </si>
  <si>
    <t>Rn</t>
  </si>
  <si>
    <t>R(TR)</t>
  </si>
  <si>
    <t>VL/ʋ</t>
  </si>
  <si>
    <t>F(nT)</t>
  </si>
  <si>
    <t>C6</t>
  </si>
  <si>
    <t>Graphs</t>
  </si>
  <si>
    <t>A parameter which expresses the influence of a transom stern on the wave resistance</t>
  </si>
  <si>
    <t>A parameter which accounts for the reduction of the wave resistance due to the action of bulbous bow</t>
  </si>
  <si>
    <t xml:space="preserve">                   (N)</t>
  </si>
  <si>
    <t xml:space="preserve">              (N)</t>
  </si>
  <si>
    <t xml:space="preserve">    (N)</t>
  </si>
  <si>
    <t>(kN)</t>
  </si>
  <si>
    <t>kN</t>
  </si>
  <si>
    <t>Vs    =</t>
  </si>
  <si>
    <t>knots</t>
  </si>
  <si>
    <t>m/s</t>
  </si>
  <si>
    <t>kw</t>
  </si>
  <si>
    <t>D</t>
  </si>
  <si>
    <t>CB</t>
  </si>
  <si>
    <t>Wt (corrected)</t>
  </si>
  <si>
    <t>D/(BT)^0.5</t>
  </si>
  <si>
    <t>P/D</t>
  </si>
  <si>
    <t>(twin screw)</t>
  </si>
  <si>
    <t>Rt</t>
  </si>
  <si>
    <t>P atm</t>
  </si>
  <si>
    <t>kPa</t>
  </si>
  <si>
    <t>h</t>
  </si>
  <si>
    <t>H=T-h</t>
  </si>
  <si>
    <t>Pv</t>
  </si>
  <si>
    <t>Po=P(atm)+PgH</t>
  </si>
  <si>
    <t>K</t>
  </si>
  <si>
    <t>Z</t>
  </si>
  <si>
    <t>Ae/Ao</t>
  </si>
  <si>
    <t>Va</t>
  </si>
  <si>
    <t>Do</t>
  </si>
  <si>
    <t>ηD  =</t>
  </si>
  <si>
    <t>Pd= PE/ηD</t>
  </si>
  <si>
    <t>BP</t>
  </si>
  <si>
    <t>DB</t>
  </si>
  <si>
    <t>OPTIMUM</t>
  </si>
  <si>
    <t>N</t>
  </si>
  <si>
    <t>ηo</t>
  </si>
  <si>
    <t>ηd</t>
  </si>
  <si>
    <t>kW</t>
  </si>
  <si>
    <t>Shaft efficiency</t>
  </si>
  <si>
    <t>shaft loss 3.5%</t>
  </si>
  <si>
    <t>Engine Efficiency</t>
  </si>
  <si>
    <t>gear box loss 5%</t>
  </si>
  <si>
    <t>sea margin</t>
  </si>
  <si>
    <t>Considering 15% sea margin</t>
  </si>
  <si>
    <t>80% MCR operation</t>
  </si>
  <si>
    <t>Total engine break power</t>
  </si>
  <si>
    <t xml:space="preserve">Selected Engine : </t>
  </si>
  <si>
    <t xml:space="preserve">Selected Gear Box : </t>
  </si>
  <si>
    <r>
      <t>L</t>
    </r>
    <r>
      <rPr>
        <b/>
        <vertAlign val="subscript"/>
        <sz val="14"/>
        <color theme="1"/>
        <rFont val="Calibri"/>
        <family val="2"/>
        <scheme val="minor"/>
      </rPr>
      <t>PP</t>
    </r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</si>
  <si>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</si>
  <si>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B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</si>
  <si>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PR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</si>
  <si>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</si>
  <si>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</si>
  <si>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L/∆</t>
    </r>
    <r>
      <rPr>
        <vertAlign val="superscript"/>
        <sz val="12"/>
        <color theme="1"/>
        <rFont val="Calibri"/>
        <family val="2"/>
        <scheme val="minor"/>
      </rPr>
      <t>1/3</t>
    </r>
  </si>
  <si>
    <r>
      <t>L/∆</t>
    </r>
    <r>
      <rPr>
        <b/>
        <vertAlign val="superscript"/>
        <sz val="13"/>
        <color theme="1"/>
        <rFont val="Calibri"/>
        <family val="2"/>
        <scheme val="minor"/>
      </rPr>
      <t>1/3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</si>
  <si>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13</t>
    </r>
  </si>
  <si>
    <r>
      <t>1 + 0.003C</t>
    </r>
    <r>
      <rPr>
        <vertAlign val="subscript"/>
        <sz val="14"/>
        <color theme="1"/>
        <rFont val="Calibri"/>
        <family val="2"/>
        <scheme val="minor"/>
      </rPr>
      <t>stern</t>
    </r>
  </si>
  <si>
    <r>
      <t>( For U Shape C</t>
    </r>
    <r>
      <rPr>
        <vertAlign val="subscript"/>
        <sz val="14"/>
        <color theme="1"/>
        <rFont val="Calibri"/>
        <family val="2"/>
        <scheme val="minor"/>
      </rPr>
      <t>strern</t>
    </r>
    <r>
      <rPr>
        <sz val="14"/>
        <color theme="1"/>
        <rFont val="Calibri"/>
        <family val="2"/>
        <scheme val="minor"/>
      </rPr>
      <t>=+10 )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</si>
  <si>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12</t>
    </r>
  </si>
  <si>
    <r>
      <t>L</t>
    </r>
    <r>
      <rPr>
        <b/>
        <vertAlign val="subscript"/>
        <sz val="14"/>
        <color theme="1"/>
        <rFont val="Calibri"/>
        <family val="2"/>
        <scheme val="minor"/>
      </rPr>
      <t>CB</t>
    </r>
  </si>
  <si>
    <r>
      <t>L</t>
    </r>
    <r>
      <rPr>
        <b/>
        <vertAlign val="subscript"/>
        <sz val="14"/>
        <color theme="1"/>
        <rFont val="Calibri"/>
        <family val="2"/>
        <scheme val="minor"/>
      </rPr>
      <t>R</t>
    </r>
  </si>
  <si>
    <r>
      <t>L {1 - C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+ 0.06 C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L</t>
    </r>
    <r>
      <rPr>
        <vertAlign val="subscript"/>
        <sz val="14"/>
        <color theme="1"/>
        <rFont val="Calibri"/>
        <family val="2"/>
        <scheme val="minor"/>
      </rPr>
      <t>CB</t>
    </r>
    <r>
      <rPr>
        <sz val="14"/>
        <color theme="1"/>
        <rFont val="Calibri"/>
        <family val="2"/>
        <scheme val="minor"/>
      </rPr>
      <t xml:space="preserve">/( 4C 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- 1 ) }</t>
    </r>
  </si>
  <si>
    <r>
      <t>1+k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</si>
  <si>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C</t>
    </r>
    <r>
      <rPr>
        <vertAlign val="subscript"/>
        <sz val="14"/>
        <color theme="1"/>
        <rFont val="Calibri"/>
        <family val="2"/>
        <scheme val="minor"/>
      </rPr>
      <t xml:space="preserve">13 </t>
    </r>
    <r>
      <rPr>
        <sz val="14"/>
        <color theme="1"/>
        <rFont val="Calibri"/>
        <family val="2"/>
        <scheme val="minor"/>
      </rPr>
      <t>{ 0.93 + C</t>
    </r>
    <r>
      <rPr>
        <vertAlign val="subscript"/>
        <sz val="14"/>
        <color theme="1"/>
        <rFont val="Calibri"/>
        <family val="2"/>
        <scheme val="minor"/>
      </rPr>
      <t xml:space="preserve">12 </t>
    </r>
    <r>
      <rPr>
        <sz val="14"/>
        <color theme="1"/>
        <rFont val="Calibri"/>
        <family val="2"/>
        <scheme val="minor"/>
      </rPr>
      <t>( B/L</t>
    </r>
    <r>
      <rPr>
        <vertAlign val="subscript"/>
        <sz val="14"/>
        <color theme="1"/>
        <rFont val="Calibri"/>
        <family val="2"/>
        <scheme val="minor"/>
      </rPr>
      <t xml:space="preserve">R 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 xml:space="preserve">0.92497 </t>
    </r>
    <r>
      <rPr>
        <sz val="14"/>
        <color theme="1"/>
        <rFont val="Calibri"/>
        <family val="2"/>
        <scheme val="minor"/>
      </rPr>
      <t>( 0.95 - C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-0.521448</t>
    </r>
    <r>
      <rPr>
        <sz val="14"/>
        <color theme="1"/>
        <rFont val="Calibri"/>
        <family val="2"/>
        <scheme val="minor"/>
      </rPr>
      <t>( 1 - C</t>
    </r>
    <r>
      <rPr>
        <vertAlign val="subscript"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+ 0.0225L</t>
    </r>
    <r>
      <rPr>
        <vertAlign val="subscript"/>
        <sz val="14"/>
        <color theme="1"/>
        <rFont val="Calibri"/>
        <family val="2"/>
        <scheme val="minor"/>
      </rPr>
      <t xml:space="preserve">CB 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 xml:space="preserve">0.6906 </t>
    </r>
    <r>
      <rPr>
        <sz val="14"/>
        <color theme="1"/>
        <rFont val="Calibri"/>
        <family val="2"/>
        <scheme val="minor"/>
      </rPr>
      <t>}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</si>
  <si>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WP</t>
    </r>
  </si>
  <si>
    <r>
      <t>2/3 C</t>
    </r>
    <r>
      <rPr>
        <vertAlign val="subscript"/>
        <sz val="14"/>
        <color theme="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>+ 1/3</t>
    </r>
  </si>
  <si>
    <r>
      <t>L(2T+B)√C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(0.453+0.4425C</t>
    </r>
    <r>
      <rPr>
        <vertAlign val="subscript"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-0.2862C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-0.003467 B/T +0.3696C</t>
    </r>
    <r>
      <rPr>
        <vertAlign val="subscript"/>
        <sz val="14"/>
        <color theme="1"/>
        <rFont val="Calibri"/>
        <family val="2"/>
        <scheme val="minor"/>
      </rPr>
      <t>WP</t>
    </r>
    <r>
      <rPr>
        <sz val="14"/>
        <color theme="1"/>
        <rFont val="Calibri"/>
        <family val="2"/>
        <scheme val="minor"/>
      </rPr>
      <t>)+2.38A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>/C</t>
    </r>
    <r>
      <rPr>
        <vertAlign val="subscript"/>
        <sz val="14"/>
        <color theme="1"/>
        <rFont val="Calibri"/>
        <family val="2"/>
        <scheme val="minor"/>
      </rPr>
      <t>B</t>
    </r>
  </si>
  <si>
    <r>
      <t xml:space="preserve"> 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</si>
  <si>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7</t>
    </r>
  </si>
  <si>
    <r>
      <t>i</t>
    </r>
    <r>
      <rPr>
        <b/>
        <vertAlign val="subscript"/>
        <sz val="14"/>
        <color theme="1"/>
        <rFont val="Calibri"/>
        <family val="2"/>
        <scheme val="minor"/>
      </rPr>
      <t>E</t>
    </r>
  </si>
  <si>
    <r>
      <t>1 + 89 exp {-(L/B)</t>
    </r>
    <r>
      <rPr>
        <vertAlign val="superscript"/>
        <sz val="14"/>
        <color theme="1"/>
        <rFont val="Calibri"/>
        <family val="2"/>
        <scheme val="minor"/>
      </rPr>
      <t>0.80856</t>
    </r>
    <r>
      <rPr>
        <sz val="14"/>
        <color theme="1"/>
        <rFont val="Calibri"/>
        <family val="2"/>
        <scheme val="minor"/>
      </rPr>
      <t>(1-C</t>
    </r>
    <r>
      <rPr>
        <vertAlign val="subscript"/>
        <sz val="14"/>
        <color theme="1"/>
        <rFont val="Calibri"/>
        <family val="2"/>
        <scheme val="minor"/>
      </rPr>
      <t>WP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0.30484</t>
    </r>
    <r>
      <rPr>
        <sz val="14"/>
        <color theme="1"/>
        <rFont val="Calibri"/>
        <family val="2"/>
        <scheme val="minor"/>
      </rPr>
      <t>(1-C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-0.0225L</t>
    </r>
    <r>
      <rPr>
        <vertAlign val="subscript"/>
        <sz val="14"/>
        <color theme="1"/>
        <rFont val="Calibri"/>
        <family val="2"/>
        <scheme val="minor"/>
      </rPr>
      <t>CB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0.6367</t>
    </r>
    <r>
      <rPr>
        <sz val="14"/>
        <color theme="1"/>
        <rFont val="Calibri"/>
        <family val="2"/>
        <scheme val="minor"/>
      </rPr>
      <t>(L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/B)</t>
    </r>
    <r>
      <rPr>
        <vertAlign val="superscript"/>
        <sz val="14"/>
        <color theme="1"/>
        <rFont val="Calibri"/>
        <family val="2"/>
        <scheme val="minor"/>
      </rPr>
      <t>0.34574</t>
    </r>
    <r>
      <rPr>
        <sz val="14"/>
        <color theme="1"/>
        <rFont val="Calibri"/>
        <family val="2"/>
        <scheme val="minor"/>
      </rPr>
      <t>(100∇/L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0.16302</t>
    </r>
    <r>
      <rPr>
        <sz val="14"/>
        <color theme="1"/>
        <rFont val="Calibri"/>
        <family val="2"/>
        <scheme val="minor"/>
      </rPr>
      <t>}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</si>
  <si>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</si>
  <si>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2223105 c</t>
    </r>
    <r>
      <rPr>
        <vertAlign val="subscript"/>
        <sz val="14"/>
        <color theme="1"/>
        <rFont val="Calibri"/>
        <family val="2"/>
        <scheme val="minor"/>
      </rPr>
      <t>7</t>
    </r>
    <r>
      <rPr>
        <vertAlign val="superscript"/>
        <sz val="14"/>
        <color theme="1"/>
        <rFont val="Calibri"/>
        <family val="2"/>
        <scheme val="minor"/>
      </rPr>
      <t>3.78613</t>
    </r>
    <r>
      <rPr>
        <sz val="14"/>
        <color theme="1"/>
        <rFont val="Calibri"/>
        <family val="2"/>
        <scheme val="minor"/>
      </rPr>
      <t xml:space="preserve"> (T/B)</t>
    </r>
    <r>
      <rPr>
        <vertAlign val="superscript"/>
        <sz val="14"/>
        <color theme="1"/>
        <rFont val="Calibri"/>
        <family val="2"/>
        <scheme val="minor"/>
      </rPr>
      <t>1.07961</t>
    </r>
    <r>
      <rPr>
        <sz val="14"/>
        <color theme="1"/>
        <rFont val="Calibri"/>
        <family val="2"/>
        <scheme val="minor"/>
      </rPr>
      <t>(90-i</t>
    </r>
    <r>
      <rPr>
        <vertAlign val="subscript"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-1.37656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</si>
  <si>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</si>
  <si>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t xml:space="preserve"> 1-0.8 A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/(BTC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)</t>
    </r>
  </si>
  <si>
    <r>
      <t xml:space="preserve">  A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= 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</si>
  <si>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</si>
  <si>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exp(−1.89√c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</t>
    </r>
  </si>
  <si>
    <r>
      <t>( Since C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= 0 due to 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>=0 )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</si>
  <si>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</si>
  <si>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0.0140407 L/T - 1.75254 ∇</t>
    </r>
    <r>
      <rPr>
        <vertAlign val="superscript"/>
        <sz val="14"/>
        <color theme="1"/>
        <rFont val="Calibri"/>
        <family val="2"/>
        <scheme val="minor"/>
      </rPr>
      <t>1/3</t>
    </r>
    <r>
      <rPr>
        <sz val="14"/>
        <color theme="1"/>
        <rFont val="Calibri"/>
        <family val="2"/>
        <scheme val="minor"/>
      </rPr>
      <t>/L - 4.79323B/L- c</t>
    </r>
    <r>
      <rPr>
        <vertAlign val="subscript"/>
        <sz val="14"/>
        <color theme="1"/>
        <rFont val="Calibri"/>
        <family val="2"/>
        <scheme val="minor"/>
      </rPr>
      <t>16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</si>
  <si>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16</t>
    </r>
  </si>
  <si>
    <r>
      <t>( For Cp &gt;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0.8 )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</si>
  <si>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15</t>
    </r>
  </si>
  <si>
    <r>
      <t xml:space="preserve"> -1.69385+(L/∇</t>
    </r>
    <r>
      <rPr>
        <vertAlign val="superscript"/>
        <sz val="14"/>
        <color theme="1"/>
        <rFont val="Calibri"/>
        <family val="2"/>
        <scheme val="minor"/>
      </rPr>
      <t>1/3</t>
    </r>
    <r>
      <rPr>
        <sz val="14"/>
        <color theme="1"/>
        <rFont val="Calibri"/>
        <family val="2"/>
        <scheme val="minor"/>
      </rPr>
      <t>-8.0)/2.36</t>
    </r>
  </si>
  <si>
    <r>
      <t>( For L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/∇ &lt;512 )</t>
    </r>
  </si>
  <si>
    <r>
      <t>L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/∇</t>
    </r>
  </si>
  <si>
    <r>
      <t>1.446C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-0.03 L/B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</si>
  <si>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APP</t>
    </r>
  </si>
  <si>
    <r>
      <t>(1+k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>eq</t>
    </r>
  </si>
  <si>
    <r>
      <t>{Ʃ(1+k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)S</t>
    </r>
    <r>
      <rPr>
        <vertAlign val="subscript"/>
        <sz val="14"/>
        <color theme="1"/>
        <rFont val="Calibri"/>
        <family val="2"/>
        <scheme val="minor"/>
      </rPr>
      <t>APP</t>
    </r>
    <r>
      <rPr>
        <sz val="14"/>
        <color theme="1"/>
        <rFont val="Calibri"/>
        <family val="2"/>
        <scheme val="minor"/>
      </rPr>
      <t>}/ƩS</t>
    </r>
    <r>
      <rPr>
        <vertAlign val="subscript"/>
        <sz val="14"/>
        <color theme="1"/>
        <rFont val="Calibri"/>
        <family val="2"/>
        <scheme val="minor"/>
      </rPr>
      <t>APP</t>
    </r>
  </si>
  <si>
    <r>
      <t>∆C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</si>
  <si>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(0.105k</t>
    </r>
    <r>
      <rPr>
        <vertAlign val="subscript"/>
        <sz val="14"/>
        <color theme="1"/>
        <rFont val="Calibri"/>
        <family val="2"/>
        <scheme val="minor"/>
      </rPr>
      <t>s</t>
    </r>
    <r>
      <rPr>
        <vertAlign val="superscript"/>
        <sz val="14"/>
        <color theme="1"/>
        <rFont val="Calibri"/>
        <family val="2"/>
        <scheme val="minor"/>
      </rPr>
      <t>1/3</t>
    </r>
    <r>
      <rPr>
        <sz val="14"/>
        <color theme="1"/>
        <rFont val="Calibri"/>
        <family val="2"/>
        <scheme val="minor"/>
      </rPr>
      <t>-0.005579)/L</t>
    </r>
    <r>
      <rPr>
        <vertAlign val="superscript"/>
        <sz val="14"/>
        <color theme="1"/>
        <rFont val="Calibri"/>
        <family val="2"/>
        <scheme val="minor"/>
      </rPr>
      <t>1/3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</si>
  <si>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4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</si>
  <si>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</si>
  <si>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0.006 ( L + 100 )</t>
    </r>
    <r>
      <rPr>
        <vertAlign val="superscript"/>
        <sz val="14"/>
        <color theme="1"/>
        <rFont val="Calibri"/>
        <family val="2"/>
        <scheme val="minor"/>
      </rPr>
      <t>-0.16</t>
    </r>
    <r>
      <rPr>
        <sz val="14"/>
        <color theme="1"/>
        <rFont val="Calibri"/>
        <family val="2"/>
        <scheme val="minor"/>
      </rPr>
      <t>- 0.00205 + 0.003 √( L/7.5 ) C</t>
    </r>
    <r>
      <rPr>
        <vertAlign val="subscript"/>
        <sz val="14"/>
        <color theme="1"/>
        <rFont val="Calibri"/>
        <family val="2"/>
        <scheme val="minor"/>
      </rPr>
      <t>B</t>
    </r>
    <r>
      <rPr>
        <vertAlign val="super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c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( 0.04 - c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>)</t>
    </r>
  </si>
  <si>
    <r>
      <t>1 + k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</si>
  <si>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 xml:space="preserve"> (1 + 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)S</t>
    </r>
    <r>
      <rPr>
        <b/>
        <vertAlign val="subscript"/>
        <sz val="14"/>
        <color theme="1"/>
        <rFont val="Calibri"/>
        <family val="2"/>
        <scheme val="minor"/>
      </rPr>
      <t>APP</t>
    </r>
  </si>
  <si>
    <r>
      <t>F</t>
    </r>
    <r>
      <rPr>
        <vertAlign val="subscript"/>
        <sz val="12"/>
        <color theme="1"/>
        <rFont val="Calibri"/>
        <family val="2"/>
        <scheme val="minor"/>
      </rPr>
      <t>n</t>
    </r>
    <r>
      <rPr>
        <vertAlign val="superscript"/>
        <sz val="12"/>
        <color theme="1"/>
        <rFont val="Calibri"/>
        <family val="2"/>
        <scheme val="minor"/>
      </rPr>
      <t>-2</t>
    </r>
  </si>
  <si>
    <r>
      <t xml:space="preserve"> sin(F</t>
    </r>
    <r>
      <rPr>
        <vertAlign val="subscript"/>
        <sz val="12"/>
        <color theme="1"/>
        <rFont val="Calibri"/>
        <family val="2"/>
        <scheme val="minor"/>
      </rPr>
      <t>n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) </t>
    </r>
  </si>
  <si>
    <r>
      <t xml:space="preserve"> cos(F</t>
    </r>
    <r>
      <rPr>
        <vertAlign val="subscript"/>
        <sz val="12"/>
        <color theme="1"/>
        <rFont val="Calibri"/>
        <family val="2"/>
        <scheme val="minor"/>
      </rPr>
      <t>n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) </t>
    </r>
  </si>
  <si>
    <r>
      <t>F</t>
    </r>
    <r>
      <rPr>
        <b/>
        <vertAlign val="subscript"/>
        <sz val="14"/>
        <color theme="1"/>
        <rFont val="Calibri"/>
        <family val="2"/>
        <scheme val="minor"/>
      </rPr>
      <t>n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</si>
  <si>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F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</si>
  <si>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 xml:space="preserve"> 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</si>
  <si>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</si>
  <si>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W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</si>
  <si>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APP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</si>
  <si>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</si>
  <si>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</si>
  <si>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</si>
  <si>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√gL</t>
    </r>
  </si>
  <si>
    <r>
      <t>0.075/(logRn-2)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</si>
  <si>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ρSV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/2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</si>
  <si>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15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P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exp (-0.1Fn</t>
    </r>
    <r>
      <rPr>
        <b/>
        <vertAlign val="superscript"/>
        <sz val="14"/>
        <color theme="1"/>
        <rFont val="Calibri"/>
        <family val="2"/>
        <scheme val="minor"/>
      </rPr>
      <t>-2</t>
    </r>
    <r>
      <rPr>
        <b/>
        <sz val="14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</si>
  <si>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>∆ρg exp {m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Fn</t>
    </r>
    <r>
      <rPr>
        <b/>
        <vertAlign val="superscript"/>
        <sz val="14"/>
        <color theme="1"/>
        <rFont val="Calibri"/>
        <family val="2"/>
        <scheme val="minor"/>
      </rPr>
      <t>-9</t>
    </r>
    <r>
      <rPr>
        <b/>
        <sz val="14"/>
        <color theme="1"/>
        <rFont val="Calibri"/>
        <family val="2"/>
        <scheme val="minor"/>
      </rPr>
      <t>+m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cos(λFn</t>
    </r>
    <r>
      <rPr>
        <b/>
        <vertAlign val="superscript"/>
        <sz val="14"/>
        <color theme="1"/>
        <rFont val="Calibri"/>
        <family val="2"/>
        <scheme val="minor"/>
      </rPr>
      <t>-2</t>
    </r>
    <r>
      <rPr>
        <b/>
        <sz val="14"/>
        <color theme="1"/>
        <rFont val="Calibri"/>
        <family val="2"/>
        <scheme val="minor"/>
      </rPr>
      <t>)}</t>
    </r>
  </si>
  <si>
    <r>
      <t>0.5ρV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>APP</t>
    </r>
    <r>
      <rPr>
        <b/>
        <sz val="14"/>
        <color theme="1"/>
        <rFont val="Calibri"/>
        <family val="2"/>
        <scheme val="minor"/>
      </rPr>
      <t>(1+k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>eq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F</t>
    </r>
  </si>
  <si>
    <r>
      <t>0.5ρV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SC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</si>
  <si>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(1+k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)+R</t>
    </r>
    <r>
      <rPr>
        <b/>
        <vertAlign val="subscript"/>
        <sz val="14"/>
        <color theme="1"/>
        <rFont val="Calibri"/>
        <family val="2"/>
        <scheme val="minor"/>
      </rPr>
      <t>W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APP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B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TR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</si>
  <si>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/0.5ρSV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</si>
  <si>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 xml:space="preserve"> (kN)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</si>
  <si>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</si>
  <si>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</si>
  <si>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PP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</si>
  <si>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</si>
  <si>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B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</si>
  <si>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PR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</si>
  <si>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</si>
  <si>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S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</si>
  <si>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n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</si>
  <si>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F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</si>
  <si>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 xml:space="preserve"> 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</si>
  <si>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</si>
  <si>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W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</si>
  <si>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APP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</si>
  <si>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</si>
  <si>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</si>
  <si>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 xml:space="preserve"> √gL</t>
    </r>
  </si>
  <si>
    <r>
      <t>0.075/(logRn-2)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</si>
  <si>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ρSV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/2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</si>
  <si>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15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exp (-0.1Fn</t>
    </r>
    <r>
      <rPr>
        <b/>
        <vertAlign val="superscript"/>
        <sz val="12"/>
        <color theme="1"/>
        <rFont val="Calibri"/>
        <family val="2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</si>
  <si>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>∆ρg exp {m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Fn</t>
    </r>
    <r>
      <rPr>
        <b/>
        <vertAlign val="superscript"/>
        <sz val="12"/>
        <color theme="1"/>
        <rFont val="Calibri"/>
        <family val="2"/>
        <scheme val="minor"/>
      </rPr>
      <t>-9</t>
    </r>
    <r>
      <rPr>
        <b/>
        <sz val="12"/>
        <color theme="1"/>
        <rFont val="Calibri"/>
        <family val="2"/>
        <scheme val="minor"/>
      </rPr>
      <t>+m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cos(λFn</t>
    </r>
    <r>
      <rPr>
        <b/>
        <vertAlign val="superscript"/>
        <sz val="12"/>
        <color theme="1"/>
        <rFont val="Calibri"/>
        <family val="2"/>
        <scheme val="minor"/>
      </rPr>
      <t>-2</t>
    </r>
    <r>
      <rPr>
        <b/>
        <sz val="12"/>
        <color theme="1"/>
        <rFont val="Calibri"/>
        <family val="2"/>
        <scheme val="minor"/>
      </rPr>
      <t>)}</t>
    </r>
  </si>
  <si>
    <r>
      <t>0.5ρV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S</t>
    </r>
    <r>
      <rPr>
        <b/>
        <vertAlign val="subscript"/>
        <sz val="12"/>
        <color theme="1"/>
        <rFont val="Calibri"/>
        <family val="2"/>
        <scheme val="minor"/>
      </rPr>
      <t>APP</t>
    </r>
    <r>
      <rPr>
        <b/>
        <sz val="12"/>
        <color theme="1"/>
        <rFont val="Calibri"/>
        <family val="2"/>
        <scheme val="minor"/>
      </rPr>
      <t>(1+k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  <r>
      <rPr>
        <b/>
        <vertAlign val="subscript"/>
        <sz val="12"/>
        <color theme="1"/>
        <rFont val="Calibri"/>
        <family val="2"/>
        <scheme val="minor"/>
      </rPr>
      <t>eq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F</t>
    </r>
  </si>
  <si>
    <r>
      <t>0.5ρV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SC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</si>
  <si>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(1+k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)+R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+R</t>
    </r>
    <r>
      <rPr>
        <b/>
        <vertAlign val="subscript"/>
        <sz val="12"/>
        <color theme="1"/>
        <rFont val="Calibri"/>
        <family val="2"/>
        <scheme val="minor"/>
      </rPr>
      <t>APP</t>
    </r>
    <r>
      <rPr>
        <b/>
        <sz val="12"/>
        <color theme="1"/>
        <rFont val="Calibri"/>
        <family val="2"/>
        <scheme val="minor"/>
      </rPr>
      <t>+R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+R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+R</t>
    </r>
    <r>
      <rPr>
        <b/>
        <vertAlign val="subscript"/>
        <sz val="12"/>
        <color theme="1"/>
        <rFont val="Calibri"/>
        <family val="2"/>
        <scheme val="minor"/>
      </rPr>
      <t>TR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</si>
  <si>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D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</si>
  <si>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S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</si>
  <si>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I</t>
    </r>
  </si>
  <si>
    <t>Total Resistance, RT</t>
  </si>
  <si>
    <t>Effective Power, PE</t>
  </si>
  <si>
    <t>Wake Function, Wt</t>
  </si>
  <si>
    <t>Thrust Deduction Factor,  t</t>
  </si>
  <si>
    <t>Relative Rotative Efficiency,     ηR</t>
  </si>
  <si>
    <t>Hull Efficiency, ηH</t>
  </si>
  <si>
    <t>Thrust Power, Pt</t>
  </si>
  <si>
    <t>To calculate Open Water Efficiency,</t>
  </si>
  <si>
    <t>kW (for each engine)</t>
  </si>
  <si>
    <t>bhp (for each engine)</t>
  </si>
  <si>
    <t>(WEICHAI Marine Engine)</t>
  </si>
  <si>
    <t>Frictional Resistance</t>
  </si>
  <si>
    <t>Resistance of Appendages</t>
  </si>
  <si>
    <t>Wave Making and Wave Breaking Resistance</t>
  </si>
  <si>
    <t>Additional Resistance due to Bulbous Bow</t>
  </si>
  <si>
    <t>Resistance of Immersed Transom Stern</t>
  </si>
  <si>
    <t>Model Ship Correlation Resistance</t>
  </si>
  <si>
    <t>R(B)</t>
  </si>
  <si>
    <t>Total Resistance</t>
  </si>
  <si>
    <t>Effective Power</t>
  </si>
  <si>
    <t>ηd (QPC)</t>
  </si>
  <si>
    <t>Delivered Power</t>
  </si>
  <si>
    <r>
      <t xml:space="preserve">Shaft Power </t>
    </r>
    <r>
      <rPr>
        <i/>
        <sz val="11"/>
        <color theme="1"/>
        <rFont val="Calibri"/>
        <family val="2"/>
        <scheme val="minor"/>
      </rPr>
      <t>(considering shaft loss of 3.5%)</t>
    </r>
  </si>
  <si>
    <r>
      <t xml:space="preserve">Power </t>
    </r>
    <r>
      <rPr>
        <i/>
        <sz val="11"/>
        <color theme="1"/>
        <rFont val="Calibri"/>
        <family val="2"/>
        <scheme val="minor"/>
      </rPr>
      <t>(considering gear box loss of 5%)</t>
    </r>
  </si>
  <si>
    <r>
      <t xml:space="preserve">Power </t>
    </r>
    <r>
      <rPr>
        <i/>
        <sz val="11"/>
        <color theme="1"/>
        <rFont val="Calibri"/>
        <family val="2"/>
        <scheme val="minor"/>
      </rPr>
      <t>(considering sea margin of 15%)</t>
    </r>
  </si>
  <si>
    <t>Per Engine Brake Power</t>
  </si>
  <si>
    <r>
      <t xml:space="preserve">Total Brake Power </t>
    </r>
    <r>
      <rPr>
        <i/>
        <sz val="11"/>
        <color theme="1"/>
        <rFont val="Calibri"/>
        <family val="2"/>
        <scheme val="minor"/>
      </rPr>
      <t>(considering 85% MCR)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</si>
</sst>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fgColor theme="0"/>
        <bgColor theme="0"/>
      </patternFill>
    </fill>
    <fill>
      <patternFill patternType="lightUp">
        <fgColor theme="0"/>
        <bgColor theme="0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/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9" fillId="2" borderId="1" xfId="0" applyNumberFormat="1" applyFont="1" applyFill="1" applyBorder="1"/>
    <xf numFmtId="164" fontId="7" fillId="2" borderId="1" xfId="0" applyNumberFormat="1" applyFont="1" applyFill="1" applyBorder="1"/>
    <xf numFmtId="164" fontId="9" fillId="2" borderId="1" xfId="0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right"/>
    </xf>
    <xf numFmtId="164" fontId="9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/>
    <xf numFmtId="164" fontId="9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left" wrapText="1" readingOrder="1"/>
    </xf>
    <xf numFmtId="164" fontId="21" fillId="0" borderId="1" xfId="0" applyNumberFormat="1" applyFont="1" applyBorder="1" applyAlignment="1">
      <alignment horizontal="right" wrapText="1" readingOrder="1"/>
    </xf>
    <xf numFmtId="164" fontId="7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/>
    <xf numFmtId="16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top"/>
    </xf>
    <xf numFmtId="164" fontId="3" fillId="2" borderId="1" xfId="0" applyNumberFormat="1" applyFont="1" applyFill="1" applyBorder="1" applyAlignment="1">
      <alignment vertical="center"/>
    </xf>
    <xf numFmtId="164" fontId="12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vertical="center"/>
    </xf>
    <xf numFmtId="164" fontId="4" fillId="3" borderId="1" xfId="0" applyNumberFormat="1" applyFont="1" applyFill="1" applyBorder="1"/>
    <xf numFmtId="164" fontId="1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justify" vertical="center"/>
    </xf>
    <xf numFmtId="164" fontId="0" fillId="0" borderId="1" xfId="0" applyNumberFormat="1" applyFont="1" applyBorder="1" applyAlignment="1">
      <alignment horizontal="left" indent="2"/>
    </xf>
    <xf numFmtId="164" fontId="0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left" vertical="center" indent="2"/>
    </xf>
    <xf numFmtId="164" fontId="24" fillId="5" borderId="3" xfId="0" applyNumberFormat="1" applyFont="1" applyFill="1" applyBorder="1" applyAlignment="1">
      <alignment horizontal="center" vertical="center"/>
    </xf>
    <xf numFmtId="164" fontId="24" fillId="5" borderId="4" xfId="0" applyNumberFormat="1" applyFont="1" applyFill="1" applyBorder="1" applyAlignment="1">
      <alignment horizontal="center" vertical="center"/>
    </xf>
    <xf numFmtId="164" fontId="24" fillId="5" borderId="2" xfId="0" applyNumberFormat="1" applyFont="1" applyFill="1" applyBorder="1" applyAlignment="1">
      <alignment horizontal="center" vertical="center"/>
    </xf>
    <xf numFmtId="164" fontId="23" fillId="5" borderId="3" xfId="0" applyNumberFormat="1" applyFont="1" applyFill="1" applyBorder="1" applyAlignment="1">
      <alignment horizontal="center" vertical="center"/>
    </xf>
    <xf numFmtId="164" fontId="23" fillId="5" borderId="4" xfId="0" applyNumberFormat="1" applyFont="1" applyFill="1" applyBorder="1" applyAlignment="1">
      <alignment horizontal="center" vertical="center"/>
    </xf>
    <xf numFmtId="164" fontId="23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vs. 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[1]Resistance!$D$120:$D$134</c:f>
              <c:numCache>
                <c:formatCode>General</c:formatCode>
                <c:ptCount val="15"/>
                <c:pt idx="0">
                  <c:v>4.6165126901374709</c:v>
                </c:pt>
                <c:pt idx="1">
                  <c:v>6.9247690352062046</c:v>
                </c:pt>
                <c:pt idx="2">
                  <c:v>9.2330253802749418</c:v>
                </c:pt>
                <c:pt idx="3">
                  <c:v>11.541281725343675</c:v>
                </c:pt>
                <c:pt idx="4">
                  <c:v>13.849538070412409</c:v>
                </c:pt>
                <c:pt idx="5">
                  <c:v>16.157794415481145</c:v>
                </c:pt>
                <c:pt idx="6">
                  <c:v>18.466050760549884</c:v>
                </c:pt>
                <c:pt idx="7">
                  <c:v>20.774307105618615</c:v>
                </c:pt>
                <c:pt idx="8">
                  <c:v>23.082563450687349</c:v>
                </c:pt>
                <c:pt idx="9">
                  <c:v>25.390819795756087</c:v>
                </c:pt>
                <c:pt idx="10">
                  <c:v>27.699076140824818</c:v>
                </c:pt>
                <c:pt idx="11">
                  <c:v>30.007332485893556</c:v>
                </c:pt>
                <c:pt idx="12">
                  <c:v>32.315588830962291</c:v>
                </c:pt>
                <c:pt idx="13">
                  <c:v>34.623845176031026</c:v>
                </c:pt>
                <c:pt idx="14">
                  <c:v>36.932101521099767</c:v>
                </c:pt>
              </c:numCache>
            </c:numRef>
          </c:xVal>
          <c:yVal>
            <c:numRef>
              <c:f>[1]Resistance!$E$120:$E$134</c:f>
              <c:numCache>
                <c:formatCode>General</c:formatCode>
                <c:ptCount val="15"/>
                <c:pt idx="0">
                  <c:v>12.075794095850018</c:v>
                </c:pt>
                <c:pt idx="1">
                  <c:v>26.725720333597614</c:v>
                </c:pt>
                <c:pt idx="2">
                  <c:v>57.605748350701283</c:v>
                </c:pt>
                <c:pt idx="3">
                  <c:v>59.931619161449603</c:v>
                </c:pt>
                <c:pt idx="4">
                  <c:v>160.82084167553307</c:v>
                </c:pt>
                <c:pt idx="5">
                  <c:v>309.5854032102493</c:v>
                </c:pt>
                <c:pt idx="6">
                  <c:v>683.57087160843957</c:v>
                </c:pt>
                <c:pt idx="7">
                  <c:v>643.02554545684075</c:v>
                </c:pt>
                <c:pt idx="8">
                  <c:v>1419.5180511709527</c:v>
                </c:pt>
                <c:pt idx="9">
                  <c:v>3631.5009258720852</c:v>
                </c:pt>
                <c:pt idx="10">
                  <c:v>6532.8327018301925</c:v>
                </c:pt>
                <c:pt idx="11">
                  <c:v>8417.9921558064289</c:v>
                </c:pt>
                <c:pt idx="12">
                  <c:v>8975.9428557845913</c:v>
                </c:pt>
                <c:pt idx="13">
                  <c:v>8816.0945330786726</c:v>
                </c:pt>
                <c:pt idx="14">
                  <c:v>8451.2548581846549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D-4E21-A14D-31C3249D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36304"/>
        <c:axId val="1568337136"/>
      </c:scatterChart>
      <c:valAx>
        <c:axId val="15683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37136"/>
        <c:crosses val="autoZero"/>
        <c:crossBetween val="midCat"/>
      </c:valAx>
      <c:valAx>
        <c:axId val="15683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 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 vs 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[1]Resistance!$D$144:$D$158</c:f>
              <c:numCache>
                <c:formatCode>General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xVal>
          <c:yVal>
            <c:numRef>
              <c:f>[1]Resistance!$E$144:$E$158</c:f>
              <c:numCache>
                <c:formatCode>General</c:formatCode>
                <c:ptCount val="15"/>
                <c:pt idx="0">
                  <c:v>3.737027024273211E-3</c:v>
                </c:pt>
                <c:pt idx="1">
                  <c:v>3.6758471198049337E-3</c:v>
                </c:pt>
                <c:pt idx="2">
                  <c:v>4.4567304773363526E-3</c:v>
                </c:pt>
                <c:pt idx="3">
                  <c:v>7.9629291673910616E-3</c:v>
                </c:pt>
                <c:pt idx="4">
                  <c:v>1.0645069604479925E-2</c:v>
                </c:pt>
                <c:pt idx="5">
                  <c:v>1.7268634548065161E-2</c:v>
                </c:pt>
                <c:pt idx="6">
                  <c:v>1.2437090169788789E-2</c:v>
                </c:pt>
                <c:pt idx="7">
                  <c:v>2.1693340409231422E-2</c:v>
                </c:pt>
                <c:pt idx="8">
                  <c:v>4.4952793964319081E-2</c:v>
                </c:pt>
                <c:pt idx="9">
                  <c:v>6.6832344528104964E-2</c:v>
                </c:pt>
                <c:pt idx="10">
                  <c:v>7.2362998625994948E-2</c:v>
                </c:pt>
                <c:pt idx="11">
                  <c:v>6.5745177911313554E-2</c:v>
                </c:pt>
                <c:pt idx="12">
                  <c:v>5.5678906517295755E-2</c:v>
                </c:pt>
                <c:pt idx="13">
                  <c:v>4.6495316783124782E-2</c:v>
                </c:pt>
                <c:pt idx="14">
                  <c:v>3.9249247011123339E-2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2-45D5-BEDB-8927C4AD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01856"/>
        <c:axId val="1772103104"/>
      </c:scatterChart>
      <c:valAx>
        <c:axId val="17721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03104"/>
        <c:crosses val="autoZero"/>
        <c:crossBetween val="midCat"/>
      </c:valAx>
      <c:valAx>
        <c:axId val="1772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114</xdr:row>
      <xdr:rowOff>97970</xdr:rowOff>
    </xdr:from>
    <xdr:to>
      <xdr:col>9</xdr:col>
      <xdr:colOff>10886</xdr:colOff>
      <xdr:row>131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77A97-B670-4FC0-B59C-CFCD9A063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55852</xdr:colOff>
      <xdr:row>138</xdr:row>
      <xdr:rowOff>46602</xdr:rowOff>
    </xdr:from>
    <xdr:to>
      <xdr:col>9</xdr:col>
      <xdr:colOff>632796</xdr:colOff>
      <xdr:row>156</xdr:row>
      <xdr:rowOff>155602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A8C75-B061-4B8B-ADED-82F9F43EC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1927261</xdr:colOff>
      <xdr:row>127</xdr:row>
      <xdr:rowOff>77912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B179A0-3959-4A8E-A62A-630A544866B2}"/>
            </a:ext>
          </a:extLst>
        </xdr:cNvPr>
        <xdr:cNvSpPr txBox="1"/>
      </xdr:nvSpPr>
      <xdr:spPr>
        <a:xfrm>
          <a:off x="10633111" y="34272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63346</xdr:colOff>
      <xdr:row>42</xdr:row>
      <xdr:rowOff>11047</xdr:rowOff>
    </xdr:from>
    <xdr:to>
      <xdr:col>13</xdr:col>
      <xdr:colOff>562751</xdr:colOff>
      <xdr:row>45</xdr:row>
      <xdr:rowOff>202927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A07BC5-54C3-4C15-B3B3-A87A74909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4717" y="10252982"/>
          <a:ext cx="6859647" cy="806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10242</xdr:colOff>
      <xdr:row>53</xdr:row>
      <xdr:rowOff>174113</xdr:rowOff>
    </xdr:from>
    <xdr:to>
      <xdr:col>12</xdr:col>
      <xdr:colOff>684755</xdr:colOff>
      <xdr:row>59</xdr:row>
      <xdr:rowOff>9195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21644-4083-47BF-AAAF-376C7E454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1613" y="12546371"/>
          <a:ext cx="5672577" cy="1002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54133</xdr:colOff>
      <xdr:row>67</xdr:row>
      <xdr:rowOff>101127</xdr:rowOff>
    </xdr:from>
    <xdr:to>
      <xdr:col>12</xdr:col>
      <xdr:colOff>689441</xdr:colOff>
      <xdr:row>72</xdr:row>
      <xdr:rowOff>96263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1EEC3D-0841-4EF4-B0D2-6509886A6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5504" y="15269433"/>
          <a:ext cx="5633372" cy="927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245807</xdr:colOff>
      <xdr:row>98</xdr:row>
      <xdr:rowOff>65295</xdr:rowOff>
    </xdr:from>
    <xdr:to>
      <xdr:col>14</xdr:col>
      <xdr:colOff>1409197</xdr:colOff>
      <xdr:row>100</xdr:row>
      <xdr:rowOff>143617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8465D8-36D5-4FE5-9EA5-08BA8C7E82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03" b="74176"/>
        <a:stretch/>
      </xdr:blipFill>
      <xdr:spPr>
        <a:xfrm>
          <a:off x="15885242" y="21225134"/>
          <a:ext cx="3969681" cy="467516"/>
        </a:xfrm>
        <a:prstGeom prst="rect">
          <a:avLst/>
        </a:prstGeom>
      </xdr:spPr>
    </xdr:pic>
    <xdr:clientData/>
  </xdr:twoCellAnchor>
  <xdr:twoCellAnchor editAs="oneCell">
    <xdr:from>
      <xdr:col>12</xdr:col>
      <xdr:colOff>242931</xdr:colOff>
      <xdr:row>94</xdr:row>
      <xdr:rowOff>118183</xdr:rowOff>
    </xdr:from>
    <xdr:to>
      <xdr:col>14</xdr:col>
      <xdr:colOff>330134</xdr:colOff>
      <xdr:row>96</xdr:row>
      <xdr:rowOff>102131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C819B-0E0E-4527-ABFA-C02CE0256E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28" r="27116" b="61968"/>
        <a:stretch/>
      </xdr:blipFill>
      <xdr:spPr>
        <a:xfrm>
          <a:off x="15882366" y="20499635"/>
          <a:ext cx="2893494" cy="373141"/>
        </a:xfrm>
        <a:prstGeom prst="rect">
          <a:avLst/>
        </a:prstGeom>
      </xdr:spPr>
    </xdr:pic>
    <xdr:clientData/>
  </xdr:twoCellAnchor>
  <xdr:twoCellAnchor editAs="oneCell">
    <xdr:from>
      <xdr:col>16</xdr:col>
      <xdr:colOff>23728</xdr:colOff>
      <xdr:row>116</xdr:row>
      <xdr:rowOff>84983</xdr:rowOff>
    </xdr:from>
    <xdr:to>
      <xdr:col>18</xdr:col>
      <xdr:colOff>42724</xdr:colOff>
      <xdr:row>120</xdr:row>
      <xdr:rowOff>106679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C09AE9-5EC2-4535-9E33-C5023750E4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2603" r="57901" b="-709"/>
        <a:stretch/>
      </xdr:blipFill>
      <xdr:spPr>
        <a:xfrm>
          <a:off x="20722680" y="24747564"/>
          <a:ext cx="1667947" cy="800082"/>
        </a:xfrm>
        <a:prstGeom prst="rect">
          <a:avLst/>
        </a:prstGeom>
      </xdr:spPr>
    </xdr:pic>
    <xdr:clientData/>
  </xdr:twoCellAnchor>
  <xdr:twoCellAnchor editAs="oneCell">
    <xdr:from>
      <xdr:col>18</xdr:col>
      <xdr:colOff>299012</xdr:colOff>
      <xdr:row>47</xdr:row>
      <xdr:rowOff>163975</xdr:rowOff>
    </xdr:from>
    <xdr:to>
      <xdr:col>27</xdr:col>
      <xdr:colOff>523272</xdr:colOff>
      <xdr:row>60</xdr:row>
      <xdr:rowOff>24157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776A16-87A1-4A06-B5F6-50D091164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59" t="30893" r="32143" b="40979"/>
        <a:stretch/>
      </xdr:blipFill>
      <xdr:spPr>
        <a:xfrm>
          <a:off x="19488712" y="19823575"/>
          <a:ext cx="6806719" cy="2429269"/>
        </a:xfrm>
        <a:prstGeom prst="rect">
          <a:avLst/>
        </a:prstGeom>
      </xdr:spPr>
    </xdr:pic>
    <xdr:clientData/>
  </xdr:twoCellAnchor>
  <xdr:twoCellAnchor editAs="oneCell">
    <xdr:from>
      <xdr:col>18</xdr:col>
      <xdr:colOff>434051</xdr:colOff>
      <xdr:row>60</xdr:row>
      <xdr:rowOff>135039</xdr:rowOff>
    </xdr:from>
    <xdr:to>
      <xdr:col>22</xdr:col>
      <xdr:colOff>414840</xdr:colOff>
      <xdr:row>65</xdr:row>
      <xdr:rowOff>171113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2D31B8-FCEA-4ED2-859A-2FDE9379C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28" t="25361" r="57221" b="63112"/>
        <a:stretch/>
      </xdr:blipFill>
      <xdr:spPr>
        <a:xfrm>
          <a:off x="19623751" y="22220339"/>
          <a:ext cx="3521598" cy="1026674"/>
        </a:xfrm>
        <a:prstGeom prst="rect">
          <a:avLst/>
        </a:prstGeom>
      </xdr:spPr>
    </xdr:pic>
    <xdr:clientData/>
  </xdr:twoCellAnchor>
  <xdr:twoCellAnchor editAs="oneCell">
    <xdr:from>
      <xdr:col>13</xdr:col>
      <xdr:colOff>471925</xdr:colOff>
      <xdr:row>167</xdr:row>
      <xdr:rowOff>159886</xdr:rowOff>
    </xdr:from>
    <xdr:to>
      <xdr:col>18</xdr:col>
      <xdr:colOff>103927</xdr:colOff>
      <xdr:row>205</xdr:row>
      <xdr:rowOff>62003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E5971E-D466-4D62-8009-FB51467C2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18" t="25134" r="44995" b="7351"/>
        <a:stretch/>
      </xdr:blipFill>
      <xdr:spPr>
        <a:xfrm>
          <a:off x="17470387" y="35221655"/>
          <a:ext cx="5141848" cy="7326733"/>
        </a:xfrm>
        <a:prstGeom prst="rect">
          <a:avLst/>
        </a:prstGeom>
      </xdr:spPr>
    </xdr:pic>
    <xdr:clientData/>
  </xdr:twoCellAnchor>
  <xdr:twoCellAnchor editAs="oneCell">
    <xdr:from>
      <xdr:col>13</xdr:col>
      <xdr:colOff>860514</xdr:colOff>
      <xdr:row>211</xdr:row>
      <xdr:rowOff>4834</xdr:rowOff>
    </xdr:from>
    <xdr:to>
      <xdr:col>17</xdr:col>
      <xdr:colOff>247676</xdr:colOff>
      <xdr:row>244</xdr:row>
      <xdr:rowOff>174005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207B1A-0AB7-4884-98F9-CE60E31A7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05" t="18246" r="44638" b="6841"/>
        <a:stretch/>
      </xdr:blipFill>
      <xdr:spPr>
        <a:xfrm>
          <a:off x="17858976" y="43770988"/>
          <a:ext cx="4271777" cy="66168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-3%20T-2\Sessional\NAME%20338\Group-L-%203rd%20Presentation-%20All%20Calculation-%20NAME%203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ance"/>
      <sheetName val="Power"/>
      <sheetName val="Rudder Calculation"/>
      <sheetName val="Propeller"/>
      <sheetName val="Propeller Blade"/>
      <sheetName val="Engine Foundation"/>
      <sheetName val="Shaft Calculation"/>
    </sheetNames>
    <sheetDataSet>
      <sheetData sheetId="0" refreshError="1">
        <row r="8">
          <cell r="H8">
            <v>66.5</v>
          </cell>
        </row>
        <row r="100">
          <cell r="D100">
            <v>0.2021</v>
          </cell>
          <cell r="E100">
            <v>5.1449198406136514</v>
          </cell>
          <cell r="N100">
            <v>15896.371355402027</v>
          </cell>
        </row>
        <row r="120">
          <cell r="D120">
            <v>4.6165126901374709</v>
          </cell>
          <cell r="E120">
            <v>12.075794095850018</v>
          </cell>
        </row>
        <row r="121">
          <cell r="D121">
            <v>6.9247690352062046</v>
          </cell>
          <cell r="E121">
            <v>26.725720333597614</v>
          </cell>
        </row>
        <row r="122">
          <cell r="D122">
            <v>9.2330253802749418</v>
          </cell>
          <cell r="E122">
            <v>57.605748350701283</v>
          </cell>
        </row>
        <row r="123">
          <cell r="D123">
            <v>11.541281725343675</v>
          </cell>
          <cell r="E123">
            <v>59.931619161449603</v>
          </cell>
        </row>
        <row r="124">
          <cell r="D124">
            <v>13.849538070412409</v>
          </cell>
          <cell r="E124">
            <v>160.82084167553307</v>
          </cell>
        </row>
        <row r="125">
          <cell r="D125">
            <v>16.157794415481145</v>
          </cell>
          <cell r="E125">
            <v>309.5854032102493</v>
          </cell>
        </row>
        <row r="126">
          <cell r="D126">
            <v>18.466050760549884</v>
          </cell>
          <cell r="E126">
            <v>683.57087160843957</v>
          </cell>
        </row>
        <row r="127">
          <cell r="D127">
            <v>20.774307105618615</v>
          </cell>
          <cell r="E127">
            <v>643.02554545684075</v>
          </cell>
        </row>
        <row r="128">
          <cell r="D128">
            <v>23.082563450687349</v>
          </cell>
          <cell r="E128">
            <v>1419.5180511709527</v>
          </cell>
        </row>
        <row r="129">
          <cell r="D129">
            <v>25.390819795756087</v>
          </cell>
          <cell r="E129">
            <v>3631.5009258720852</v>
          </cell>
        </row>
        <row r="130">
          <cell r="D130">
            <v>27.699076140824818</v>
          </cell>
          <cell r="E130">
            <v>6532.8327018301925</v>
          </cell>
        </row>
        <row r="131">
          <cell r="D131">
            <v>30.007332485893556</v>
          </cell>
          <cell r="E131">
            <v>8417.9921558064289</v>
          </cell>
        </row>
        <row r="132">
          <cell r="D132">
            <v>32.315588830962291</v>
          </cell>
          <cell r="E132">
            <v>8975.9428557845913</v>
          </cell>
        </row>
        <row r="133">
          <cell r="D133">
            <v>34.623845176031026</v>
          </cell>
          <cell r="E133">
            <v>8816.0945330786726</v>
          </cell>
        </row>
        <row r="134">
          <cell r="D134">
            <v>36.932101521099767</v>
          </cell>
          <cell r="E134">
            <v>8451.2548581846549</v>
          </cell>
        </row>
        <row r="144">
          <cell r="D144">
            <v>0.1</v>
          </cell>
          <cell r="E144">
            <v>3.737027024273211E-3</v>
          </cell>
        </row>
        <row r="145">
          <cell r="D145">
            <v>0.15</v>
          </cell>
          <cell r="E145">
            <v>3.6758471198049337E-3</v>
          </cell>
        </row>
        <row r="146">
          <cell r="D146">
            <v>0.2</v>
          </cell>
          <cell r="E146">
            <v>4.4567304773363526E-3</v>
          </cell>
        </row>
        <row r="147">
          <cell r="D147">
            <v>0.25</v>
          </cell>
          <cell r="E147">
            <v>7.9629291673910616E-3</v>
          </cell>
        </row>
        <row r="148">
          <cell r="D148">
            <v>0.3</v>
          </cell>
          <cell r="E148">
            <v>1.0645069604479925E-2</v>
          </cell>
        </row>
        <row r="149">
          <cell r="D149">
            <v>0.35</v>
          </cell>
          <cell r="E149">
            <v>1.7268634548065161E-2</v>
          </cell>
        </row>
        <row r="150">
          <cell r="D150">
            <v>0.4</v>
          </cell>
          <cell r="E150">
            <v>1.2437090169788789E-2</v>
          </cell>
        </row>
        <row r="151">
          <cell r="D151">
            <v>0.45</v>
          </cell>
          <cell r="E151">
            <v>2.1693340409231422E-2</v>
          </cell>
        </row>
        <row r="152">
          <cell r="D152">
            <v>0.5</v>
          </cell>
          <cell r="E152">
            <v>4.4952793964319081E-2</v>
          </cell>
        </row>
        <row r="153">
          <cell r="D153">
            <v>0.55000000000000004</v>
          </cell>
          <cell r="E153">
            <v>6.6832344528104964E-2</v>
          </cell>
        </row>
        <row r="154">
          <cell r="D154">
            <v>0.6</v>
          </cell>
          <cell r="E154">
            <v>7.2362998625994948E-2</v>
          </cell>
        </row>
        <row r="155">
          <cell r="D155">
            <v>0.65</v>
          </cell>
          <cell r="E155">
            <v>6.5745177911313554E-2</v>
          </cell>
        </row>
        <row r="156">
          <cell r="D156">
            <v>0.7</v>
          </cell>
          <cell r="E156">
            <v>5.5678906517295755E-2</v>
          </cell>
        </row>
        <row r="157">
          <cell r="D157">
            <v>0.75</v>
          </cell>
          <cell r="E157">
            <v>4.6495316783124782E-2</v>
          </cell>
        </row>
        <row r="158">
          <cell r="D158">
            <v>0.8</v>
          </cell>
          <cell r="E158">
            <v>3.9249247011123339E-2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zoomScale="51" zoomScaleNormal="51" workbookViewId="0"/>
  </sheetViews>
  <sheetFormatPr defaultColWidth="8.90625" defaultRowHeight="14.5" x14ac:dyDescent="0.35"/>
  <cols>
    <col min="1" max="2" width="8.90625" style="2"/>
    <col min="3" max="3" width="25.08984375" style="2" customWidth="1"/>
    <col min="4" max="4" width="13.453125" style="2" customWidth="1"/>
    <col min="5" max="5" width="30.54296875" style="2" customWidth="1"/>
    <col min="6" max="6" width="38.26953125" style="2" customWidth="1"/>
    <col min="7" max="7" width="17.08984375" style="2" customWidth="1"/>
    <col min="8" max="8" width="24.08984375" style="2" customWidth="1"/>
    <col min="9" max="9" width="32" style="2" customWidth="1"/>
    <col min="10" max="10" width="17.453125" style="2" customWidth="1"/>
    <col min="11" max="11" width="15.08984375" style="2" customWidth="1"/>
    <col min="12" max="12" width="27.6328125" style="2" customWidth="1"/>
    <col min="13" max="13" width="30.7265625" style="2" customWidth="1"/>
    <col min="14" max="14" width="51.453125" style="2" customWidth="1"/>
    <col min="15" max="15" width="28" style="2" customWidth="1"/>
    <col min="16" max="16" width="19.90625" style="2" customWidth="1"/>
    <col min="17" max="17" width="40.6328125" style="2" customWidth="1"/>
    <col min="18" max="18" width="15.54296875" style="2" customWidth="1"/>
    <col min="19" max="16384" width="8.90625" style="2"/>
  </cols>
  <sheetData>
    <row r="1" spans="2:12" ht="16.25" customHeight="1" x14ac:dyDescent="0.35">
      <c r="B1" s="25"/>
      <c r="C1" s="47"/>
      <c r="D1" s="47"/>
      <c r="E1" s="47"/>
      <c r="F1" s="26"/>
    </row>
    <row r="2" spans="2:12" ht="16.25" customHeight="1" x14ac:dyDescent="0.35">
      <c r="B2" s="25"/>
      <c r="C2" s="47"/>
      <c r="D2" s="47"/>
      <c r="E2" s="47"/>
      <c r="F2" s="26"/>
    </row>
    <row r="3" spans="2:12" ht="16.25" customHeight="1" x14ac:dyDescent="0.35">
      <c r="B3" s="25"/>
      <c r="C3" s="47"/>
      <c r="D3" s="47"/>
      <c r="E3" s="47"/>
      <c r="F3" s="26"/>
    </row>
    <row r="4" spans="2:12" ht="16.25" customHeight="1" x14ac:dyDescent="0.35">
      <c r="G4" s="27" t="s">
        <v>0</v>
      </c>
      <c r="H4" s="1">
        <v>76.400000000000006</v>
      </c>
      <c r="I4" s="1" t="s">
        <v>1</v>
      </c>
      <c r="J4" s="1"/>
      <c r="K4" s="1"/>
      <c r="L4" s="1"/>
    </row>
    <row r="5" spans="2:12" ht="23" customHeight="1" x14ac:dyDescent="0.35">
      <c r="G5" s="27" t="s">
        <v>106</v>
      </c>
      <c r="H5" s="1">
        <v>74.400000000000006</v>
      </c>
      <c r="I5" s="1" t="s">
        <v>1</v>
      </c>
      <c r="J5" s="1"/>
      <c r="K5" s="28" t="s">
        <v>2</v>
      </c>
      <c r="L5" s="3">
        <f>H4/H5</f>
        <v>1.0268817204301075</v>
      </c>
    </row>
    <row r="6" spans="2:12" ht="19.5" customHeight="1" x14ac:dyDescent="0.35">
      <c r="B6" s="29"/>
      <c r="C6" s="29"/>
      <c r="D6" s="29"/>
      <c r="E6" s="29"/>
      <c r="F6" s="29"/>
      <c r="G6" s="27" t="s">
        <v>3</v>
      </c>
      <c r="H6" s="1">
        <v>-0.223</v>
      </c>
      <c r="I6" s="1" t="s">
        <v>1</v>
      </c>
      <c r="J6" s="1"/>
      <c r="K6" s="28" t="s">
        <v>3</v>
      </c>
      <c r="L6" s="4">
        <v>0.223</v>
      </c>
    </row>
    <row r="7" spans="2:12" ht="21" customHeight="1" x14ac:dyDescent="0.35">
      <c r="G7" s="27" t="s">
        <v>4</v>
      </c>
      <c r="H7" s="1">
        <v>13.54</v>
      </c>
      <c r="I7" s="1" t="s">
        <v>1</v>
      </c>
      <c r="J7" s="1"/>
      <c r="K7" s="28" t="s">
        <v>5</v>
      </c>
      <c r="L7" s="3">
        <f>H7/H5</f>
        <v>0.18198924731182795</v>
      </c>
    </row>
    <row r="8" spans="2:12" ht="20.5" customHeight="1" x14ac:dyDescent="0.35">
      <c r="G8" s="27" t="s">
        <v>6</v>
      </c>
      <c r="H8" s="1">
        <v>5.0999999999999996</v>
      </c>
      <c r="I8" s="1" t="s">
        <v>1</v>
      </c>
      <c r="J8" s="1"/>
      <c r="K8" s="28" t="s">
        <v>7</v>
      </c>
      <c r="L8" s="3">
        <f>H8/H5</f>
        <v>6.8548387096774188E-2</v>
      </c>
    </row>
    <row r="9" spans="2:12" ht="19" customHeight="1" x14ac:dyDescent="0.35">
      <c r="G9" s="27" t="s">
        <v>8</v>
      </c>
      <c r="H9" s="1">
        <v>3.85</v>
      </c>
      <c r="I9" s="1" t="s">
        <v>1</v>
      </c>
      <c r="J9" s="1"/>
      <c r="K9" s="3"/>
      <c r="L9" s="5"/>
    </row>
    <row r="10" spans="2:12" ht="21" customHeight="1" x14ac:dyDescent="0.35">
      <c r="G10" s="30" t="s">
        <v>9</v>
      </c>
      <c r="H10" s="1">
        <f>H5*H7*H9*H11</f>
        <v>3063.9341039999999</v>
      </c>
      <c r="I10" s="1" t="s">
        <v>107</v>
      </c>
      <c r="J10" s="1"/>
      <c r="K10" s="3"/>
      <c r="L10" s="3"/>
    </row>
    <row r="11" spans="2:12" ht="16.25" customHeight="1" x14ac:dyDescent="0.35">
      <c r="G11" s="27" t="s">
        <v>108</v>
      </c>
      <c r="H11" s="1">
        <v>0.79</v>
      </c>
      <c r="I11" s="1"/>
      <c r="J11" s="1"/>
      <c r="K11" s="28" t="s">
        <v>10</v>
      </c>
      <c r="L11" s="3">
        <f>H9/H5</f>
        <v>5.1747311827956985E-2</v>
      </c>
    </row>
    <row r="12" spans="2:12" ht="24.5" customHeight="1" x14ac:dyDescent="0.35">
      <c r="G12" s="27" t="s">
        <v>109</v>
      </c>
      <c r="H12" s="1">
        <v>0.81399999999999995</v>
      </c>
      <c r="I12" s="1"/>
      <c r="J12" s="1"/>
      <c r="K12" s="28" t="s">
        <v>11</v>
      </c>
      <c r="L12" s="3">
        <f>H7/H9</f>
        <v>3.5168831168831165</v>
      </c>
    </row>
    <row r="13" spans="2:12" ht="23" customHeight="1" x14ac:dyDescent="0.35">
      <c r="G13" s="27" t="s">
        <v>110</v>
      </c>
      <c r="H13" s="1">
        <v>0.97299999999999998</v>
      </c>
      <c r="I13" s="1"/>
      <c r="J13" s="1"/>
      <c r="K13" s="28" t="s">
        <v>12</v>
      </c>
      <c r="L13" s="3">
        <f>H5/H7</f>
        <v>5.4948301329394393</v>
      </c>
    </row>
    <row r="14" spans="2:12" ht="20.5" customHeight="1" x14ac:dyDescent="0.45">
      <c r="G14" s="27" t="s">
        <v>111</v>
      </c>
      <c r="H14" s="31">
        <v>0.89400000000000002</v>
      </c>
      <c r="I14" s="1"/>
      <c r="J14" s="1"/>
      <c r="K14" s="28" t="s">
        <v>13</v>
      </c>
      <c r="L14" s="3">
        <f>H5/H9</f>
        <v>19.324675324675326</v>
      </c>
    </row>
    <row r="15" spans="2:12" ht="20.5" customHeight="1" x14ac:dyDescent="0.35">
      <c r="G15" s="27" t="s">
        <v>14</v>
      </c>
      <c r="H15" s="32" t="s">
        <v>15</v>
      </c>
      <c r="I15" s="1"/>
      <c r="J15" s="1"/>
      <c r="K15" s="28" t="s">
        <v>16</v>
      </c>
      <c r="L15" s="3">
        <f>H7/H5</f>
        <v>0.18198924731182795</v>
      </c>
    </row>
    <row r="16" spans="2:12" ht="27" customHeight="1" x14ac:dyDescent="0.35">
      <c r="G16" s="27"/>
      <c r="H16" s="1"/>
      <c r="I16" s="1"/>
      <c r="J16" s="1"/>
      <c r="K16" s="28" t="s">
        <v>113</v>
      </c>
      <c r="L16" s="3">
        <f>H5/H10^(1/3)</f>
        <v>5.1224743841876181</v>
      </c>
    </row>
    <row r="17" spans="2:17" ht="16.25" customHeight="1" x14ac:dyDescent="0.35">
      <c r="G17" s="33"/>
      <c r="H17" s="33"/>
      <c r="I17" s="33"/>
      <c r="J17" s="33"/>
      <c r="K17" s="33"/>
      <c r="L17" s="33"/>
    </row>
    <row r="18" spans="2:17" ht="16.25" customHeight="1" x14ac:dyDescent="0.35">
      <c r="H18" s="29"/>
      <c r="I18" s="29"/>
    </row>
    <row r="19" spans="2:17" ht="16.25" customHeight="1" x14ac:dyDescent="0.35">
      <c r="H19" s="29"/>
      <c r="I19" s="29"/>
    </row>
    <row r="20" spans="2:17" ht="16.25" customHeight="1" x14ac:dyDescent="0.35">
      <c r="H20" s="29"/>
      <c r="I20" s="29"/>
    </row>
    <row r="21" spans="2:17" ht="16.25" customHeight="1" x14ac:dyDescent="0.35"/>
    <row r="22" spans="2:17" ht="16.25" customHeight="1" x14ac:dyDescent="0.35">
      <c r="M22" s="48"/>
      <c r="N22" s="48"/>
    </row>
    <row r="23" spans="2:17" s="29" customFormat="1" ht="20" customHeight="1" x14ac:dyDescent="0.35">
      <c r="B23" s="45" t="s">
        <v>17</v>
      </c>
      <c r="C23" s="45"/>
      <c r="D23" s="45"/>
      <c r="E23" s="45"/>
      <c r="F23" s="45"/>
      <c r="G23" s="24" t="s">
        <v>114</v>
      </c>
      <c r="H23" s="43" t="s">
        <v>115</v>
      </c>
      <c r="I23" s="43"/>
      <c r="J23" s="43"/>
      <c r="K23" s="43"/>
      <c r="L23" s="1">
        <f>1+0.003*10</f>
        <v>1.03</v>
      </c>
      <c r="M23" s="1" t="s">
        <v>116</v>
      </c>
      <c r="N23" s="34"/>
      <c r="O23" s="1"/>
      <c r="P23" s="1"/>
      <c r="Q23" s="1"/>
    </row>
    <row r="24" spans="2:17" s="29" customFormat="1" ht="20" customHeight="1" x14ac:dyDescent="0.35">
      <c r="B24" s="45" t="s">
        <v>18</v>
      </c>
      <c r="C24" s="45"/>
      <c r="D24" s="45"/>
      <c r="E24" s="45"/>
      <c r="F24" s="45"/>
      <c r="G24" s="24" t="s">
        <v>117</v>
      </c>
      <c r="H24" s="43" t="s">
        <v>19</v>
      </c>
      <c r="I24" s="43"/>
      <c r="J24" s="43"/>
      <c r="K24" s="43"/>
      <c r="L24" s="32">
        <f>L11^0.2228446</f>
        <v>0.51688846431996294</v>
      </c>
      <c r="M24" s="43" t="s">
        <v>20</v>
      </c>
      <c r="N24" s="43"/>
      <c r="O24" s="1"/>
      <c r="P24" s="1"/>
      <c r="Q24" s="1"/>
    </row>
    <row r="25" spans="2:17" s="29" customFormat="1" ht="20" customHeight="1" x14ac:dyDescent="0.35">
      <c r="B25" s="45" t="s">
        <v>21</v>
      </c>
      <c r="C25" s="45"/>
      <c r="D25" s="45"/>
      <c r="E25" s="45"/>
      <c r="F25" s="45"/>
      <c r="G25" s="24" t="s">
        <v>118</v>
      </c>
      <c r="H25" s="43" t="s">
        <v>22</v>
      </c>
      <c r="I25" s="43"/>
      <c r="J25" s="43"/>
      <c r="K25" s="43"/>
      <c r="L25" s="32">
        <v>-0.223</v>
      </c>
      <c r="M25" s="43"/>
      <c r="N25" s="43"/>
      <c r="O25" s="1"/>
      <c r="P25" s="1"/>
      <c r="Q25" s="1"/>
    </row>
    <row r="26" spans="2:17" s="29" customFormat="1" ht="20" customHeight="1" x14ac:dyDescent="0.35">
      <c r="B26" s="45" t="s">
        <v>23</v>
      </c>
      <c r="C26" s="45"/>
      <c r="D26" s="45"/>
      <c r="E26" s="45"/>
      <c r="F26" s="45"/>
      <c r="G26" s="24" t="s">
        <v>119</v>
      </c>
      <c r="H26" s="43" t="s">
        <v>120</v>
      </c>
      <c r="I26" s="43"/>
      <c r="J26" s="43"/>
      <c r="K26" s="43"/>
      <c r="L26" s="32">
        <f>H5*(1-H12+0.06*H12*H6*(4*H12-1))</f>
        <v>12.010331146752005</v>
      </c>
      <c r="M26" s="43"/>
      <c r="N26" s="43"/>
      <c r="O26" s="1"/>
      <c r="P26" s="1"/>
      <c r="Q26" s="1"/>
    </row>
    <row r="27" spans="2:17" s="29" customFormat="1" ht="20" customHeight="1" x14ac:dyDescent="0.35">
      <c r="B27" s="45" t="s">
        <v>24</v>
      </c>
      <c r="C27" s="45"/>
      <c r="D27" s="45"/>
      <c r="E27" s="45"/>
      <c r="F27" s="45"/>
      <c r="G27" s="24" t="s">
        <v>121</v>
      </c>
      <c r="H27" s="43" t="s">
        <v>122</v>
      </c>
      <c r="I27" s="43"/>
      <c r="J27" s="43"/>
      <c r="K27" s="43"/>
      <c r="L27" s="32">
        <f>(L23*(0.93+L24*(H7/L26)^0.92497)*((0.95-H12)^(-0.521448)*(1-H12+0.0225*H6)^0.6906))</f>
        <v>1.3496887073489494</v>
      </c>
      <c r="M27" s="43"/>
      <c r="N27" s="43"/>
      <c r="O27" s="1"/>
      <c r="P27" s="1"/>
      <c r="Q27" s="1"/>
    </row>
    <row r="28" spans="2:17" s="29" customFormat="1" ht="20" customHeight="1" x14ac:dyDescent="0.35">
      <c r="B28" s="45" t="s">
        <v>25</v>
      </c>
      <c r="C28" s="45"/>
      <c r="D28" s="45"/>
      <c r="E28" s="45"/>
      <c r="F28" s="45"/>
      <c r="G28" s="24" t="s">
        <v>123</v>
      </c>
      <c r="H28" s="43" t="s">
        <v>124</v>
      </c>
      <c r="I28" s="43"/>
      <c r="J28" s="43"/>
      <c r="K28" s="43"/>
      <c r="L28" s="32">
        <f>2/3*H11+1/3</f>
        <v>0.85999999999999988</v>
      </c>
      <c r="M28" s="43"/>
      <c r="N28" s="43"/>
      <c r="O28" s="1"/>
      <c r="P28" s="1"/>
      <c r="Q28" s="1"/>
    </row>
    <row r="29" spans="2:17" s="29" customFormat="1" ht="20" customHeight="1" x14ac:dyDescent="0.35">
      <c r="B29" s="45" t="s">
        <v>26</v>
      </c>
      <c r="C29" s="45"/>
      <c r="D29" s="45"/>
      <c r="E29" s="45"/>
      <c r="F29" s="45"/>
      <c r="G29" s="24" t="s">
        <v>27</v>
      </c>
      <c r="H29" s="43" t="s">
        <v>125</v>
      </c>
      <c r="I29" s="43"/>
      <c r="J29" s="43"/>
      <c r="K29" s="43"/>
      <c r="L29" s="32">
        <f>H5*(2*H9+H7)*SQRT(H13)*(0.453+0.4425*H11-0.2862*H13-0.003467*L12+0.3696*L28)+2.38*O29/H11</f>
        <v>1298.0495648956064</v>
      </c>
      <c r="M29" s="43" t="s">
        <v>126</v>
      </c>
      <c r="N29" s="43"/>
      <c r="O29" s="1">
        <v>1.5370999999999999</v>
      </c>
      <c r="P29" s="1"/>
      <c r="Q29" s="1"/>
    </row>
    <row r="30" spans="2:17" s="29" customFormat="1" ht="20" customHeight="1" x14ac:dyDescent="0.35">
      <c r="B30" s="45" t="s">
        <v>28</v>
      </c>
      <c r="C30" s="45"/>
      <c r="D30" s="45"/>
      <c r="E30" s="45"/>
      <c r="F30" s="45"/>
      <c r="G30" s="24" t="s">
        <v>127</v>
      </c>
      <c r="H30" s="43" t="s">
        <v>16</v>
      </c>
      <c r="I30" s="43"/>
      <c r="J30" s="43"/>
      <c r="K30" s="43"/>
      <c r="L30" s="32">
        <f>L15</f>
        <v>0.18198924731182795</v>
      </c>
      <c r="M30" s="43" t="s">
        <v>29</v>
      </c>
      <c r="N30" s="43"/>
      <c r="O30" s="1"/>
      <c r="P30" s="1"/>
      <c r="Q30" s="1"/>
    </row>
    <row r="31" spans="2:17" s="29" customFormat="1" ht="20" customHeight="1" x14ac:dyDescent="0.35">
      <c r="B31" s="45" t="s">
        <v>30</v>
      </c>
      <c r="C31" s="45"/>
      <c r="D31" s="45"/>
      <c r="E31" s="45"/>
      <c r="F31" s="45"/>
      <c r="G31" s="24" t="s">
        <v>128</v>
      </c>
      <c r="H31" s="43" t="s">
        <v>129</v>
      </c>
      <c r="I31" s="43"/>
      <c r="J31" s="43"/>
      <c r="K31" s="43"/>
      <c r="L31" s="32">
        <f>1+89*EXP(-(L13^0.80856)*((1-L28)^0.30484)*((1-H12-0.0225*H6)^0.6367)*((L26/H7)^0.34574)*(100*H10/H5^3)^0.16302)</f>
        <v>45.464607987686158</v>
      </c>
      <c r="M31" s="43">
        <v>48</v>
      </c>
      <c r="N31" s="43"/>
      <c r="O31" s="1"/>
      <c r="P31" s="1"/>
      <c r="Q31" s="1"/>
    </row>
    <row r="32" spans="2:17" s="29" customFormat="1" ht="20" customHeight="1" x14ac:dyDescent="0.35">
      <c r="B32" s="45" t="s">
        <v>28</v>
      </c>
      <c r="C32" s="45"/>
      <c r="D32" s="45"/>
      <c r="E32" s="45"/>
      <c r="F32" s="45"/>
      <c r="G32" s="24" t="s">
        <v>130</v>
      </c>
      <c r="H32" s="43" t="s">
        <v>131</v>
      </c>
      <c r="I32" s="43"/>
      <c r="J32" s="43"/>
      <c r="K32" s="43"/>
      <c r="L32" s="32">
        <f>2223105*L30^3.78613*L12^(-1.07961)*(90-M31)^(-1.37656)</f>
        <v>5.2633142349812214</v>
      </c>
      <c r="M32" s="43"/>
      <c r="N32" s="43"/>
      <c r="O32" s="1"/>
      <c r="P32" s="1"/>
      <c r="Q32" s="1"/>
    </row>
    <row r="33" spans="1:17" s="29" customFormat="1" ht="20" customHeight="1" x14ac:dyDescent="0.35">
      <c r="B33" s="45" t="s">
        <v>58</v>
      </c>
      <c r="C33" s="45"/>
      <c r="D33" s="45"/>
      <c r="E33" s="45"/>
      <c r="F33" s="45"/>
      <c r="G33" s="24" t="s">
        <v>132</v>
      </c>
      <c r="H33" s="43" t="s">
        <v>133</v>
      </c>
      <c r="I33" s="43"/>
      <c r="J33" s="43"/>
      <c r="K33" s="43"/>
      <c r="L33" s="32">
        <f>1-(0.48*O33/(H7*H9*H13))</f>
        <v>0.98841107216883917</v>
      </c>
      <c r="M33" s="43" t="s">
        <v>134</v>
      </c>
      <c r="N33" s="43"/>
      <c r="O33" s="1">
        <v>1.2245999999999999</v>
      </c>
      <c r="P33" s="1"/>
      <c r="Q33" s="1"/>
    </row>
    <row r="34" spans="1:17" s="29" customFormat="1" ht="47" customHeight="1" x14ac:dyDescent="0.35">
      <c r="B34" s="46" t="s">
        <v>59</v>
      </c>
      <c r="C34" s="46"/>
      <c r="D34" s="46"/>
      <c r="E34" s="46"/>
      <c r="F34" s="46"/>
      <c r="G34" s="24" t="s">
        <v>135</v>
      </c>
      <c r="H34" s="43" t="s">
        <v>136</v>
      </c>
      <c r="I34" s="43"/>
      <c r="J34" s="43"/>
      <c r="K34" s="43"/>
      <c r="L34" s="32">
        <v>1</v>
      </c>
      <c r="M34" s="43" t="s">
        <v>137</v>
      </c>
      <c r="N34" s="43"/>
      <c r="O34" s="1"/>
      <c r="P34" s="1"/>
      <c r="Q34" s="1"/>
    </row>
    <row r="35" spans="1:17" s="29" customFormat="1" ht="20" customHeight="1" x14ac:dyDescent="0.35">
      <c r="B35" s="45" t="s">
        <v>31</v>
      </c>
      <c r="C35" s="45"/>
      <c r="D35" s="45"/>
      <c r="E35" s="45"/>
      <c r="F35" s="45"/>
      <c r="G35" s="24" t="s">
        <v>138</v>
      </c>
      <c r="H35" s="43" t="s">
        <v>139</v>
      </c>
      <c r="I35" s="43"/>
      <c r="J35" s="43"/>
      <c r="K35" s="43"/>
      <c r="L35" s="32">
        <f>0.0140407*L14-1.75254*(H10^(1/3)/H5)-4.79323*L15-L36</f>
        <v>-2.0979981770011924</v>
      </c>
      <c r="M35" s="43"/>
      <c r="N35" s="43"/>
      <c r="O35" s="1"/>
      <c r="P35" s="1"/>
      <c r="Q35" s="1"/>
    </row>
    <row r="36" spans="1:17" s="29" customFormat="1" ht="20" customHeight="1" x14ac:dyDescent="0.35">
      <c r="B36" s="45" t="s">
        <v>28</v>
      </c>
      <c r="C36" s="45"/>
      <c r="D36" s="45"/>
      <c r="E36" s="45"/>
      <c r="F36" s="45"/>
      <c r="G36" s="24" t="s">
        <v>140</v>
      </c>
      <c r="H36" s="43" t="s">
        <v>32</v>
      </c>
      <c r="I36" s="43"/>
      <c r="J36" s="43"/>
      <c r="K36" s="43"/>
      <c r="L36" s="32">
        <f>1.73014-0.7067*H12</f>
        <v>1.1548862</v>
      </c>
      <c r="M36" s="43" t="s">
        <v>141</v>
      </c>
      <c r="N36" s="43"/>
      <c r="O36" s="1"/>
      <c r="P36" s="1"/>
      <c r="Q36" s="1"/>
    </row>
    <row r="37" spans="1:17" s="29" customFormat="1" ht="20" customHeight="1" x14ac:dyDescent="0.35">
      <c r="B37" s="45" t="s">
        <v>28</v>
      </c>
      <c r="C37" s="45"/>
      <c r="D37" s="45"/>
      <c r="E37" s="45"/>
      <c r="F37" s="45"/>
      <c r="G37" s="24" t="s">
        <v>142</v>
      </c>
      <c r="H37" s="43" t="s">
        <v>143</v>
      </c>
      <c r="I37" s="43"/>
      <c r="J37" s="43"/>
      <c r="K37" s="43"/>
      <c r="L37" s="34">
        <v>-1.69835</v>
      </c>
      <c r="M37" s="43" t="s">
        <v>144</v>
      </c>
      <c r="N37" s="43"/>
      <c r="O37" s="34" t="s">
        <v>145</v>
      </c>
      <c r="P37" s="1">
        <f>H5^3/H10</f>
        <v>134.4124155484775</v>
      </c>
      <c r="Q37" s="1"/>
    </row>
    <row r="38" spans="1:17" s="29" customFormat="1" ht="20" customHeight="1" x14ac:dyDescent="0.35">
      <c r="B38" s="45" t="s">
        <v>23</v>
      </c>
      <c r="C38" s="45"/>
      <c r="D38" s="45"/>
      <c r="E38" s="45"/>
      <c r="F38" s="45"/>
      <c r="G38" s="24" t="s">
        <v>33</v>
      </c>
      <c r="H38" s="43" t="s">
        <v>146</v>
      </c>
      <c r="I38" s="43"/>
      <c r="J38" s="43"/>
      <c r="K38" s="43"/>
      <c r="L38" s="32">
        <f>1.446*H12-0.03*L13</f>
        <v>1.0121990960118168</v>
      </c>
      <c r="M38" s="43" t="s">
        <v>34</v>
      </c>
      <c r="N38" s="43"/>
      <c r="O38" s="1"/>
      <c r="P38" s="1"/>
      <c r="Q38" s="1"/>
    </row>
    <row r="39" spans="1:17" s="29" customFormat="1" ht="20" customHeight="1" x14ac:dyDescent="0.35">
      <c r="B39" s="45" t="s">
        <v>35</v>
      </c>
      <c r="C39" s="45"/>
      <c r="D39" s="45"/>
      <c r="E39" s="45"/>
      <c r="F39" s="45"/>
      <c r="G39" s="24" t="s">
        <v>147</v>
      </c>
      <c r="H39" s="43" t="s">
        <v>36</v>
      </c>
      <c r="I39" s="43"/>
      <c r="J39" s="43"/>
      <c r="K39" s="43"/>
      <c r="L39" s="32">
        <f>0.02*L29</f>
        <v>25.96099129791213</v>
      </c>
      <c r="M39" s="43"/>
      <c r="N39" s="43"/>
      <c r="O39" s="1"/>
      <c r="P39" s="1"/>
      <c r="Q39" s="1"/>
    </row>
    <row r="40" spans="1:17" s="29" customFormat="1" ht="20" customHeight="1" x14ac:dyDescent="0.35">
      <c r="B40" s="45" t="s">
        <v>37</v>
      </c>
      <c r="C40" s="45"/>
      <c r="D40" s="45"/>
      <c r="E40" s="45"/>
      <c r="F40" s="45"/>
      <c r="G40" s="24" t="s">
        <v>148</v>
      </c>
      <c r="H40" s="43" t="s">
        <v>149</v>
      </c>
      <c r="I40" s="43"/>
      <c r="J40" s="43"/>
      <c r="K40" s="43"/>
      <c r="L40" s="32">
        <f>F56/L39</f>
        <v>12.2</v>
      </c>
      <c r="M40" s="43"/>
      <c r="N40" s="43"/>
      <c r="O40" s="1"/>
      <c r="P40" s="1"/>
      <c r="Q40" s="1"/>
    </row>
    <row r="41" spans="1:17" s="29" customFormat="1" ht="20" customHeight="1" x14ac:dyDescent="0.35">
      <c r="B41" s="45" t="s">
        <v>38</v>
      </c>
      <c r="C41" s="45"/>
      <c r="D41" s="45"/>
      <c r="E41" s="45"/>
      <c r="F41" s="45"/>
      <c r="G41" s="24" t="s">
        <v>150</v>
      </c>
      <c r="H41" s="43" t="s">
        <v>151</v>
      </c>
      <c r="I41" s="43"/>
      <c r="J41" s="43"/>
      <c r="K41" s="43"/>
      <c r="L41" s="32">
        <f>((0.105*(150^-6)^(1/3)-0.005579))/H5^(1/3)</f>
        <v>-1.3253643659237868E-3</v>
      </c>
      <c r="M41" s="43"/>
      <c r="N41" s="43"/>
      <c r="O41" s="1"/>
      <c r="P41" s="1"/>
      <c r="Q41" s="1"/>
    </row>
    <row r="42" spans="1:17" s="29" customFormat="1" ht="20" customHeight="1" x14ac:dyDescent="0.35">
      <c r="B42" s="45" t="s">
        <v>28</v>
      </c>
      <c r="C42" s="45"/>
      <c r="D42" s="45"/>
      <c r="E42" s="45"/>
      <c r="F42" s="45"/>
      <c r="G42" s="24" t="s">
        <v>152</v>
      </c>
      <c r="H42" s="43"/>
      <c r="I42" s="43"/>
      <c r="J42" s="43"/>
      <c r="K42" s="43"/>
      <c r="L42" s="32">
        <f>L11</f>
        <v>5.1747311827956985E-2</v>
      </c>
      <c r="M42" s="43"/>
      <c r="N42" s="43"/>
      <c r="O42" s="1"/>
      <c r="P42" s="1"/>
      <c r="Q42" s="1"/>
    </row>
    <row r="43" spans="1:17" s="29" customFormat="1" ht="20" customHeight="1" x14ac:dyDescent="0.35">
      <c r="B43" s="45" t="s">
        <v>39</v>
      </c>
      <c r="C43" s="45"/>
      <c r="D43" s="45"/>
      <c r="E43" s="45"/>
      <c r="F43" s="45"/>
      <c r="G43" s="24" t="s">
        <v>153</v>
      </c>
      <c r="H43" s="43" t="s">
        <v>154</v>
      </c>
      <c r="I43" s="43"/>
      <c r="J43" s="43"/>
      <c r="K43" s="43"/>
      <c r="L43" s="32">
        <f>0.006*(H5+100)^-0.16-0.00205+0.003*SQRT(H5/7.5)*H11^4*L34*(0.04-L42)</f>
        <v>5.340307419232802E-4</v>
      </c>
      <c r="M43" s="43"/>
      <c r="N43" s="43"/>
      <c r="O43" s="1"/>
      <c r="P43" s="1"/>
      <c r="Q43" s="1"/>
    </row>
    <row r="44" spans="1:17" s="29" customFormat="1" ht="20" customHeight="1" x14ac:dyDescent="0.35">
      <c r="B44" s="45"/>
      <c r="C44" s="45"/>
      <c r="D44" s="45"/>
      <c r="E44" s="45"/>
      <c r="F44" s="45"/>
      <c r="G44" s="24"/>
      <c r="H44" s="43"/>
      <c r="I44" s="43"/>
      <c r="J44" s="43"/>
      <c r="K44" s="43"/>
      <c r="L44" s="32"/>
      <c r="M44" s="43"/>
      <c r="N44" s="43"/>
      <c r="O44" s="1"/>
      <c r="P44" s="1"/>
      <c r="Q44" s="1"/>
    </row>
    <row r="45" spans="1:17" s="29" customFormat="1" ht="20" customHeight="1" x14ac:dyDescent="0.35">
      <c r="B45" s="45"/>
      <c r="C45" s="45"/>
      <c r="D45" s="45"/>
      <c r="E45" s="45"/>
      <c r="F45" s="45"/>
      <c r="G45" s="24"/>
      <c r="H45" s="43"/>
      <c r="I45" s="43"/>
      <c r="J45" s="43"/>
      <c r="K45" s="43"/>
      <c r="L45" s="32"/>
      <c r="M45" s="43"/>
      <c r="N45" s="43"/>
      <c r="O45" s="1"/>
      <c r="P45" s="1"/>
      <c r="Q45" s="1"/>
    </row>
    <row r="46" spans="1:17" ht="16.25" customHeight="1" x14ac:dyDescent="0.35">
      <c r="Q46" s="35"/>
    </row>
    <row r="47" spans="1:17" ht="16.25" customHeight="1" x14ac:dyDescent="0.35">
      <c r="A47" s="29"/>
      <c r="B47" s="29"/>
      <c r="C47" s="29"/>
      <c r="D47" s="29"/>
      <c r="E47" s="29"/>
      <c r="F47" s="29"/>
      <c r="G47" s="29"/>
      <c r="H47" s="29"/>
      <c r="Q47" s="35"/>
    </row>
    <row r="48" spans="1:17" ht="16.25" customHeight="1" x14ac:dyDescent="0.35">
      <c r="A48" s="29"/>
      <c r="B48" s="29"/>
      <c r="C48" s="29"/>
      <c r="D48" s="29"/>
      <c r="E48" s="29"/>
      <c r="F48" s="29"/>
      <c r="G48" s="29"/>
      <c r="H48" s="29"/>
    </row>
    <row r="49" spans="1:13" ht="16.25" customHeight="1" x14ac:dyDescent="0.35">
      <c r="A49" s="29"/>
      <c r="B49" s="42" t="s">
        <v>40</v>
      </c>
      <c r="C49" s="42"/>
      <c r="D49" s="42"/>
      <c r="E49" s="42"/>
      <c r="F49" s="1"/>
      <c r="G49" s="29"/>
      <c r="H49" s="29"/>
      <c r="I49" s="2" t="s">
        <v>41</v>
      </c>
    </row>
    <row r="50" spans="1:13" ht="16.25" customHeight="1" x14ac:dyDescent="0.35">
      <c r="A50" s="29"/>
      <c r="B50" s="43" t="s">
        <v>42</v>
      </c>
      <c r="C50" s="43"/>
      <c r="D50" s="1"/>
      <c r="E50" s="24" t="s">
        <v>155</v>
      </c>
      <c r="F50" s="24" t="s">
        <v>156</v>
      </c>
      <c r="G50" s="29"/>
      <c r="H50" s="29"/>
    </row>
    <row r="51" spans="1:13" ht="16.25" customHeight="1" x14ac:dyDescent="0.35">
      <c r="A51" s="29"/>
      <c r="B51" s="1"/>
      <c r="C51" s="1" t="s">
        <v>43</v>
      </c>
      <c r="D51" s="1"/>
      <c r="E51" s="1">
        <v>1.4</v>
      </c>
      <c r="F51" s="1">
        <f>E51*$L$39</f>
        <v>36.345387817076983</v>
      </c>
      <c r="G51" s="29"/>
      <c r="H51" s="29"/>
    </row>
    <row r="52" spans="1:13" ht="16.25" customHeight="1" x14ac:dyDescent="0.35">
      <c r="A52" s="29"/>
      <c r="B52" s="1"/>
      <c r="C52" s="1" t="s">
        <v>44</v>
      </c>
      <c r="D52" s="1"/>
      <c r="E52" s="1">
        <v>2.8</v>
      </c>
      <c r="F52" s="1">
        <f>E52*$L$39</f>
        <v>72.690775634153965</v>
      </c>
      <c r="G52" s="29"/>
      <c r="H52" s="29"/>
    </row>
    <row r="53" spans="1:13" ht="16.25" customHeight="1" x14ac:dyDescent="0.35">
      <c r="A53" s="29"/>
      <c r="B53" s="1"/>
      <c r="C53" s="1" t="s">
        <v>45</v>
      </c>
      <c r="D53" s="1"/>
      <c r="E53" s="1">
        <v>3</v>
      </c>
      <c r="F53" s="1">
        <f>E53*$L$39</f>
        <v>77.882973893736391</v>
      </c>
      <c r="G53" s="29"/>
      <c r="H53" s="29"/>
      <c r="K53" s="2" t="s">
        <v>41</v>
      </c>
    </row>
    <row r="54" spans="1:13" ht="16.25" customHeight="1" x14ac:dyDescent="0.35">
      <c r="A54" s="29"/>
      <c r="B54" s="1"/>
      <c r="C54" s="1" t="s">
        <v>46</v>
      </c>
      <c r="D54" s="1"/>
      <c r="E54" s="1">
        <v>3</v>
      </c>
      <c r="F54" s="1">
        <f>E54*$L$39</f>
        <v>77.882973893736391</v>
      </c>
      <c r="G54" s="29"/>
      <c r="H54" s="29"/>
    </row>
    <row r="55" spans="1:13" ht="16.25" customHeight="1" x14ac:dyDescent="0.35">
      <c r="A55" s="29"/>
      <c r="B55" s="1"/>
      <c r="C55" s="1" t="s">
        <v>47</v>
      </c>
      <c r="D55" s="1"/>
      <c r="E55" s="1">
        <v>2</v>
      </c>
      <c r="F55" s="1">
        <f>E55*$L$39</f>
        <v>51.921982595824261</v>
      </c>
      <c r="G55" s="29"/>
      <c r="H55" s="29"/>
    </row>
    <row r="56" spans="1:13" ht="16.25" customHeight="1" x14ac:dyDescent="0.35">
      <c r="A56" s="29"/>
      <c r="B56" s="1"/>
      <c r="C56" s="24" t="s">
        <v>48</v>
      </c>
      <c r="D56" s="1"/>
      <c r="E56" s="1"/>
      <c r="F56" s="1">
        <f>SUM(F51:F55)</f>
        <v>316.72409383452799</v>
      </c>
      <c r="G56" s="29"/>
      <c r="H56" s="29"/>
    </row>
    <row r="57" spans="1:13" ht="16.25" customHeight="1" x14ac:dyDescent="0.35">
      <c r="A57" s="29"/>
      <c r="B57" s="29"/>
      <c r="C57" s="29"/>
      <c r="D57" s="29"/>
      <c r="E57" s="29"/>
      <c r="F57" s="29"/>
      <c r="G57" s="29"/>
      <c r="H57" s="29"/>
    </row>
    <row r="58" spans="1:13" ht="16.25" customHeight="1" x14ac:dyDescent="0.35">
      <c r="A58" s="29"/>
      <c r="B58" s="29"/>
      <c r="C58" s="29"/>
      <c r="D58" s="29"/>
      <c r="E58" s="29"/>
      <c r="F58" s="29"/>
      <c r="G58" s="29"/>
      <c r="H58" s="29"/>
    </row>
    <row r="59" spans="1:13" ht="16.25" customHeight="1" x14ac:dyDescent="0.35">
      <c r="A59" s="29"/>
      <c r="B59" s="29"/>
      <c r="C59" s="29"/>
      <c r="D59" s="29"/>
      <c r="E59" s="29"/>
      <c r="F59" s="29"/>
      <c r="G59" s="29"/>
      <c r="H59" s="29"/>
    </row>
    <row r="60" spans="1:13" ht="16.25" customHeight="1" x14ac:dyDescent="0.35"/>
    <row r="61" spans="1:13" ht="16.25" customHeight="1" x14ac:dyDescent="0.3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6.25" customHeight="1" x14ac:dyDescent="0.35"/>
    <row r="63" spans="1:13" ht="16.25" customHeight="1" x14ac:dyDescent="0.35"/>
    <row r="64" spans="1:13" ht="16.25" customHeight="1" x14ac:dyDescent="0.35"/>
    <row r="65" spans="4:7" ht="16.25" customHeight="1" x14ac:dyDescent="0.35"/>
    <row r="66" spans="4:7" ht="16.25" customHeight="1" x14ac:dyDescent="0.35"/>
    <row r="67" spans="4:7" ht="16.25" customHeight="1" x14ac:dyDescent="0.35"/>
    <row r="68" spans="4:7" ht="16.25" customHeight="1" x14ac:dyDescent="0.45">
      <c r="D68" s="8" t="s">
        <v>157</v>
      </c>
      <c r="E68" s="8" t="s">
        <v>158</v>
      </c>
      <c r="F68" s="8" t="s">
        <v>159</v>
      </c>
      <c r="G68" s="8" t="s">
        <v>49</v>
      </c>
    </row>
    <row r="69" spans="4:7" ht="16.25" customHeight="1" x14ac:dyDescent="0.35">
      <c r="D69" s="8"/>
      <c r="E69" s="8"/>
      <c r="F69" s="8"/>
      <c r="G69" s="8"/>
    </row>
    <row r="70" spans="4:7" ht="16.25" customHeight="1" x14ac:dyDescent="0.35">
      <c r="D70" s="8">
        <f>D93^-2</f>
        <v>99.999999999999986</v>
      </c>
      <c r="E70" s="8">
        <f t="shared" ref="E70:E85" si="0">SIN(D70)</f>
        <v>-0.506365641109771</v>
      </c>
      <c r="F70" s="8">
        <f t="shared" ref="F70:F85" si="1">COS(D70)</f>
        <v>0.86231887228767679</v>
      </c>
      <c r="G70" s="8">
        <f>LOG(G93,10)-2</f>
        <v>6.3527536745232016</v>
      </c>
    </row>
    <row r="71" spans="4:7" ht="16.25" customHeight="1" x14ac:dyDescent="0.35">
      <c r="D71" s="8">
        <f t="shared" ref="D71:D85" si="2">D94^-2</f>
        <v>44.444444444444443</v>
      </c>
      <c r="E71" s="8">
        <f t="shared" si="0"/>
        <v>0.44587117031275775</v>
      </c>
      <c r="F71" s="8">
        <f t="shared" si="1"/>
        <v>0.89509714527750106</v>
      </c>
      <c r="G71" s="8">
        <f t="shared" ref="G71:G85" si="3">LOG(G94,10)-2</f>
        <v>6.528844933578883</v>
      </c>
    </row>
    <row r="72" spans="4:7" ht="16.25" customHeight="1" x14ac:dyDescent="0.35">
      <c r="D72" s="8">
        <f t="shared" si="2"/>
        <v>24.999999999999996</v>
      </c>
      <c r="E72" s="8">
        <f t="shared" si="0"/>
        <v>-0.13235175009777655</v>
      </c>
      <c r="F72" s="8">
        <f t="shared" si="1"/>
        <v>0.99120281186347314</v>
      </c>
      <c r="G72" s="8">
        <f t="shared" si="3"/>
        <v>6.6537836701871829</v>
      </c>
    </row>
    <row r="73" spans="4:7" ht="16.25" customHeight="1" x14ac:dyDescent="0.35">
      <c r="D73" s="8">
        <f t="shared" si="2"/>
        <v>24.483154487970324</v>
      </c>
      <c r="E73" s="8">
        <f t="shared" si="0"/>
        <v>-0.60485736507246568</v>
      </c>
      <c r="F73" s="8">
        <f t="shared" si="1"/>
        <v>0.79633382944440712</v>
      </c>
      <c r="G73" s="8">
        <f t="shared" si="3"/>
        <v>6.6583199880385049</v>
      </c>
    </row>
    <row r="74" spans="4:7" ht="16.25" customHeight="1" x14ac:dyDescent="0.35">
      <c r="D74" s="8">
        <f t="shared" si="2"/>
        <v>16</v>
      </c>
      <c r="E74" s="8">
        <f t="shared" si="0"/>
        <v>-0.2879033166650653</v>
      </c>
      <c r="F74" s="8">
        <f t="shared" si="1"/>
        <v>-0.95765948032338466</v>
      </c>
      <c r="G74" s="8">
        <f t="shared" si="3"/>
        <v>6.7506936831952391</v>
      </c>
    </row>
    <row r="75" spans="4:7" ht="16.25" customHeight="1" x14ac:dyDescent="0.35">
      <c r="D75" s="8">
        <f t="shared" si="2"/>
        <v>11.111111111111111</v>
      </c>
      <c r="E75" s="8">
        <f t="shared" si="0"/>
        <v>-0.99333304245491061</v>
      </c>
      <c r="F75" s="8">
        <f t="shared" si="1"/>
        <v>0.11527994954575044</v>
      </c>
      <c r="G75" s="8">
        <f t="shared" si="3"/>
        <v>6.8298749292428642</v>
      </c>
    </row>
    <row r="76" spans="4:7" ht="16.25" customHeight="1" x14ac:dyDescent="0.35">
      <c r="D76" s="8">
        <f t="shared" si="2"/>
        <v>8.1632653061224509</v>
      </c>
      <c r="E76" s="8">
        <f t="shared" si="0"/>
        <v>0.95255184753145983</v>
      </c>
      <c r="F76" s="8">
        <f t="shared" si="1"/>
        <v>-0.30437637517455679</v>
      </c>
      <c r="G76" s="8">
        <f t="shared" si="3"/>
        <v>6.8968217188734773</v>
      </c>
    </row>
    <row r="77" spans="4:7" ht="16.25" customHeight="1" x14ac:dyDescent="0.35">
      <c r="D77" s="8">
        <f t="shared" si="2"/>
        <v>6.2499999999999991</v>
      </c>
      <c r="E77" s="8">
        <f t="shared" si="0"/>
        <v>-3.3179216547557705E-2</v>
      </c>
      <c r="F77" s="8">
        <f t="shared" si="1"/>
        <v>0.9994494182244994</v>
      </c>
      <c r="G77" s="8">
        <f t="shared" si="3"/>
        <v>6.9548136658511641</v>
      </c>
    </row>
    <row r="78" spans="4:7" ht="16.25" customHeight="1" x14ac:dyDescent="0.35">
      <c r="D78" s="8">
        <f t="shared" si="2"/>
        <v>4.9382716049382713</v>
      </c>
      <c r="E78" s="8">
        <f t="shared" si="0"/>
        <v>-0.97459680824623074</v>
      </c>
      <c r="F78" s="8">
        <f t="shared" si="1"/>
        <v>0.22396665233078741</v>
      </c>
      <c r="G78" s="8">
        <f t="shared" si="3"/>
        <v>7.0059661882985456</v>
      </c>
    </row>
    <row r="79" spans="4:7" ht="16.25" customHeight="1" x14ac:dyDescent="0.35">
      <c r="D79" s="8">
        <f t="shared" si="2"/>
        <v>4</v>
      </c>
      <c r="E79" s="8">
        <f t="shared" si="0"/>
        <v>-0.7568024953079282</v>
      </c>
      <c r="F79" s="8">
        <f t="shared" si="1"/>
        <v>-0.65364362086361194</v>
      </c>
      <c r="G79" s="8">
        <f t="shared" si="3"/>
        <v>7.0517236788592204</v>
      </c>
    </row>
    <row r="80" spans="4:7" ht="16.25" customHeight="1" x14ac:dyDescent="0.35">
      <c r="D80" s="8">
        <f t="shared" si="2"/>
        <v>3.3057851239669418</v>
      </c>
      <c r="E80" s="8">
        <f t="shared" si="0"/>
        <v>-0.1634557154797823</v>
      </c>
      <c r="F80" s="8">
        <f t="shared" si="1"/>
        <v>-0.98655067233112381</v>
      </c>
      <c r="G80" s="8">
        <f t="shared" si="3"/>
        <v>7.0931163640174439</v>
      </c>
    </row>
    <row r="81" spans="2:18" ht="16.25" customHeight="1" x14ac:dyDescent="0.35">
      <c r="D81" s="8">
        <f t="shared" si="2"/>
        <v>2.7777777777777777</v>
      </c>
      <c r="E81" s="8">
        <f t="shared" si="0"/>
        <v>0.3558419914010657</v>
      </c>
      <c r="F81" s="8">
        <f t="shared" si="1"/>
        <v>-0.93454613431104827</v>
      </c>
      <c r="G81" s="8">
        <f t="shared" si="3"/>
        <v>7.1309049249068455</v>
      </c>
    </row>
    <row r="82" spans="2:18" ht="16.25" customHeight="1" x14ac:dyDescent="0.35">
      <c r="D82" s="8">
        <f t="shared" si="2"/>
        <v>2.3668639053254434</v>
      </c>
      <c r="E82" s="8">
        <f t="shared" si="0"/>
        <v>0.69952226166182618</v>
      </c>
      <c r="F82" s="8">
        <f t="shared" si="1"/>
        <v>-0.71461080697084589</v>
      </c>
      <c r="G82" s="8">
        <f t="shared" si="3"/>
        <v>7.1656670311660573</v>
      </c>
    </row>
    <row r="83" spans="2:18" ht="16.25" customHeight="1" x14ac:dyDescent="0.35">
      <c r="D83" s="8">
        <f t="shared" si="2"/>
        <v>2.0408163265306127</v>
      </c>
      <c r="E83" s="8">
        <f t="shared" si="0"/>
        <v>0.8915592304110036</v>
      </c>
      <c r="F83" s="8">
        <f t="shared" si="1"/>
        <v>-0.45290411641862899</v>
      </c>
      <c r="G83" s="8">
        <f t="shared" si="3"/>
        <v>7.1978517145374585</v>
      </c>
      <c r="K83" s="2">
        <f>L96*L27</f>
        <v>45235.806318755574</v>
      </c>
    </row>
    <row r="84" spans="2:18" ht="16.25" customHeight="1" x14ac:dyDescent="0.35">
      <c r="D84" s="8">
        <f t="shared" si="2"/>
        <v>1.7777777777777777</v>
      </c>
      <c r="E84" s="8">
        <f t="shared" si="0"/>
        <v>0.97865570446583705</v>
      </c>
      <c r="F84" s="8">
        <f t="shared" si="1"/>
        <v>-0.20550672036815781</v>
      </c>
      <c r="G84" s="8">
        <f t="shared" si="3"/>
        <v>7.2278149379149017</v>
      </c>
    </row>
    <row r="85" spans="2:18" ht="16.25" customHeight="1" x14ac:dyDescent="0.35">
      <c r="D85" s="8">
        <f t="shared" si="2"/>
        <v>1.5624999999999998</v>
      </c>
      <c r="E85" s="8">
        <f t="shared" si="0"/>
        <v>0.99996558567824889</v>
      </c>
      <c r="F85" s="8">
        <f t="shared" si="1"/>
        <v>8.2962316238585996E-3</v>
      </c>
      <c r="G85" s="8">
        <f t="shared" si="3"/>
        <v>7.2558436615151454</v>
      </c>
    </row>
    <row r="86" spans="2:18" ht="16.25" customHeight="1" x14ac:dyDescent="0.35">
      <c r="D86" s="36"/>
      <c r="E86" s="29"/>
    </row>
    <row r="87" spans="2:18" ht="16.25" customHeight="1" x14ac:dyDescent="0.35">
      <c r="B87" s="36"/>
      <c r="C87" s="36"/>
      <c r="D87" s="36"/>
      <c r="E87" s="29"/>
    </row>
    <row r="88" spans="2:18" ht="16.25" customHeight="1" x14ac:dyDescent="0.35"/>
    <row r="91" spans="2:18" ht="20.5" x14ac:dyDescent="0.35">
      <c r="D91" s="37" t="s">
        <v>160</v>
      </c>
      <c r="E91" s="37" t="s">
        <v>50</v>
      </c>
      <c r="F91" s="37" t="s">
        <v>51</v>
      </c>
      <c r="G91" s="37" t="s">
        <v>52</v>
      </c>
      <c r="H91" s="37" t="s">
        <v>161</v>
      </c>
      <c r="I91" s="37"/>
      <c r="J91" s="37"/>
      <c r="K91" s="37" t="s">
        <v>53</v>
      </c>
      <c r="L91" s="37" t="s">
        <v>162</v>
      </c>
      <c r="M91" s="37" t="s">
        <v>163</v>
      </c>
      <c r="N91" s="37" t="s">
        <v>164</v>
      </c>
      <c r="O91" s="37" t="s">
        <v>165</v>
      </c>
      <c r="P91" s="37" t="s">
        <v>166</v>
      </c>
      <c r="Q91" s="37" t="s">
        <v>167</v>
      </c>
      <c r="R91" s="37" t="s">
        <v>168</v>
      </c>
    </row>
    <row r="92" spans="2:18" ht="21" x14ac:dyDescent="0.35">
      <c r="D92" s="37"/>
      <c r="E92" s="37" t="s">
        <v>169</v>
      </c>
      <c r="F92" s="37"/>
      <c r="G92" s="37" t="s">
        <v>54</v>
      </c>
      <c r="H92" s="37" t="s">
        <v>170</v>
      </c>
      <c r="I92" s="37" t="s">
        <v>55</v>
      </c>
      <c r="J92" s="37" t="s">
        <v>56</v>
      </c>
      <c r="K92" s="37"/>
      <c r="L92" s="37" t="s">
        <v>171</v>
      </c>
      <c r="M92" s="37" t="s">
        <v>172</v>
      </c>
      <c r="N92" s="37" t="s">
        <v>173</v>
      </c>
      <c r="O92" s="37" t="s">
        <v>174</v>
      </c>
      <c r="P92" s="37" t="s">
        <v>175</v>
      </c>
      <c r="Q92" s="37" t="s">
        <v>176</v>
      </c>
      <c r="R92" s="37" t="s">
        <v>177</v>
      </c>
    </row>
    <row r="93" spans="2:18" ht="18.5" x14ac:dyDescent="0.45">
      <c r="D93" s="38">
        <v>0.1</v>
      </c>
      <c r="E93" s="38">
        <f t="shared" ref="E93:E108" si="4">D93*(9.8*$H$5)^0.5</f>
        <v>2.7002222130780278</v>
      </c>
      <c r="F93" s="39">
        <f>E93/0.55144</f>
        <v>4.8966745485964518</v>
      </c>
      <c r="G93" s="38">
        <f>E93*$H$5/(0.8917*10^-6)</f>
        <v>225296100.31737727</v>
      </c>
      <c r="H93" s="38">
        <f>0.075/G70^2</f>
        <v>1.8583915892503645E-3</v>
      </c>
      <c r="I93" s="38">
        <f>E93/((2*9.8*$O$33)/($H$7+$H$7*$H$14))^0.5</f>
        <v>2.7910888506230891</v>
      </c>
      <c r="J93" s="38">
        <f>0.2*(1-0.2*I93)</f>
        <v>8.8356445975076442E-2</v>
      </c>
      <c r="K93" s="38">
        <f>0.5*1025*E93^2*$O$33*J93</f>
        <v>404.32013974143814</v>
      </c>
      <c r="L93" s="38">
        <f>1025*$L$29*E93^2*H93/2</f>
        <v>9014.0795858081274</v>
      </c>
      <c r="M93" s="38">
        <f>$L$37*$H$12^2*EXP(-0.1*D70)</f>
        <v>-5.1089445173965309E-5</v>
      </c>
      <c r="N93" s="38">
        <f>$L$32*$L$34*$L$33*$H$10*1025*9.81*EXP($L$35*D93^-0.9+M93*COS($L$38*D70))</f>
        <v>9.2755154095469781</v>
      </c>
      <c r="O93" s="38">
        <f>0.5*1025*E93^2*$L$39*$L$40*H93</f>
        <v>2199.4354189371829</v>
      </c>
      <c r="P93" s="38">
        <f>0.5*1025*E93^2*$L$29*$L$43</f>
        <v>2590.3020853136718</v>
      </c>
      <c r="Q93" s="38">
        <f>L93*$L$27+O93+N93+P93+$L$44+$L$45+K93</f>
        <v>17369.534583511762</v>
      </c>
      <c r="R93" s="38">
        <f t="shared" ref="R93:R108" si="5">Q93/(0.5*1000*$L$29*E93^2)</f>
        <v>3.6705224963581389E-3</v>
      </c>
    </row>
    <row r="94" spans="2:18" ht="18.5" x14ac:dyDescent="0.45">
      <c r="D94" s="38">
        <v>0.15</v>
      </c>
      <c r="E94" s="38">
        <f t="shared" si="4"/>
        <v>4.0503333196170415</v>
      </c>
      <c r="F94" s="39">
        <f t="shared" ref="F94:F108" si="6">E94/0.55144</f>
        <v>7.3450118228946781</v>
      </c>
      <c r="G94" s="38">
        <f t="shared" ref="G94:G108" si="7">E94*$H$5/(0.8917*10^-6)</f>
        <v>337944150.47606587</v>
      </c>
      <c r="H94" s="38">
        <f t="shared" ref="H94:H108" si="8">0.075/G71^2</f>
        <v>1.7594971016310636E-3</v>
      </c>
      <c r="I94" s="38">
        <f t="shared" ref="I94:I108" si="9">E94/((2*9.8*$O$33)/($H$7+$H$7*$H$14))^0.5</f>
        <v>4.186633275934633</v>
      </c>
      <c r="J94" s="38">
        <f t="shared" ref="J94:J96" si="10">0.2*(1-0.2*I94)</f>
        <v>3.2534668962614678E-2</v>
      </c>
      <c r="K94" s="38">
        <f t="shared" ref="K94:K108" si="11">0.5*1025*E94^2*$O$33*J94</f>
        <v>334.97781572735374</v>
      </c>
      <c r="L94" s="38">
        <f t="shared" ref="L94:L108" si="12">1025*$L$29*E94^2*H94/2</f>
        <v>19202.387560779025</v>
      </c>
      <c r="M94" s="38">
        <f t="shared" ref="M94:M108" si="13">$L$37*$H$12^2*EXP(-0.1*D71)</f>
        <v>-1.3215338995836663E-2</v>
      </c>
      <c r="N94" s="38">
        <f t="shared" ref="N94:N108" si="14">$L$32*$L$34*$L$33*$H$10*1025*9.81*EXP($L$35*D94^-0.9+M94*COS($L$38*D71))</f>
        <v>1503.564811537045</v>
      </c>
      <c r="O94" s="38">
        <f t="shared" ref="O94:O108" si="15">0.5*1025*E94^2*$L$39*$L$40*H94</f>
        <v>4685.3825648300817</v>
      </c>
      <c r="P94" s="38">
        <f t="shared" ref="P94:P108" si="16">0.5*1025*E94^2*$L$29*$L$43</f>
        <v>5828.1796919557619</v>
      </c>
      <c r="Q94" s="38">
        <f t="shared" ref="Q94:Q108" si="17">L94*$L$27+O94+N94+P94+$L$44+$L$45+K94</f>
        <v>38269.350528971634</v>
      </c>
      <c r="R94" s="38">
        <f t="shared" si="5"/>
        <v>3.5942500067764763E-3</v>
      </c>
    </row>
    <row r="95" spans="2:18" ht="18.5" x14ac:dyDescent="0.45">
      <c r="D95" s="38">
        <v>0.2</v>
      </c>
      <c r="E95" s="38">
        <f t="shared" si="4"/>
        <v>5.4004444261560556</v>
      </c>
      <c r="F95" s="39">
        <f t="shared" si="6"/>
        <v>9.7933490971929036</v>
      </c>
      <c r="G95" s="38">
        <f t="shared" si="7"/>
        <v>450592200.63475454</v>
      </c>
      <c r="H95" s="38">
        <f t="shared" si="8"/>
        <v>1.6940409709991758E-3</v>
      </c>
      <c r="I95" s="38">
        <f t="shared" si="9"/>
        <v>5.5821777012461782</v>
      </c>
      <c r="J95" s="38">
        <f t="shared" si="10"/>
        <v>-2.3287108049847127E-2</v>
      </c>
      <c r="K95" s="38">
        <f t="shared" si="11"/>
        <v>-426.24832526849553</v>
      </c>
      <c r="L95" s="38">
        <f t="shared" si="12"/>
        <v>32867.604917144359</v>
      </c>
      <c r="M95" s="38">
        <f t="shared" si="13"/>
        <v>-9.2371883805556901E-2</v>
      </c>
      <c r="N95" s="38">
        <f t="shared" si="14"/>
        <v>19357.90848899115</v>
      </c>
      <c r="O95" s="38">
        <f t="shared" si="15"/>
        <v>8019.695599783222</v>
      </c>
      <c r="P95" s="38">
        <f t="shared" si="16"/>
        <v>10361.208341254687</v>
      </c>
      <c r="Q95" s="38">
        <f t="shared" si="17"/>
        <v>81673.599299037116</v>
      </c>
      <c r="R95" s="38">
        <f t="shared" si="5"/>
        <v>4.3148073735699045E-3</v>
      </c>
    </row>
    <row r="96" spans="2:18" ht="18.5" x14ac:dyDescent="0.45">
      <c r="D96" s="38">
        <v>0.2021</v>
      </c>
      <c r="E96" s="38">
        <f t="shared" si="4"/>
        <v>5.4571490926306936</v>
      </c>
      <c r="F96" s="39">
        <v>10</v>
      </c>
      <c r="G96" s="38">
        <f t="shared" si="7"/>
        <v>455323418.74141937</v>
      </c>
      <c r="H96" s="38">
        <f t="shared" si="8"/>
        <v>1.6917334548350474E-3</v>
      </c>
      <c r="I96" s="38">
        <f t="shared" si="9"/>
        <v>5.6407905671092617</v>
      </c>
      <c r="J96" s="38">
        <f t="shared" si="10"/>
        <v>-2.563162268437047E-2</v>
      </c>
      <c r="K96" s="38">
        <f t="shared" si="11"/>
        <v>-479.0665680641095</v>
      </c>
      <c r="L96" s="38">
        <f t="shared" si="12"/>
        <v>33515.73297787123</v>
      </c>
      <c r="M96" s="38">
        <f t="shared" si="13"/>
        <v>-9.7271612637686786E-2</v>
      </c>
      <c r="N96" s="38">
        <f t="shared" si="14"/>
        <v>21037.840385590593</v>
      </c>
      <c r="O96" s="38">
        <f t="shared" si="15"/>
        <v>8177.838846600579</v>
      </c>
      <c r="P96" s="38">
        <f t="shared" si="16"/>
        <v>10579.936039640657</v>
      </c>
      <c r="Q96" s="38">
        <f>L96*$L$27+O96+N96+P96+$L$44+$L$45+K96</f>
        <v>84552.35502252329</v>
      </c>
      <c r="R96" s="38">
        <f t="shared" si="5"/>
        <v>4.3745440078966314E-3</v>
      </c>
    </row>
    <row r="97" spans="2:18" ht="18.5" x14ac:dyDescent="0.45">
      <c r="D97" s="38">
        <v>0.25</v>
      </c>
      <c r="E97" s="38">
        <f t="shared" si="4"/>
        <v>6.7505555326950688</v>
      </c>
      <c r="F97" s="39">
        <f t="shared" si="6"/>
        <v>12.241686371491129</v>
      </c>
      <c r="G97" s="38">
        <f t="shared" si="7"/>
        <v>563240250.79344308</v>
      </c>
      <c r="H97" s="38">
        <f t="shared" si="8"/>
        <v>1.6457522566548455E-3</v>
      </c>
      <c r="I97" s="38">
        <f t="shared" si="9"/>
        <v>6.9777221265577216</v>
      </c>
      <c r="J97" s="38">
        <v>0</v>
      </c>
      <c r="K97" s="38">
        <f t="shared" si="11"/>
        <v>0</v>
      </c>
      <c r="L97" s="38">
        <f t="shared" si="12"/>
        <v>49891.738055306065</v>
      </c>
      <c r="M97" s="38">
        <f t="shared" si="13"/>
        <v>-0.22719817279157598</v>
      </c>
      <c r="N97" s="38">
        <f t="shared" si="14"/>
        <v>131599.19328042792</v>
      </c>
      <c r="O97" s="38">
        <f t="shared" si="15"/>
        <v>12173.584085494676</v>
      </c>
      <c r="P97" s="38">
        <f t="shared" si="16"/>
        <v>16189.388033210449</v>
      </c>
      <c r="Q97" s="38">
        <f t="shared" si="17"/>
        <v>227300.48084239147</v>
      </c>
      <c r="R97" s="38">
        <f t="shared" si="5"/>
        <v>7.6852862059482033E-3</v>
      </c>
    </row>
    <row r="98" spans="2:18" ht="18.5" x14ac:dyDescent="0.45">
      <c r="D98" s="38">
        <v>0.3</v>
      </c>
      <c r="E98" s="38">
        <f t="shared" si="4"/>
        <v>8.1006666392340829</v>
      </c>
      <c r="F98" s="39">
        <f t="shared" si="6"/>
        <v>14.690023645789356</v>
      </c>
      <c r="G98" s="38">
        <f t="shared" si="7"/>
        <v>675888300.95213175</v>
      </c>
      <c r="H98" s="38">
        <f t="shared" si="8"/>
        <v>1.6078138363604588E-3</v>
      </c>
      <c r="I98" s="38">
        <f t="shared" si="9"/>
        <v>8.3732665518692659</v>
      </c>
      <c r="J98" s="38">
        <v>0</v>
      </c>
      <c r="K98" s="38">
        <f t="shared" si="11"/>
        <v>0</v>
      </c>
      <c r="L98" s="38">
        <f t="shared" si="12"/>
        <v>70187.929000294986</v>
      </c>
      <c r="M98" s="38">
        <f t="shared" si="13"/>
        <v>-0.37044742558529709</v>
      </c>
      <c r="N98" s="38">
        <f t="shared" si="14"/>
        <v>296650.42239229765</v>
      </c>
      <c r="O98" s="38">
        <f t="shared" si="15"/>
        <v>17125.854676071976</v>
      </c>
      <c r="P98" s="38">
        <f t="shared" si="16"/>
        <v>23312.718767823048</v>
      </c>
      <c r="Q98" s="38">
        <f t="shared" si="17"/>
        <v>431820.85100010067</v>
      </c>
      <c r="R98" s="38">
        <f t="shared" si="5"/>
        <v>1.0139132720963912E-2</v>
      </c>
    </row>
    <row r="99" spans="2:18" ht="18.5" x14ac:dyDescent="0.45">
      <c r="D99" s="38">
        <v>0.35</v>
      </c>
      <c r="E99" s="38">
        <f t="shared" si="4"/>
        <v>9.4507777457730953</v>
      </c>
      <c r="F99" s="39">
        <f t="shared" si="6"/>
        <v>17.138360920087578</v>
      </c>
      <c r="G99" s="38">
        <f t="shared" si="7"/>
        <v>788536351.11082029</v>
      </c>
      <c r="H99" s="38">
        <f t="shared" si="8"/>
        <v>1.5767515403449759E-3</v>
      </c>
      <c r="I99" s="38">
        <f t="shared" si="9"/>
        <v>9.7688109771808094</v>
      </c>
      <c r="J99" s="38">
        <v>0</v>
      </c>
      <c r="K99" s="38">
        <f t="shared" si="11"/>
        <v>0</v>
      </c>
      <c r="L99" s="38">
        <f t="shared" si="12"/>
        <v>93687.901105246885</v>
      </c>
      <c r="M99" s="38">
        <f t="shared" si="13"/>
        <v>-0.4974505297230693</v>
      </c>
      <c r="N99" s="38">
        <f t="shared" si="14"/>
        <v>884951.10700824182</v>
      </c>
      <c r="O99" s="38">
        <f t="shared" si="15"/>
        <v>22859.847869680241</v>
      </c>
      <c r="P99" s="38">
        <f t="shared" si="16"/>
        <v>31731.20054509247</v>
      </c>
      <c r="Q99" s="38">
        <f t="shared" si="17"/>
        <v>1065991.6575599916</v>
      </c>
      <c r="R99" s="38">
        <f t="shared" si="5"/>
        <v>1.8388970906910856E-2</v>
      </c>
    </row>
    <row r="100" spans="2:18" ht="18.5" x14ac:dyDescent="0.45">
      <c r="D100" s="38">
        <v>0.4</v>
      </c>
      <c r="E100" s="38">
        <f t="shared" si="4"/>
        <v>10.800888852312111</v>
      </c>
      <c r="F100" s="39">
        <f t="shared" si="6"/>
        <v>19.586698194385807</v>
      </c>
      <c r="G100" s="38">
        <f t="shared" si="7"/>
        <v>901184401.26950908</v>
      </c>
      <c r="H100" s="38">
        <f t="shared" si="8"/>
        <v>1.5505660321370237E-3</v>
      </c>
      <c r="I100" s="38">
        <f t="shared" si="9"/>
        <v>11.164355402492356</v>
      </c>
      <c r="J100" s="38">
        <v>0</v>
      </c>
      <c r="K100" s="38">
        <f t="shared" si="11"/>
        <v>0</v>
      </c>
      <c r="L100" s="38">
        <f t="shared" si="12"/>
        <v>120335.67691616037</v>
      </c>
      <c r="M100" s="38">
        <f t="shared" si="13"/>
        <v>-0.60234034610018694</v>
      </c>
      <c r="N100" s="38">
        <f t="shared" si="14"/>
        <v>732973.82312843343</v>
      </c>
      <c r="O100" s="38">
        <f t="shared" si="15"/>
        <v>29361.905167543126</v>
      </c>
      <c r="P100" s="38">
        <f t="shared" si="16"/>
        <v>41444.833365018749</v>
      </c>
      <c r="Q100" s="38">
        <f t="shared" si="17"/>
        <v>966196.26588592865</v>
      </c>
      <c r="R100" s="38">
        <f t="shared" si="5"/>
        <v>1.276101092684874E-2</v>
      </c>
    </row>
    <row r="101" spans="2:18" ht="18.5" x14ac:dyDescent="0.45">
      <c r="D101" s="38">
        <v>0.45</v>
      </c>
      <c r="E101" s="38">
        <f t="shared" si="4"/>
        <v>12.150999958851123</v>
      </c>
      <c r="F101" s="39">
        <f t="shared" si="6"/>
        <v>22.035035468684033</v>
      </c>
      <c r="G101" s="38">
        <f t="shared" si="7"/>
        <v>1013832451.4281974</v>
      </c>
      <c r="H101" s="38">
        <f t="shared" si="8"/>
        <v>1.528006456543242E-3</v>
      </c>
      <c r="I101" s="38">
        <f t="shared" si="9"/>
        <v>12.559899827803898</v>
      </c>
      <c r="J101" s="38">
        <v>0</v>
      </c>
      <c r="K101" s="38">
        <f t="shared" si="11"/>
        <v>0</v>
      </c>
      <c r="L101" s="38">
        <f t="shared" si="12"/>
        <v>150083.99236375399</v>
      </c>
      <c r="M101" s="38">
        <f t="shared" si="13"/>
        <v>-0.68676727819826744</v>
      </c>
      <c r="N101" s="38">
        <f t="shared" si="14"/>
        <v>1783639.1133588043</v>
      </c>
      <c r="O101" s="38">
        <f t="shared" si="15"/>
        <v>36620.494136755966</v>
      </c>
      <c r="P101" s="38">
        <f t="shared" si="16"/>
        <v>52453.617227601848</v>
      </c>
      <c r="Q101" s="38">
        <f t="shared" si="17"/>
        <v>2075279.8943703668</v>
      </c>
      <c r="R101" s="38">
        <f t="shared" si="5"/>
        <v>2.1656654074059485E-2</v>
      </c>
    </row>
    <row r="102" spans="2:18" ht="18.5" x14ac:dyDescent="0.45">
      <c r="D102" s="38">
        <v>0.5</v>
      </c>
      <c r="E102" s="38">
        <f t="shared" si="4"/>
        <v>13.501111065390138</v>
      </c>
      <c r="F102" s="39">
        <f t="shared" si="6"/>
        <v>24.483372742982258</v>
      </c>
      <c r="G102" s="38">
        <f t="shared" si="7"/>
        <v>1126480501.5868862</v>
      </c>
      <c r="H102" s="38">
        <f t="shared" si="8"/>
        <v>1.5082408214309479E-3</v>
      </c>
      <c r="I102" s="38">
        <f t="shared" si="9"/>
        <v>13.955444253115443</v>
      </c>
      <c r="J102" s="38">
        <v>0</v>
      </c>
      <c r="K102" s="38">
        <f t="shared" si="11"/>
        <v>0</v>
      </c>
      <c r="L102" s="38">
        <f t="shared" si="12"/>
        <v>182892.0621141436</v>
      </c>
      <c r="M102" s="38">
        <f t="shared" si="13"/>
        <v>-0.75432449830013371</v>
      </c>
      <c r="N102" s="38">
        <f t="shared" si="14"/>
        <v>5086158.5852190172</v>
      </c>
      <c r="O102" s="38">
        <f t="shared" si="15"/>
        <v>44625.663155851027</v>
      </c>
      <c r="P102" s="38">
        <f t="shared" si="16"/>
        <v>64757.552132841796</v>
      </c>
      <c r="Q102" s="38">
        <f t="shared" si="17"/>
        <v>5442389.1514069326</v>
      </c>
      <c r="R102" s="38">
        <f t="shared" si="5"/>
        <v>4.6003332370546011E-2</v>
      </c>
    </row>
    <row r="103" spans="2:18" ht="18.5" x14ac:dyDescent="0.45">
      <c r="D103" s="38">
        <v>0.55000000000000004</v>
      </c>
      <c r="E103" s="38">
        <f t="shared" si="4"/>
        <v>14.851222171929152</v>
      </c>
      <c r="F103" s="39">
        <f t="shared" si="6"/>
        <v>26.931710017280484</v>
      </c>
      <c r="G103" s="38">
        <f t="shared" si="7"/>
        <v>1239128551.7455747</v>
      </c>
      <c r="H103" s="38">
        <f t="shared" si="8"/>
        <v>1.4906891628382471E-3</v>
      </c>
      <c r="I103" s="38">
        <f t="shared" si="9"/>
        <v>15.350988678426988</v>
      </c>
      <c r="J103" s="38">
        <v>0</v>
      </c>
      <c r="K103" s="38">
        <f t="shared" si="11"/>
        <v>0</v>
      </c>
      <c r="L103" s="38">
        <f t="shared" si="12"/>
        <v>218724.09592512966</v>
      </c>
      <c r="M103" s="38">
        <f t="shared" si="13"/>
        <v>-0.80855130346726378</v>
      </c>
      <c r="N103" s="38">
        <f t="shared" si="14"/>
        <v>9732017.8552316688</v>
      </c>
      <c r="O103" s="38">
        <f t="shared" si="15"/>
        <v>53368.679405731644</v>
      </c>
      <c r="P103" s="38">
        <f t="shared" si="16"/>
        <v>78356.638080738572</v>
      </c>
      <c r="Q103" s="38">
        <f t="shared" si="17"/>
        <v>10158952.615013395</v>
      </c>
      <c r="R103" s="38">
        <f t="shared" si="5"/>
        <v>7.0968114041380426E-2</v>
      </c>
    </row>
    <row r="104" spans="2:18" ht="18.5" x14ac:dyDescent="0.45">
      <c r="D104" s="38">
        <v>0.6</v>
      </c>
      <c r="E104" s="38">
        <f t="shared" si="4"/>
        <v>16.201333278468166</v>
      </c>
      <c r="F104" s="39">
        <f t="shared" si="6"/>
        <v>29.380047291578713</v>
      </c>
      <c r="G104" s="38">
        <f t="shared" si="7"/>
        <v>1351776601.9042635</v>
      </c>
      <c r="H104" s="38">
        <f t="shared" si="8"/>
        <v>1.4749319083743532E-3</v>
      </c>
      <c r="I104" s="38">
        <f t="shared" si="9"/>
        <v>16.746533103738532</v>
      </c>
      <c r="J104" s="38">
        <v>0</v>
      </c>
      <c r="K104" s="38">
        <f t="shared" si="11"/>
        <v>0</v>
      </c>
      <c r="L104" s="38">
        <f t="shared" si="12"/>
        <v>257548.26516380298</v>
      </c>
      <c r="M104" s="38">
        <f t="shared" si="13"/>
        <v>-0.85239059511508242</v>
      </c>
      <c r="N104" s="38">
        <f t="shared" si="14"/>
        <v>12945985.584376622</v>
      </c>
      <c r="O104" s="38">
        <f t="shared" si="15"/>
        <v>62841.776699967922</v>
      </c>
      <c r="P104" s="38">
        <f t="shared" si="16"/>
        <v>93250.87507129219</v>
      </c>
      <c r="Q104" s="38">
        <f t="shared" si="17"/>
        <v>13449688.22123678</v>
      </c>
      <c r="R104" s="38">
        <f t="shared" si="5"/>
        <v>7.8949507425865914E-2</v>
      </c>
    </row>
    <row r="105" spans="2:18" ht="18.5" x14ac:dyDescent="0.45">
      <c r="D105" s="38">
        <v>0.65</v>
      </c>
      <c r="E105" s="38">
        <f t="shared" si="4"/>
        <v>17.55144438500718</v>
      </c>
      <c r="F105" s="39">
        <f t="shared" si="6"/>
        <v>31.828384565876938</v>
      </c>
      <c r="G105" s="38">
        <f t="shared" si="7"/>
        <v>1464424652.062952</v>
      </c>
      <c r="H105" s="38">
        <f t="shared" si="8"/>
        <v>1.460656231123459E-3</v>
      </c>
      <c r="I105" s="38">
        <f t="shared" si="9"/>
        <v>18.142077529050077</v>
      </c>
      <c r="J105" s="38">
        <v>0</v>
      </c>
      <c r="K105" s="38">
        <f t="shared" si="11"/>
        <v>0</v>
      </c>
      <c r="L105" s="38">
        <f t="shared" si="12"/>
        <v>299335.95519927499</v>
      </c>
      <c r="M105" s="38">
        <f t="shared" si="13"/>
        <v>-0.88814609778443399</v>
      </c>
      <c r="N105" s="38">
        <f t="shared" si="14"/>
        <v>13980321.766016804</v>
      </c>
      <c r="O105" s="38">
        <f t="shared" si="15"/>
        <v>73037.973068623091</v>
      </c>
      <c r="P105" s="38">
        <f t="shared" si="16"/>
        <v>109440.26310450265</v>
      </c>
      <c r="Q105" s="38">
        <f t="shared" si="17"/>
        <v>14566810.360625902</v>
      </c>
      <c r="R105" s="38">
        <f t="shared" si="5"/>
        <v>7.2858036263449388E-2</v>
      </c>
    </row>
    <row r="106" spans="2:18" ht="16.25" customHeight="1" x14ac:dyDescent="0.45">
      <c r="D106" s="38">
        <v>0.7</v>
      </c>
      <c r="E106" s="38">
        <f t="shared" si="4"/>
        <v>18.901555491546191</v>
      </c>
      <c r="F106" s="39">
        <f t="shared" si="6"/>
        <v>34.276721840175156</v>
      </c>
      <c r="G106" s="38">
        <f t="shared" si="7"/>
        <v>1577072702.2216406</v>
      </c>
      <c r="H106" s="38">
        <f t="shared" si="8"/>
        <v>1.4476229935581832E-3</v>
      </c>
      <c r="I106" s="38">
        <f t="shared" si="9"/>
        <v>19.537621954361619</v>
      </c>
      <c r="J106" s="38">
        <v>0</v>
      </c>
      <c r="K106" s="38">
        <f t="shared" si="11"/>
        <v>0</v>
      </c>
      <c r="L106" s="38">
        <f t="shared" si="12"/>
        <v>344061.20783871197</v>
      </c>
      <c r="M106" s="38">
        <f t="shared" si="13"/>
        <v>-0.91758113989466061</v>
      </c>
      <c r="N106" s="38">
        <f t="shared" si="14"/>
        <v>13743796.357399013</v>
      </c>
      <c r="O106" s="38">
        <f t="shared" si="15"/>
        <v>83950.934712645729</v>
      </c>
      <c r="P106" s="38">
        <f t="shared" si="16"/>
        <v>126924.80218036988</v>
      </c>
      <c r="Q106" s="38">
        <f t="shared" si="17"/>
        <v>14419047.621148778</v>
      </c>
      <c r="R106" s="38">
        <f t="shared" si="5"/>
        <v>6.2184221923834555E-2</v>
      </c>
    </row>
    <row r="107" spans="2:18" ht="18.5" x14ac:dyDescent="0.45">
      <c r="D107" s="38">
        <v>0.75</v>
      </c>
      <c r="E107" s="38">
        <f t="shared" si="4"/>
        <v>20.251666598085208</v>
      </c>
      <c r="F107" s="39">
        <f t="shared" si="6"/>
        <v>36.725059114473389</v>
      </c>
      <c r="G107" s="38">
        <f t="shared" si="7"/>
        <v>1689720752.3803294</v>
      </c>
      <c r="H107" s="38">
        <f t="shared" si="8"/>
        <v>1.4356455026904838E-3</v>
      </c>
      <c r="I107" s="38">
        <f t="shared" si="9"/>
        <v>20.933166379673168</v>
      </c>
      <c r="J107" s="38">
        <v>0</v>
      </c>
      <c r="K107" s="38">
        <f t="shared" si="11"/>
        <v>0</v>
      </c>
      <c r="L107" s="38">
        <f t="shared" si="12"/>
        <v>391700.29488818953</v>
      </c>
      <c r="M107" s="38">
        <f t="shared" si="13"/>
        <v>-0.94203729656238322</v>
      </c>
      <c r="N107" s="38">
        <f t="shared" si="14"/>
        <v>13097714.709435938</v>
      </c>
      <c r="O107" s="38">
        <f t="shared" si="15"/>
        <v>95574.87195271824</v>
      </c>
      <c r="P107" s="38">
        <f t="shared" si="16"/>
        <v>145704.49229889404</v>
      </c>
      <c r="Q107" s="38">
        <f t="shared" si="17"/>
        <v>13867667.538363393</v>
      </c>
      <c r="R107" s="38">
        <f t="shared" si="5"/>
        <v>5.2097946220438188E-2</v>
      </c>
    </row>
    <row r="108" spans="2:18" ht="18.5" x14ac:dyDescent="0.45">
      <c r="D108" s="38">
        <v>0.8</v>
      </c>
      <c r="E108" s="38">
        <f t="shared" si="4"/>
        <v>21.601777704624222</v>
      </c>
      <c r="F108" s="39">
        <f t="shared" si="6"/>
        <v>39.173396388771614</v>
      </c>
      <c r="G108" s="38">
        <f t="shared" si="7"/>
        <v>1802368802.5390182</v>
      </c>
      <c r="H108" s="38">
        <f t="shared" si="8"/>
        <v>1.424575366041394E-3</v>
      </c>
      <c r="I108" s="38">
        <f t="shared" si="9"/>
        <v>22.328710804984713</v>
      </c>
      <c r="J108" s="38">
        <v>0</v>
      </c>
      <c r="K108" s="38">
        <f t="shared" si="11"/>
        <v>0</v>
      </c>
      <c r="L108" s="38">
        <f t="shared" si="12"/>
        <v>442231.38502373447</v>
      </c>
      <c r="M108" s="38">
        <f t="shared" si="13"/>
        <v>-0.96253713238978833</v>
      </c>
      <c r="N108" s="38">
        <f t="shared" si="14"/>
        <v>12461373.80195461</v>
      </c>
      <c r="O108" s="38">
        <f t="shared" si="15"/>
        <v>107904.45794579119</v>
      </c>
      <c r="P108" s="38">
        <f t="shared" si="16"/>
        <v>165779.33346007499</v>
      </c>
      <c r="Q108" s="38">
        <f t="shared" si="17"/>
        <v>13331932.299762297</v>
      </c>
      <c r="R108" s="38">
        <f t="shared" si="5"/>
        <v>4.4020283393788273E-2</v>
      </c>
    </row>
    <row r="112" spans="2:18" x14ac:dyDescent="0.35">
      <c r="B112" s="44" t="s">
        <v>57</v>
      </c>
      <c r="C112" s="44"/>
    </row>
    <row r="113" spans="2:5" x14ac:dyDescent="0.35">
      <c r="B113" s="44"/>
      <c r="C113" s="44"/>
    </row>
    <row r="115" spans="2:5" ht="17.5" x14ac:dyDescent="0.35">
      <c r="D115" s="40" t="str">
        <f>F91</f>
        <v>V ( kn )</v>
      </c>
      <c r="E115" s="40" t="s">
        <v>178</v>
      </c>
    </row>
    <row r="116" spans="2:5" x14ac:dyDescent="0.35">
      <c r="D116" s="41">
        <f>F93</f>
        <v>4.8966745485964518</v>
      </c>
      <c r="E116" s="41">
        <f>Q93/1000</f>
        <v>17.369534583511761</v>
      </c>
    </row>
    <row r="117" spans="2:5" x14ac:dyDescent="0.35">
      <c r="D117" s="41">
        <f>F94</f>
        <v>7.3450118228946781</v>
      </c>
      <c r="E117" s="41">
        <f t="shared" ref="E117:E130" si="18">Q94/1000</f>
        <v>38.269350528971636</v>
      </c>
    </row>
    <row r="118" spans="2:5" x14ac:dyDescent="0.35">
      <c r="D118" s="41">
        <f>F95</f>
        <v>9.7933490971929036</v>
      </c>
      <c r="E118" s="41">
        <f t="shared" si="18"/>
        <v>81.673599299037122</v>
      </c>
    </row>
    <row r="119" spans="2:5" x14ac:dyDescent="0.35">
      <c r="D119" s="41">
        <f t="shared" ref="D119:D130" si="19">F97</f>
        <v>12.241686371491129</v>
      </c>
      <c r="E119" s="41">
        <f t="shared" si="18"/>
        <v>84.552355022523287</v>
      </c>
    </row>
    <row r="120" spans="2:5" x14ac:dyDescent="0.35">
      <c r="D120" s="41">
        <f t="shared" si="19"/>
        <v>14.690023645789356</v>
      </c>
      <c r="E120" s="41">
        <f t="shared" si="18"/>
        <v>227.30048084239147</v>
      </c>
    </row>
    <row r="121" spans="2:5" x14ac:dyDescent="0.35">
      <c r="D121" s="41">
        <f t="shared" si="19"/>
        <v>17.138360920087578</v>
      </c>
      <c r="E121" s="41">
        <f t="shared" si="18"/>
        <v>431.82085100010067</v>
      </c>
    </row>
    <row r="122" spans="2:5" x14ac:dyDescent="0.35">
      <c r="D122" s="41">
        <f t="shared" si="19"/>
        <v>19.586698194385807</v>
      </c>
      <c r="E122" s="41">
        <f t="shared" si="18"/>
        <v>1065.9916575599916</v>
      </c>
    </row>
    <row r="123" spans="2:5" x14ac:dyDescent="0.35">
      <c r="D123" s="41">
        <f t="shared" si="19"/>
        <v>22.035035468684033</v>
      </c>
      <c r="E123" s="41">
        <f t="shared" si="18"/>
        <v>966.1962658859286</v>
      </c>
    </row>
    <row r="124" spans="2:5" x14ac:dyDescent="0.35">
      <c r="D124" s="41">
        <f t="shared" si="19"/>
        <v>24.483372742982258</v>
      </c>
      <c r="E124" s="41">
        <f t="shared" si="18"/>
        <v>2075.2798943703669</v>
      </c>
    </row>
    <row r="125" spans="2:5" x14ac:dyDescent="0.35">
      <c r="D125" s="41">
        <f t="shared" si="19"/>
        <v>26.931710017280484</v>
      </c>
      <c r="E125" s="41">
        <f t="shared" si="18"/>
        <v>5442.3891514069328</v>
      </c>
    </row>
    <row r="126" spans="2:5" x14ac:dyDescent="0.35">
      <c r="D126" s="41">
        <f t="shared" si="19"/>
        <v>29.380047291578713</v>
      </c>
      <c r="E126" s="41">
        <f t="shared" si="18"/>
        <v>10158.952615013395</v>
      </c>
    </row>
    <row r="127" spans="2:5" x14ac:dyDescent="0.35">
      <c r="D127" s="41">
        <f t="shared" si="19"/>
        <v>31.828384565876938</v>
      </c>
      <c r="E127" s="41">
        <f t="shared" si="18"/>
        <v>13449.68822123678</v>
      </c>
    </row>
    <row r="128" spans="2:5" x14ac:dyDescent="0.35">
      <c r="D128" s="41">
        <f t="shared" si="19"/>
        <v>34.276721840175156</v>
      </c>
      <c r="E128" s="41">
        <f t="shared" si="18"/>
        <v>14566.810360625903</v>
      </c>
    </row>
    <row r="129" spans="4:5" x14ac:dyDescent="0.35">
      <c r="D129" s="41">
        <f t="shared" si="19"/>
        <v>36.725059114473389</v>
      </c>
      <c r="E129" s="41">
        <f t="shared" si="18"/>
        <v>14419.047621148778</v>
      </c>
    </row>
    <row r="130" spans="4:5" x14ac:dyDescent="0.35">
      <c r="D130" s="41">
        <f t="shared" si="19"/>
        <v>39.173396388771614</v>
      </c>
      <c r="E130" s="41">
        <f t="shared" si="18"/>
        <v>13867.667538363394</v>
      </c>
    </row>
    <row r="139" spans="4:5" ht="16.5" x14ac:dyDescent="0.35">
      <c r="D139" s="40" t="s">
        <v>179</v>
      </c>
      <c r="E139" s="40" t="s">
        <v>180</v>
      </c>
    </row>
    <row r="140" spans="4:5" x14ac:dyDescent="0.35">
      <c r="D140" s="41">
        <f>D93</f>
        <v>0.1</v>
      </c>
      <c r="E140" s="41">
        <f>R93</f>
        <v>3.6705224963581389E-3</v>
      </c>
    </row>
    <row r="141" spans="4:5" x14ac:dyDescent="0.35">
      <c r="D141" s="41">
        <f>D94</f>
        <v>0.15</v>
      </c>
      <c r="E141" s="41">
        <f>R94</f>
        <v>3.5942500067764763E-3</v>
      </c>
    </row>
    <row r="142" spans="4:5" x14ac:dyDescent="0.35">
      <c r="D142" s="41">
        <f>D95</f>
        <v>0.2</v>
      </c>
      <c r="E142" s="41">
        <f>R95</f>
        <v>4.3148073735699045E-3</v>
      </c>
    </row>
    <row r="143" spans="4:5" x14ac:dyDescent="0.35">
      <c r="D143" s="41">
        <f t="shared" ref="D143:D154" si="20">D97</f>
        <v>0.25</v>
      </c>
      <c r="E143" s="41">
        <f t="shared" ref="E143:E154" si="21">R97</f>
        <v>7.6852862059482033E-3</v>
      </c>
    </row>
    <row r="144" spans="4:5" x14ac:dyDescent="0.35">
      <c r="D144" s="41">
        <f t="shared" si="20"/>
        <v>0.3</v>
      </c>
      <c r="E144" s="41">
        <f t="shared" si="21"/>
        <v>1.0139132720963912E-2</v>
      </c>
    </row>
    <row r="145" spans="4:5" x14ac:dyDescent="0.35">
      <c r="D145" s="41">
        <f t="shared" si="20"/>
        <v>0.35</v>
      </c>
      <c r="E145" s="41">
        <f t="shared" si="21"/>
        <v>1.8388970906910856E-2</v>
      </c>
    </row>
    <row r="146" spans="4:5" x14ac:dyDescent="0.35">
      <c r="D146" s="41">
        <f t="shared" si="20"/>
        <v>0.4</v>
      </c>
      <c r="E146" s="41">
        <f t="shared" si="21"/>
        <v>1.276101092684874E-2</v>
      </c>
    </row>
    <row r="147" spans="4:5" x14ac:dyDescent="0.35">
      <c r="D147" s="41">
        <f t="shared" si="20"/>
        <v>0.45</v>
      </c>
      <c r="E147" s="41">
        <f t="shared" si="21"/>
        <v>2.1656654074059485E-2</v>
      </c>
    </row>
    <row r="148" spans="4:5" x14ac:dyDescent="0.35">
      <c r="D148" s="41">
        <f t="shared" si="20"/>
        <v>0.5</v>
      </c>
      <c r="E148" s="41">
        <f t="shared" si="21"/>
        <v>4.6003332370546011E-2</v>
      </c>
    </row>
    <row r="149" spans="4:5" x14ac:dyDescent="0.35">
      <c r="D149" s="41">
        <f t="shared" si="20"/>
        <v>0.55000000000000004</v>
      </c>
      <c r="E149" s="41">
        <f t="shared" si="21"/>
        <v>7.0968114041380426E-2</v>
      </c>
    </row>
    <row r="150" spans="4:5" x14ac:dyDescent="0.35">
      <c r="D150" s="41">
        <f t="shared" si="20"/>
        <v>0.6</v>
      </c>
      <c r="E150" s="41">
        <f t="shared" si="21"/>
        <v>7.8949507425865914E-2</v>
      </c>
    </row>
    <row r="151" spans="4:5" x14ac:dyDescent="0.35">
      <c r="D151" s="41">
        <f t="shared" si="20"/>
        <v>0.65</v>
      </c>
      <c r="E151" s="41">
        <f t="shared" si="21"/>
        <v>7.2858036263449388E-2</v>
      </c>
    </row>
    <row r="152" spans="4:5" x14ac:dyDescent="0.35">
      <c r="D152" s="41">
        <f t="shared" si="20"/>
        <v>0.7</v>
      </c>
      <c r="E152" s="41">
        <f t="shared" si="21"/>
        <v>6.2184221923834555E-2</v>
      </c>
    </row>
    <row r="153" spans="4:5" x14ac:dyDescent="0.35">
      <c r="D153" s="41">
        <f t="shared" si="20"/>
        <v>0.75</v>
      </c>
      <c r="E153" s="41">
        <f t="shared" si="21"/>
        <v>5.2097946220438188E-2</v>
      </c>
    </row>
    <row r="154" spans="4:5" x14ac:dyDescent="0.35">
      <c r="D154" s="41">
        <f t="shared" si="20"/>
        <v>0.8</v>
      </c>
      <c r="E154" s="41">
        <f t="shared" si="21"/>
        <v>4.4020283393788273E-2</v>
      </c>
    </row>
  </sheetData>
  <mergeCells count="75">
    <mergeCell ref="C1:E1"/>
    <mergeCell ref="C2:E2"/>
    <mergeCell ref="C3:E3"/>
    <mergeCell ref="M22:N22"/>
    <mergeCell ref="B23:F23"/>
    <mergeCell ref="H23:K23"/>
    <mergeCell ref="B24:F24"/>
    <mergeCell ref="H24:K24"/>
    <mergeCell ref="M24:N24"/>
    <mergeCell ref="B25:F25"/>
    <mergeCell ref="H25:K25"/>
    <mergeCell ref="M25:N25"/>
    <mergeCell ref="B26:F26"/>
    <mergeCell ref="H26:K26"/>
    <mergeCell ref="M26:N26"/>
    <mergeCell ref="B27:F27"/>
    <mergeCell ref="H27:K27"/>
    <mergeCell ref="M27:N27"/>
    <mergeCell ref="B28:F28"/>
    <mergeCell ref="H28:K28"/>
    <mergeCell ref="M28:N28"/>
    <mergeCell ref="B29:F29"/>
    <mergeCell ref="H29:K29"/>
    <mergeCell ref="M29:N29"/>
    <mergeCell ref="B30:F30"/>
    <mergeCell ref="H30:K30"/>
    <mergeCell ref="M30:N30"/>
    <mergeCell ref="B31:F31"/>
    <mergeCell ref="H31:K31"/>
    <mergeCell ref="M31:N31"/>
    <mergeCell ref="B32:F32"/>
    <mergeCell ref="H32:K32"/>
    <mergeCell ref="M32:N32"/>
    <mergeCell ref="B33:F33"/>
    <mergeCell ref="H33:K33"/>
    <mergeCell ref="M33:N33"/>
    <mergeCell ref="B34:F34"/>
    <mergeCell ref="H34:K34"/>
    <mergeCell ref="M34:N34"/>
    <mergeCell ref="B35:F35"/>
    <mergeCell ref="H35:K35"/>
    <mergeCell ref="M35:N35"/>
    <mergeCell ref="B36:F36"/>
    <mergeCell ref="H36:K36"/>
    <mergeCell ref="M36:N36"/>
    <mergeCell ref="B37:F37"/>
    <mergeCell ref="H37:K37"/>
    <mergeCell ref="M37:N37"/>
    <mergeCell ref="B38:F38"/>
    <mergeCell ref="H38:K38"/>
    <mergeCell ref="M38:N38"/>
    <mergeCell ref="B39:F39"/>
    <mergeCell ref="H39:K39"/>
    <mergeCell ref="M39:N39"/>
    <mergeCell ref="B40:F40"/>
    <mergeCell ref="H40:K40"/>
    <mergeCell ref="M40:N40"/>
    <mergeCell ref="B41:F41"/>
    <mergeCell ref="H41:K41"/>
    <mergeCell ref="M41:N41"/>
    <mergeCell ref="M44:N44"/>
    <mergeCell ref="B45:F45"/>
    <mergeCell ref="H45:K45"/>
    <mergeCell ref="M45:N45"/>
    <mergeCell ref="B42:F42"/>
    <mergeCell ref="H42:K42"/>
    <mergeCell ref="M42:N42"/>
    <mergeCell ref="B43:F43"/>
    <mergeCell ref="H43:K43"/>
    <mergeCell ref="M43:N43"/>
    <mergeCell ref="B49:E49"/>
    <mergeCell ref="B50:C50"/>
    <mergeCell ref="B112:C113"/>
    <mergeCell ref="B44:F44"/>
    <mergeCell ref="H44:K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9"/>
  <sheetViews>
    <sheetView topLeftCell="H136" zoomScale="65" zoomScaleNormal="65" workbookViewId="0">
      <selection activeCell="K154" sqref="K154"/>
    </sheetView>
  </sheetViews>
  <sheetFormatPr defaultColWidth="8.90625" defaultRowHeight="15.5" x14ac:dyDescent="0.35"/>
  <cols>
    <col min="1" max="2" width="8.90625" style="8"/>
    <col min="3" max="3" width="25.08984375" style="8" customWidth="1"/>
    <col min="4" max="4" width="13.453125" style="8" customWidth="1"/>
    <col min="5" max="5" width="16.08984375" style="8" customWidth="1"/>
    <col min="6" max="7" width="16.81640625" style="8" customWidth="1"/>
    <col min="8" max="8" width="18.54296875" style="8" customWidth="1"/>
    <col min="9" max="9" width="27.6328125" style="8" customWidth="1"/>
    <col min="10" max="10" width="20.453125" style="8" customWidth="1"/>
    <col min="11" max="11" width="23.453125" style="8" customWidth="1"/>
    <col min="12" max="12" width="27.6328125" style="8" customWidth="1"/>
    <col min="13" max="13" width="19.453125" style="8" customWidth="1"/>
    <col min="14" max="14" width="20.6328125" style="8" customWidth="1"/>
    <col min="15" max="15" width="23.36328125" style="8" customWidth="1"/>
    <col min="16" max="16" width="11.1796875" style="8" customWidth="1"/>
    <col min="17" max="17" width="14.7265625" style="8" customWidth="1"/>
    <col min="18" max="18" width="8.90625" style="8"/>
    <col min="19" max="19" width="6.08984375" style="8" customWidth="1"/>
    <col min="20" max="20" width="27.81640625" style="8" customWidth="1"/>
    <col min="21" max="16384" width="8.90625" style="8"/>
  </cols>
  <sheetData>
    <row r="1" spans="2:12" ht="16" customHeight="1" x14ac:dyDescent="0.35">
      <c r="B1" s="6"/>
      <c r="C1" s="6"/>
      <c r="D1" s="6"/>
      <c r="E1" s="6"/>
      <c r="F1" s="6"/>
    </row>
    <row r="2" spans="2:12" ht="16" customHeight="1" x14ac:dyDescent="0.35">
      <c r="G2" s="9" t="s">
        <v>0</v>
      </c>
      <c r="H2" s="6">
        <v>76.400000000000006</v>
      </c>
      <c r="I2" s="6" t="s">
        <v>1</v>
      </c>
      <c r="J2" s="6"/>
      <c r="K2" s="6"/>
      <c r="L2" s="6"/>
    </row>
    <row r="3" spans="2:12" ht="16" customHeight="1" x14ac:dyDescent="0.35">
      <c r="G3" s="9" t="s">
        <v>181</v>
      </c>
      <c r="H3" s="6">
        <v>74.400000000000006</v>
      </c>
      <c r="I3" s="6" t="s">
        <v>1</v>
      </c>
      <c r="J3" s="6"/>
      <c r="K3" s="6"/>
      <c r="L3" s="6"/>
    </row>
    <row r="4" spans="2:12" ht="16" customHeight="1" x14ac:dyDescent="0.35">
      <c r="G4" s="9" t="s">
        <v>3</v>
      </c>
      <c r="H4" s="6">
        <v>-0.223</v>
      </c>
      <c r="I4" s="6" t="s">
        <v>1</v>
      </c>
      <c r="J4" s="6"/>
      <c r="K4" s="6"/>
      <c r="L4" s="10"/>
    </row>
    <row r="5" spans="2:12" ht="16" customHeight="1" x14ac:dyDescent="0.35">
      <c r="G5" s="9" t="s">
        <v>4</v>
      </c>
      <c r="H5" s="6">
        <v>13.54</v>
      </c>
      <c r="I5" s="6" t="s">
        <v>1</v>
      </c>
      <c r="J5" s="6"/>
      <c r="K5" s="6"/>
      <c r="L5" s="6"/>
    </row>
    <row r="6" spans="2:12" ht="16" customHeight="1" x14ac:dyDescent="0.35">
      <c r="G6" s="9" t="s">
        <v>6</v>
      </c>
      <c r="H6" s="6">
        <v>5.0999999999999996</v>
      </c>
      <c r="I6" s="6" t="s">
        <v>1</v>
      </c>
      <c r="J6" s="6"/>
      <c r="K6" s="6"/>
      <c r="L6" s="6"/>
    </row>
    <row r="7" spans="2:12" ht="16" customHeight="1" x14ac:dyDescent="0.35">
      <c r="G7" s="9" t="s">
        <v>8</v>
      </c>
      <c r="H7" s="6">
        <v>3.85</v>
      </c>
      <c r="I7" s="6" t="s">
        <v>1</v>
      </c>
      <c r="J7" s="6"/>
      <c r="K7" s="6"/>
      <c r="L7" s="11"/>
    </row>
    <row r="8" spans="2:12" ht="16" customHeight="1" x14ac:dyDescent="0.35">
      <c r="G8" s="12" t="s">
        <v>9</v>
      </c>
      <c r="H8" s="6">
        <f>H3*H5*H7*H9</f>
        <v>3063.9341039999999</v>
      </c>
      <c r="I8" s="6" t="s">
        <v>182</v>
      </c>
      <c r="J8" s="6"/>
      <c r="K8" s="6"/>
      <c r="L8" s="6"/>
    </row>
    <row r="9" spans="2:12" ht="16" customHeight="1" x14ac:dyDescent="0.35">
      <c r="G9" s="9" t="s">
        <v>183</v>
      </c>
      <c r="H9" s="6">
        <v>0.79</v>
      </c>
      <c r="I9" s="6"/>
      <c r="J9" s="6"/>
      <c r="K9" s="6" t="s">
        <v>10</v>
      </c>
      <c r="L9" s="6">
        <f>H7/H3</f>
        <v>5.1747311827956985E-2</v>
      </c>
    </row>
    <row r="10" spans="2:12" ht="16" customHeight="1" x14ac:dyDescent="0.35">
      <c r="G10" s="9" t="s">
        <v>184</v>
      </c>
      <c r="H10" s="6">
        <v>0.81399999999999995</v>
      </c>
      <c r="I10" s="6"/>
      <c r="J10" s="6"/>
      <c r="K10" s="6" t="s">
        <v>11</v>
      </c>
      <c r="L10" s="6">
        <f>H5/H7</f>
        <v>3.5168831168831165</v>
      </c>
    </row>
    <row r="11" spans="2:12" ht="16" customHeight="1" x14ac:dyDescent="0.35">
      <c r="G11" s="9" t="s">
        <v>185</v>
      </c>
      <c r="H11" s="6">
        <v>0.97299999999999998</v>
      </c>
      <c r="I11" s="6"/>
      <c r="J11" s="6"/>
      <c r="K11" s="6" t="s">
        <v>12</v>
      </c>
      <c r="L11" s="6">
        <f>H3/H5</f>
        <v>5.4948301329394393</v>
      </c>
    </row>
    <row r="12" spans="2:12" ht="16" customHeight="1" x14ac:dyDescent="0.35">
      <c r="G12" s="9" t="s">
        <v>186</v>
      </c>
      <c r="H12" s="13">
        <v>0.89400000000000002</v>
      </c>
      <c r="I12" s="6"/>
      <c r="J12" s="6"/>
      <c r="K12" s="6" t="s">
        <v>13</v>
      </c>
      <c r="L12" s="6">
        <f>H3/H7</f>
        <v>19.324675324675326</v>
      </c>
    </row>
    <row r="13" spans="2:12" ht="16" customHeight="1" x14ac:dyDescent="0.35">
      <c r="G13" s="9"/>
      <c r="H13" s="10"/>
      <c r="I13" s="6"/>
      <c r="J13" s="6"/>
      <c r="K13" s="6" t="s">
        <v>16</v>
      </c>
      <c r="L13" s="6">
        <f>H5/H3</f>
        <v>0.18198924731182795</v>
      </c>
    </row>
    <row r="14" spans="2:12" ht="16" customHeight="1" x14ac:dyDescent="0.35">
      <c r="G14" s="9"/>
      <c r="H14" s="6"/>
      <c r="I14" s="6"/>
      <c r="J14" s="6"/>
      <c r="K14" s="6" t="s">
        <v>112</v>
      </c>
      <c r="L14" s="6">
        <f>H3/H8^(1/3)</f>
        <v>5.1224743841876181</v>
      </c>
    </row>
    <row r="15" spans="2:12" ht="16" customHeight="1" x14ac:dyDescent="0.35">
      <c r="G15" s="6"/>
      <c r="H15" s="6"/>
      <c r="I15" s="6"/>
      <c r="J15" s="6"/>
      <c r="K15" s="6"/>
      <c r="L15" s="6"/>
    </row>
    <row r="16" spans="2:12" ht="16" customHeight="1" x14ac:dyDescent="0.35"/>
    <row r="17" spans="1:20" ht="16" customHeight="1" x14ac:dyDescent="0.35">
      <c r="A17" s="6"/>
      <c r="B17" s="6"/>
      <c r="C17" s="6"/>
      <c r="D17" s="6"/>
      <c r="E17" s="6"/>
      <c r="F17" s="6"/>
      <c r="G17" s="6"/>
      <c r="H17" s="6"/>
    </row>
    <row r="18" spans="1:20" ht="16" customHeight="1" x14ac:dyDescent="0.35">
      <c r="A18" s="6"/>
      <c r="B18" s="6"/>
      <c r="C18" s="6"/>
      <c r="D18" s="6"/>
      <c r="E18" s="6"/>
      <c r="F18" s="6"/>
      <c r="G18" s="6"/>
      <c r="H18" s="6"/>
    </row>
    <row r="19" spans="1:20" ht="16" customHeight="1" x14ac:dyDescent="0.35">
      <c r="A19" s="6"/>
      <c r="F19" s="6"/>
      <c r="G19" s="6"/>
      <c r="H19" s="6"/>
    </row>
    <row r="20" spans="1:20" ht="16" customHeight="1" x14ac:dyDescent="0.35"/>
    <row r="21" spans="1:20" ht="16" customHeight="1" x14ac:dyDescent="0.3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0" ht="16" customHeight="1" x14ac:dyDescent="0.35"/>
    <row r="23" spans="1:20" ht="16" customHeight="1" x14ac:dyDescent="0.35">
      <c r="B23" s="14" t="s">
        <v>187</v>
      </c>
      <c r="C23" s="14" t="s">
        <v>50</v>
      </c>
      <c r="D23" s="14" t="s">
        <v>51</v>
      </c>
      <c r="E23" s="14" t="s">
        <v>52</v>
      </c>
      <c r="F23" s="14" t="s">
        <v>188</v>
      </c>
      <c r="G23" s="14"/>
      <c r="H23" s="14"/>
      <c r="I23" s="14"/>
      <c r="J23" s="14" t="s">
        <v>189</v>
      </c>
      <c r="K23" s="14" t="s">
        <v>190</v>
      </c>
      <c r="M23" s="14" t="s">
        <v>191</v>
      </c>
      <c r="O23" s="14" t="s">
        <v>192</v>
      </c>
      <c r="Q23" s="14" t="s">
        <v>193</v>
      </c>
      <c r="T23" s="14" t="s">
        <v>194</v>
      </c>
    </row>
    <row r="24" spans="1:20" ht="16" customHeight="1" x14ac:dyDescent="0.35">
      <c r="B24" s="14"/>
      <c r="C24" s="14" t="s">
        <v>195</v>
      </c>
      <c r="D24" s="14"/>
      <c r="E24" s="14" t="s">
        <v>54</v>
      </c>
      <c r="F24" s="14" t="s">
        <v>196</v>
      </c>
      <c r="G24" s="14" t="s">
        <v>55</v>
      </c>
      <c r="H24" s="14" t="s">
        <v>56</v>
      </c>
      <c r="I24" s="14" t="s">
        <v>53</v>
      </c>
      <c r="J24" s="14" t="s">
        <v>197</v>
      </c>
      <c r="K24" s="14" t="s">
        <v>198</v>
      </c>
      <c r="M24" s="14" t="s">
        <v>199</v>
      </c>
      <c r="O24" s="14" t="s">
        <v>200</v>
      </c>
      <c r="Q24" s="14" t="s">
        <v>201</v>
      </c>
      <c r="T24" s="14" t="s">
        <v>202</v>
      </c>
    </row>
    <row r="25" spans="1:20" ht="16" customHeight="1" x14ac:dyDescent="0.35">
      <c r="B25" s="15"/>
      <c r="C25" s="15"/>
      <c r="D25" s="16"/>
      <c r="E25" s="15"/>
      <c r="F25" s="15"/>
      <c r="G25" s="15"/>
      <c r="H25" s="15"/>
      <c r="I25" s="15"/>
      <c r="J25" s="15" t="s">
        <v>60</v>
      </c>
      <c r="K25" s="15"/>
      <c r="M25" s="15" t="s">
        <v>61</v>
      </c>
      <c r="O25" s="15" t="s">
        <v>60</v>
      </c>
      <c r="Q25" s="15" t="s">
        <v>62</v>
      </c>
      <c r="T25" s="15" t="s">
        <v>63</v>
      </c>
    </row>
    <row r="26" spans="1:20" ht="16" customHeight="1" x14ac:dyDescent="0.35">
      <c r="B26" s="15">
        <f>[1]Resistance!D100</f>
        <v>0.2021</v>
      </c>
      <c r="C26" s="15">
        <f>[1]Resistance!E100</f>
        <v>5.1449198406136514</v>
      </c>
      <c r="D26" s="16">
        <f>C26/0.5144</f>
        <v>10.001788181597302</v>
      </c>
      <c r="E26" s="15">
        <v>382713600</v>
      </c>
      <c r="F26" s="15">
        <v>1.7306999999999999E-3</v>
      </c>
      <c r="G26" s="15">
        <v>0.18909999999999999</v>
      </c>
      <c r="H26" s="15">
        <v>3.5983000000000001E-2</v>
      </c>
      <c r="I26" s="15">
        <v>250.38499999999999</v>
      </c>
      <c r="J26" s="15">
        <v>28489.593000000001</v>
      </c>
      <c r="K26" s="15">
        <v>-9.8305000000000003E-2</v>
      </c>
      <c r="M26" s="15">
        <f>[1]Resistance!N100</f>
        <v>15896.371355402027</v>
      </c>
      <c r="O26" s="15">
        <v>5923.2489999999998</v>
      </c>
      <c r="Q26" s="15">
        <v>8428.2459999999992</v>
      </c>
      <c r="T26" s="15">
        <v>58.381</v>
      </c>
    </row>
    <row r="27" spans="1:20" ht="16" customHeight="1" x14ac:dyDescent="0.35">
      <c r="B27" s="15"/>
      <c r="C27" s="15"/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20" ht="16" customHeight="1" x14ac:dyDescent="0.35"/>
    <row r="29" spans="1:20" ht="16" customHeight="1" x14ac:dyDescent="0.35"/>
    <row r="30" spans="1:20" ht="16" customHeight="1" x14ac:dyDescent="0.35"/>
    <row r="31" spans="1:20" ht="16" customHeight="1" x14ac:dyDescent="0.35"/>
    <row r="32" spans="1:20" ht="16" customHeight="1" x14ac:dyDescent="0.35"/>
    <row r="33" spans="2:19" ht="16" customHeight="1" x14ac:dyDescent="0.35"/>
    <row r="34" spans="2:19" ht="16" customHeight="1" x14ac:dyDescent="0.35"/>
    <row r="35" spans="2:19" ht="16" customHeight="1" x14ac:dyDescent="0.45">
      <c r="K35" s="23" t="s">
        <v>206</v>
      </c>
      <c r="L35" s="7"/>
      <c r="M35" s="7"/>
      <c r="N35" s="23">
        <f>T26</f>
        <v>58.381</v>
      </c>
      <c r="O35" s="23" t="s">
        <v>64</v>
      </c>
      <c r="P35" s="7" t="s">
        <v>65</v>
      </c>
      <c r="Q35" s="7">
        <v>10</v>
      </c>
      <c r="R35" s="7" t="s">
        <v>66</v>
      </c>
      <c r="S35" s="7"/>
    </row>
    <row r="36" spans="2:19" ht="16" customHeight="1" x14ac:dyDescent="0.35">
      <c r="K36" s="7"/>
      <c r="L36" s="7"/>
      <c r="M36" s="7"/>
      <c r="N36" s="7"/>
      <c r="O36" s="7"/>
      <c r="P36" s="7"/>
      <c r="Q36" s="7">
        <f>Q35*0.5144</f>
        <v>5.1440000000000001</v>
      </c>
      <c r="R36" s="7" t="s">
        <v>67</v>
      </c>
      <c r="S36" s="7"/>
    </row>
    <row r="37" spans="2:19" ht="16" customHeight="1" x14ac:dyDescent="0.45">
      <c r="K37" s="23" t="s">
        <v>207</v>
      </c>
      <c r="L37" s="7"/>
      <c r="M37" s="7"/>
      <c r="N37" s="23">
        <f>N35*Q36</f>
        <v>300.31186400000001</v>
      </c>
      <c r="O37" s="23" t="s">
        <v>95</v>
      </c>
      <c r="P37" s="7"/>
      <c r="Q37" s="7"/>
      <c r="R37" s="7"/>
      <c r="S37" s="7"/>
    </row>
    <row r="38" spans="2:19" ht="16" customHeight="1" x14ac:dyDescent="0.35"/>
    <row r="39" spans="2:19" ht="16" customHeight="1" x14ac:dyDescent="0.35"/>
    <row r="40" spans="2:19" ht="16" customHeight="1" x14ac:dyDescent="0.35"/>
    <row r="41" spans="2:19" ht="16" customHeight="1" x14ac:dyDescent="0.35"/>
    <row r="42" spans="2:19" ht="16" customHeight="1" x14ac:dyDescent="0.35"/>
    <row r="43" spans="2:19" ht="16" customHeight="1" x14ac:dyDescent="0.35"/>
    <row r="44" spans="2:19" ht="16" customHeight="1" x14ac:dyDescent="0.35"/>
    <row r="45" spans="2:19" ht="16" customHeight="1" x14ac:dyDescent="0.35">
      <c r="D45" s="6"/>
      <c r="E45" s="6"/>
    </row>
    <row r="46" spans="2:19" ht="16" customHeight="1" x14ac:dyDescent="0.35">
      <c r="B46" s="6"/>
      <c r="C46" s="6"/>
      <c r="D46" s="6"/>
      <c r="E46" s="6"/>
      <c r="Q46" s="8">
        <f>0.6*H7</f>
        <v>2.31</v>
      </c>
    </row>
    <row r="47" spans="2:19" ht="16" customHeight="1" x14ac:dyDescent="0.35">
      <c r="P47" s="8" t="s">
        <v>69</v>
      </c>
      <c r="Q47" s="8">
        <f>Q46-0.25*Q46-0.05*Q46</f>
        <v>1.617</v>
      </c>
      <c r="R47" s="8" t="s">
        <v>1</v>
      </c>
    </row>
    <row r="48" spans="2:19" x14ac:dyDescent="0.35">
      <c r="P48" s="8" t="s">
        <v>70</v>
      </c>
      <c r="Q48" s="8">
        <v>0.79</v>
      </c>
    </row>
    <row r="50" spans="4:13" x14ac:dyDescent="0.35">
      <c r="J50" s="7" t="s">
        <v>208</v>
      </c>
      <c r="K50" s="7"/>
      <c r="L50" s="7">
        <f>0.71-2.39*Q48+2.33*Q48^2+0.12*Q48^4*(6.5-L11)</f>
        <v>0.32303473728892179</v>
      </c>
      <c r="M50" s="7"/>
    </row>
    <row r="52" spans="4:13" x14ac:dyDescent="0.35">
      <c r="K52" s="8" t="s">
        <v>71</v>
      </c>
      <c r="L52" s="8">
        <f>L50*0.7-0.45+0.08*L14</f>
        <v>0.18592226683725468</v>
      </c>
    </row>
    <row r="55" spans="4:13" x14ac:dyDescent="0.35">
      <c r="D55" s="15"/>
      <c r="E55" s="15"/>
      <c r="F55" s="16"/>
      <c r="G55" s="15"/>
      <c r="H55" s="15"/>
      <c r="I55" s="15"/>
    </row>
    <row r="56" spans="4:13" x14ac:dyDescent="0.35">
      <c r="D56" s="15"/>
      <c r="E56" s="15"/>
      <c r="F56" s="16"/>
      <c r="G56" s="15"/>
      <c r="H56" s="15"/>
      <c r="I56" s="15"/>
    </row>
    <row r="57" spans="4:13" x14ac:dyDescent="0.35">
      <c r="D57" s="15"/>
      <c r="E57" s="15"/>
      <c r="F57" s="16"/>
      <c r="G57" s="15"/>
      <c r="H57" s="15"/>
      <c r="I57" s="15"/>
    </row>
    <row r="58" spans="4:13" x14ac:dyDescent="0.35">
      <c r="D58" s="15"/>
      <c r="E58" s="15"/>
      <c r="F58" s="16"/>
      <c r="G58" s="15"/>
      <c r="H58" s="15"/>
      <c r="I58" s="15"/>
    </row>
    <row r="59" spans="4:13" x14ac:dyDescent="0.35">
      <c r="D59" s="15"/>
      <c r="E59" s="15"/>
      <c r="F59" s="16"/>
      <c r="G59" s="15"/>
      <c r="H59" s="15"/>
      <c r="I59" s="15"/>
    </row>
    <row r="60" spans="4:13" x14ac:dyDescent="0.35">
      <c r="D60" s="15"/>
      <c r="E60" s="15"/>
      <c r="F60" s="16"/>
      <c r="G60" s="15"/>
      <c r="H60" s="15"/>
      <c r="I60" s="15"/>
    </row>
    <row r="61" spans="4:13" x14ac:dyDescent="0.35">
      <c r="D61" s="15"/>
      <c r="E61" s="15"/>
      <c r="F61" s="16"/>
      <c r="G61" s="15"/>
      <c r="H61" s="15"/>
      <c r="I61" s="15"/>
    </row>
    <row r="62" spans="4:13" x14ac:dyDescent="0.35">
      <c r="D62" s="15"/>
      <c r="E62" s="15"/>
      <c r="F62" s="16"/>
      <c r="G62" s="15"/>
      <c r="H62" s="15"/>
      <c r="I62" s="15"/>
      <c r="K62" s="8" t="s">
        <v>72</v>
      </c>
      <c r="M62" s="8">
        <f>Q47/(H5*H7)^0.5</f>
        <v>0.22395992994633154</v>
      </c>
    </row>
    <row r="63" spans="4:13" x14ac:dyDescent="0.35">
      <c r="D63" s="15"/>
      <c r="E63" s="15"/>
      <c r="F63" s="16"/>
      <c r="G63" s="15"/>
      <c r="H63" s="15"/>
      <c r="I63" s="15"/>
    </row>
    <row r="64" spans="4:13" ht="16" customHeight="1" x14ac:dyDescent="0.35">
      <c r="D64" s="15"/>
      <c r="E64" s="15"/>
      <c r="F64" s="16"/>
      <c r="G64" s="15"/>
      <c r="H64" s="15"/>
      <c r="I64" s="15"/>
      <c r="J64" s="7" t="s">
        <v>209</v>
      </c>
      <c r="K64" s="7"/>
      <c r="L64" s="7">
        <f>0.325*Q48-0.1885*M62</f>
        <v>0.21453355320511652</v>
      </c>
    </row>
    <row r="65" spans="2:14" x14ac:dyDescent="0.35">
      <c r="D65" s="15"/>
      <c r="E65" s="15"/>
      <c r="F65" s="16"/>
      <c r="G65" s="15"/>
      <c r="H65" s="15"/>
      <c r="I65" s="15"/>
    </row>
    <row r="66" spans="2:14" x14ac:dyDescent="0.35">
      <c r="D66" s="15"/>
      <c r="E66" s="15"/>
      <c r="F66" s="16"/>
      <c r="G66" s="15"/>
      <c r="H66" s="15"/>
      <c r="I66" s="15"/>
      <c r="L66" s="8">
        <f>L64-0.26+0.04*L14</f>
        <v>0.15943252857262125</v>
      </c>
    </row>
    <row r="70" spans="2:14" ht="13.75" customHeight="1" x14ac:dyDescent="0.35">
      <c r="B70" s="49"/>
      <c r="C70" s="49"/>
    </row>
    <row r="71" spans="2:14" ht="13.75" customHeight="1" x14ac:dyDescent="0.35">
      <c r="B71" s="49"/>
      <c r="C71" s="49"/>
    </row>
    <row r="77" spans="2:14" x14ac:dyDescent="0.35">
      <c r="M77" s="8" t="s">
        <v>73</v>
      </c>
      <c r="N77" s="8">
        <v>0.91</v>
      </c>
    </row>
    <row r="82" spans="5:14" x14ac:dyDescent="0.35">
      <c r="E82" s="17"/>
      <c r="F82" s="17"/>
      <c r="G82" s="17"/>
      <c r="H82" s="7"/>
      <c r="J82" s="7" t="s">
        <v>210</v>
      </c>
      <c r="K82" s="7"/>
      <c r="L82" s="7"/>
      <c r="M82" s="7">
        <f>0.9737+0.111*(H10-0.0225*(-H4))-0.06325*N77</f>
        <v>1.0059395575000001</v>
      </c>
    </row>
    <row r="83" spans="5:14" x14ac:dyDescent="0.35">
      <c r="E83" s="18"/>
      <c r="F83" s="18"/>
      <c r="G83" s="18"/>
    </row>
    <row r="84" spans="5:14" x14ac:dyDescent="0.35">
      <c r="E84" s="18"/>
      <c r="F84" s="18"/>
      <c r="G84" s="18"/>
    </row>
    <row r="85" spans="5:14" x14ac:dyDescent="0.35">
      <c r="E85" s="18"/>
      <c r="F85" s="18"/>
      <c r="G85" s="18"/>
    </row>
    <row r="86" spans="5:14" x14ac:dyDescent="0.35">
      <c r="E86" s="18"/>
      <c r="F86" s="18"/>
      <c r="G86" s="18"/>
    </row>
    <row r="87" spans="5:14" x14ac:dyDescent="0.35">
      <c r="E87" s="18"/>
      <c r="F87" s="18"/>
      <c r="G87" s="18"/>
      <c r="K87" s="7" t="s">
        <v>211</v>
      </c>
      <c r="L87" s="7"/>
      <c r="M87" s="7">
        <f>(1-L64)/(1-L52)</f>
        <v>0.96485435579142409</v>
      </c>
      <c r="N87" s="7" t="s">
        <v>74</v>
      </c>
    </row>
    <row r="88" spans="5:14" x14ac:dyDescent="0.35">
      <c r="E88" s="18"/>
      <c r="F88" s="18"/>
      <c r="G88" s="18"/>
    </row>
    <row r="89" spans="5:14" x14ac:dyDescent="0.35">
      <c r="E89" s="18"/>
      <c r="F89" s="18"/>
      <c r="G89" s="18"/>
    </row>
    <row r="90" spans="5:14" x14ac:dyDescent="0.35">
      <c r="E90" s="18"/>
      <c r="F90" s="18"/>
      <c r="G90" s="18"/>
    </row>
    <row r="91" spans="5:14" x14ac:dyDescent="0.35">
      <c r="E91" s="18"/>
      <c r="F91" s="18"/>
      <c r="G91" s="18"/>
      <c r="K91" s="7" t="s">
        <v>212</v>
      </c>
      <c r="L91" s="7"/>
      <c r="M91" s="7">
        <f>N37/M87</f>
        <v>311.25098021003231</v>
      </c>
      <c r="N91" s="7" t="s">
        <v>95</v>
      </c>
    </row>
    <row r="92" spans="5:14" x14ac:dyDescent="0.35">
      <c r="E92" s="18"/>
      <c r="F92" s="18"/>
      <c r="G92" s="18"/>
    </row>
    <row r="93" spans="5:14" x14ac:dyDescent="0.35">
      <c r="E93" s="18"/>
      <c r="F93" s="18"/>
      <c r="G93" s="18"/>
    </row>
    <row r="94" spans="5:14" x14ac:dyDescent="0.35">
      <c r="E94" s="18"/>
      <c r="F94" s="18"/>
      <c r="G94" s="18"/>
    </row>
    <row r="95" spans="5:14" x14ac:dyDescent="0.35">
      <c r="E95" s="18"/>
      <c r="F95" s="18"/>
      <c r="G95" s="18"/>
    </row>
    <row r="96" spans="5:14" x14ac:dyDescent="0.35">
      <c r="E96" s="18"/>
      <c r="F96" s="18"/>
      <c r="G96" s="18"/>
      <c r="K96" s="22" t="s">
        <v>213</v>
      </c>
    </row>
    <row r="97" spans="4:18" x14ac:dyDescent="0.35">
      <c r="D97" s="17"/>
      <c r="E97" s="18"/>
      <c r="F97" s="18"/>
      <c r="G97" s="18"/>
    </row>
    <row r="98" spans="4:18" x14ac:dyDescent="0.35">
      <c r="D98" s="18"/>
      <c r="E98" s="18"/>
    </row>
    <row r="99" spans="4:18" x14ac:dyDescent="0.35">
      <c r="D99" s="18"/>
      <c r="E99" s="18"/>
    </row>
    <row r="100" spans="4:18" x14ac:dyDescent="0.35">
      <c r="D100" s="18"/>
      <c r="E100" s="18"/>
    </row>
    <row r="101" spans="4:18" x14ac:dyDescent="0.35">
      <c r="D101" s="18"/>
      <c r="E101" s="18"/>
    </row>
    <row r="102" spans="4:18" x14ac:dyDescent="0.35">
      <c r="D102" s="18"/>
      <c r="E102" s="18"/>
    </row>
    <row r="103" spans="4:18" x14ac:dyDescent="0.35">
      <c r="D103" s="18"/>
      <c r="E103" s="18"/>
    </row>
    <row r="104" spans="4:18" x14ac:dyDescent="0.35">
      <c r="D104" s="18"/>
      <c r="E104" s="18"/>
    </row>
    <row r="105" spans="4:18" x14ac:dyDescent="0.35">
      <c r="D105" s="18"/>
      <c r="E105" s="18"/>
      <c r="L105" s="7"/>
      <c r="M105" s="7"/>
      <c r="N105" s="7"/>
      <c r="O105" s="7"/>
    </row>
    <row r="106" spans="4:18" x14ac:dyDescent="0.35">
      <c r="D106" s="18"/>
      <c r="E106" s="18"/>
      <c r="L106" s="7"/>
      <c r="M106" s="7" t="s">
        <v>75</v>
      </c>
      <c r="N106" s="7">
        <f>N35</f>
        <v>58.381</v>
      </c>
      <c r="O106" s="7" t="s">
        <v>64</v>
      </c>
    </row>
    <row r="107" spans="4:18" x14ac:dyDescent="0.35">
      <c r="D107" s="18"/>
      <c r="E107" s="18"/>
      <c r="L107" s="7"/>
      <c r="M107" s="7" t="s">
        <v>8</v>
      </c>
      <c r="N107" s="7">
        <f>(N35/(1-L64))/2</f>
        <v>37.163267914387177</v>
      </c>
      <c r="O107" s="7" t="s">
        <v>64</v>
      </c>
      <c r="Q107" s="8">
        <f>N107*2</f>
        <v>74.326535828774354</v>
      </c>
    </row>
    <row r="108" spans="4:18" x14ac:dyDescent="0.35">
      <c r="D108" s="18"/>
      <c r="E108" s="18"/>
      <c r="L108" s="7"/>
      <c r="M108" s="7" t="s">
        <v>76</v>
      </c>
      <c r="N108" s="7">
        <f>101.325</f>
        <v>101.325</v>
      </c>
      <c r="O108" s="7" t="s">
        <v>77</v>
      </c>
    </row>
    <row r="109" spans="4:18" x14ac:dyDescent="0.35">
      <c r="D109" s="18"/>
      <c r="E109" s="18"/>
      <c r="L109" s="7"/>
      <c r="M109" s="7" t="s">
        <v>78</v>
      </c>
      <c r="N109" s="7">
        <f>(Q47/2)+0.2</f>
        <v>1.0085</v>
      </c>
      <c r="O109" s="7" t="s">
        <v>1</v>
      </c>
    </row>
    <row r="110" spans="4:18" x14ac:dyDescent="0.35">
      <c r="D110" s="18"/>
      <c r="E110" s="18"/>
      <c r="L110" s="7"/>
      <c r="M110" s="7"/>
      <c r="N110" s="7"/>
      <c r="O110" s="7"/>
      <c r="R110" s="7"/>
    </row>
    <row r="111" spans="4:18" x14ac:dyDescent="0.35">
      <c r="D111" s="18"/>
      <c r="E111" s="18"/>
      <c r="L111" s="7"/>
      <c r="M111" s="7" t="s">
        <v>79</v>
      </c>
      <c r="N111" s="7">
        <f>H7-N109</f>
        <v>2.8414999999999999</v>
      </c>
      <c r="O111" s="7" t="s">
        <v>1</v>
      </c>
      <c r="R111" s="7"/>
    </row>
    <row r="112" spans="4:18" x14ac:dyDescent="0.35">
      <c r="D112" s="18"/>
      <c r="E112" s="18"/>
      <c r="L112" s="7"/>
      <c r="M112" s="7"/>
      <c r="N112" s="7"/>
      <c r="O112" s="7"/>
      <c r="R112" s="7"/>
    </row>
    <row r="113" spans="6:18" x14ac:dyDescent="0.35">
      <c r="L113" s="7"/>
      <c r="M113" s="7" t="s">
        <v>80</v>
      </c>
      <c r="N113" s="7">
        <v>1.6459999999999999</v>
      </c>
      <c r="O113" s="7" t="s">
        <v>77</v>
      </c>
      <c r="R113" s="7"/>
    </row>
    <row r="114" spans="6:18" x14ac:dyDescent="0.35">
      <c r="L114" s="7"/>
      <c r="M114" s="7"/>
      <c r="N114" s="7"/>
      <c r="O114" s="7"/>
      <c r="R114" s="7"/>
    </row>
    <row r="115" spans="6:18" x14ac:dyDescent="0.35">
      <c r="L115" s="7" t="s">
        <v>81</v>
      </c>
      <c r="M115" s="7"/>
      <c r="N115" s="7">
        <f>N108+1.025*9.8*N111</f>
        <v>129.86786749999999</v>
      </c>
      <c r="O115" s="7" t="s">
        <v>77</v>
      </c>
      <c r="R115" s="7"/>
    </row>
    <row r="116" spans="6:18" x14ac:dyDescent="0.35">
      <c r="L116" s="7"/>
      <c r="M116" s="7"/>
      <c r="N116" s="7"/>
      <c r="O116" s="7"/>
      <c r="R116" s="7"/>
    </row>
    <row r="117" spans="6:18" x14ac:dyDescent="0.35">
      <c r="L117" s="7"/>
      <c r="M117" s="7" t="s">
        <v>82</v>
      </c>
      <c r="N117" s="7">
        <v>0.1</v>
      </c>
      <c r="O117" s="7"/>
      <c r="R117" s="7"/>
    </row>
    <row r="118" spans="6:18" x14ac:dyDescent="0.35">
      <c r="L118" s="7"/>
      <c r="M118" s="7"/>
      <c r="N118" s="7"/>
      <c r="O118" s="7"/>
      <c r="R118" s="7"/>
    </row>
    <row r="119" spans="6:18" x14ac:dyDescent="0.35">
      <c r="L119" s="7"/>
      <c r="M119" s="7" t="s">
        <v>83</v>
      </c>
      <c r="N119" s="7">
        <v>3</v>
      </c>
      <c r="O119" s="7"/>
      <c r="R119" s="7"/>
    </row>
    <row r="120" spans="6:18" x14ac:dyDescent="0.35">
      <c r="L120" s="7"/>
      <c r="M120" s="7" t="s">
        <v>84</v>
      </c>
      <c r="N120" s="7">
        <f>(((1.3+0.3*N119)*N107)/((N115-N113)*Q47^2))+N117</f>
        <v>0.34386778817431141</v>
      </c>
      <c r="O120" s="7"/>
      <c r="R120" s="7"/>
    </row>
    <row r="121" spans="6:18" x14ac:dyDescent="0.35">
      <c r="F121" s="19"/>
      <c r="G121" s="20"/>
      <c r="L121" s="7"/>
      <c r="M121" s="7"/>
      <c r="N121" s="7"/>
      <c r="O121" s="7"/>
      <c r="R121" s="7"/>
    </row>
    <row r="122" spans="6:18" x14ac:dyDescent="0.35">
      <c r="F122" s="19"/>
      <c r="G122" s="20"/>
      <c r="L122" s="7"/>
      <c r="M122" s="7"/>
      <c r="N122" s="7"/>
      <c r="O122" s="7"/>
      <c r="R122" s="7"/>
    </row>
    <row r="123" spans="6:18" x14ac:dyDescent="0.35">
      <c r="F123" s="19"/>
      <c r="G123" s="20"/>
      <c r="L123" s="7"/>
      <c r="M123" s="7" t="s">
        <v>85</v>
      </c>
      <c r="N123" s="7">
        <f>Q35*(1-L52)</f>
        <v>8.1407773316274543</v>
      </c>
      <c r="O123" s="7" t="s">
        <v>66</v>
      </c>
      <c r="R123" s="7"/>
    </row>
    <row r="124" spans="6:18" x14ac:dyDescent="0.35">
      <c r="F124" s="19"/>
      <c r="G124" s="20"/>
      <c r="N124" s="8">
        <f>N123*0.5144</f>
        <v>4.1876158593891626</v>
      </c>
      <c r="O124" s="8" t="s">
        <v>67</v>
      </c>
      <c r="R124" s="7"/>
    </row>
    <row r="125" spans="6:18" x14ac:dyDescent="0.35">
      <c r="F125" s="19"/>
      <c r="G125" s="20"/>
      <c r="M125" s="8" t="s">
        <v>86</v>
      </c>
      <c r="N125" s="8">
        <f>Q47/0.95</f>
        <v>1.7021052631578948</v>
      </c>
      <c r="O125" s="8" t="s">
        <v>1</v>
      </c>
      <c r="R125" s="7"/>
    </row>
    <row r="126" spans="6:18" x14ac:dyDescent="0.35">
      <c r="F126" s="19"/>
      <c r="G126" s="20"/>
      <c r="R126" s="7"/>
    </row>
    <row r="127" spans="6:18" x14ac:dyDescent="0.35">
      <c r="F127" s="19"/>
      <c r="G127" s="20"/>
      <c r="R127" s="7"/>
    </row>
    <row r="128" spans="6:18" x14ac:dyDescent="0.35">
      <c r="L128" s="8" t="s">
        <v>87</v>
      </c>
      <c r="N128" s="8">
        <f>R128</f>
        <v>0.53382184004422506</v>
      </c>
      <c r="R128" s="7">
        <f>M82*M87*0.55</f>
        <v>0.53382184004422506</v>
      </c>
    </row>
    <row r="130" spans="6:22" x14ac:dyDescent="0.35">
      <c r="F130" s="19"/>
      <c r="G130" s="20"/>
    </row>
    <row r="131" spans="6:22" x14ac:dyDescent="0.35">
      <c r="F131" s="19"/>
      <c r="G131" s="20"/>
      <c r="L131" s="8" t="s">
        <v>88</v>
      </c>
      <c r="N131" s="8">
        <f>N37/N128</f>
        <v>562.569459456961</v>
      </c>
      <c r="O131" s="8" t="s">
        <v>68</v>
      </c>
    </row>
    <row r="132" spans="6:22" x14ac:dyDescent="0.35">
      <c r="F132" s="19"/>
      <c r="G132" s="20"/>
    </row>
    <row r="133" spans="6:22" x14ac:dyDescent="0.35">
      <c r="F133" s="19"/>
      <c r="G133" s="20"/>
      <c r="V133" s="7"/>
    </row>
    <row r="134" spans="6:22" x14ac:dyDescent="0.35">
      <c r="F134" s="19"/>
      <c r="G134" s="20"/>
    </row>
    <row r="135" spans="6:22" x14ac:dyDescent="0.35">
      <c r="F135" s="19"/>
      <c r="G135" s="20"/>
      <c r="U135" s="8" t="s">
        <v>89</v>
      </c>
      <c r="V135" s="8">
        <f>(1.158*O143*N131^0.5)/(N123)^2.5</f>
        <v>47.498478462667606</v>
      </c>
    </row>
    <row r="136" spans="6:22" x14ac:dyDescent="0.35">
      <c r="F136" s="19"/>
      <c r="G136" s="20"/>
      <c r="V136" s="8">
        <v>247.5</v>
      </c>
    </row>
    <row r="138" spans="6:22" x14ac:dyDescent="0.35">
      <c r="U138" s="8" t="s">
        <v>86</v>
      </c>
      <c r="V138" s="8">
        <f>(V136*N123)/(3.2808*O143)</f>
        <v>1.8780777620228701</v>
      </c>
    </row>
    <row r="140" spans="6:22" x14ac:dyDescent="0.35">
      <c r="U140" s="8" t="s">
        <v>90</v>
      </c>
      <c r="V140" s="8">
        <f>V138*0.95</f>
        <v>1.7841738739217265</v>
      </c>
    </row>
    <row r="141" spans="6:22" x14ac:dyDescent="0.35">
      <c r="F141" s="19"/>
      <c r="G141" s="20"/>
      <c r="N141" s="22" t="s">
        <v>91</v>
      </c>
    </row>
    <row r="142" spans="6:22" x14ac:dyDescent="0.35">
      <c r="F142" s="19"/>
      <c r="G142" s="20"/>
    </row>
    <row r="143" spans="6:22" x14ac:dyDescent="0.35">
      <c r="F143" s="19"/>
      <c r="G143" s="20"/>
      <c r="N143" s="8" t="s">
        <v>92</v>
      </c>
      <c r="O143" s="8">
        <v>327</v>
      </c>
    </row>
    <row r="144" spans="6:22" x14ac:dyDescent="0.35">
      <c r="F144" s="19"/>
      <c r="G144" s="20"/>
      <c r="N144" s="8" t="s">
        <v>93</v>
      </c>
      <c r="O144" s="8">
        <v>0.55000000000000004</v>
      </c>
    </row>
    <row r="145" spans="6:17" x14ac:dyDescent="0.35">
      <c r="F145" s="19"/>
      <c r="G145" s="20"/>
      <c r="N145" s="8" t="s">
        <v>94</v>
      </c>
      <c r="O145" s="8">
        <f>N128</f>
        <v>0.53382184004422506</v>
      </c>
    </row>
    <row r="150" spans="6:17" ht="17.5" x14ac:dyDescent="0.45">
      <c r="K150" s="7" t="s">
        <v>203</v>
      </c>
      <c r="M150" s="8">
        <f>N37/O145</f>
        <v>562.569459456961</v>
      </c>
      <c r="N150" s="8" t="s">
        <v>95</v>
      </c>
    </row>
    <row r="151" spans="6:17" x14ac:dyDescent="0.35">
      <c r="K151" s="8" t="s">
        <v>96</v>
      </c>
      <c r="L151" s="8" t="s">
        <v>97</v>
      </c>
      <c r="M151" s="8">
        <v>0.96499999999999997</v>
      </c>
    </row>
    <row r="152" spans="6:17" ht="17.5" x14ac:dyDescent="0.45">
      <c r="K152" s="7" t="s">
        <v>204</v>
      </c>
      <c r="M152" s="8">
        <f>M150/M151</f>
        <v>582.97353311602183</v>
      </c>
      <c r="N152" s="8" t="s">
        <v>95</v>
      </c>
    </row>
    <row r="153" spans="6:17" x14ac:dyDescent="0.35">
      <c r="K153" s="8" t="s">
        <v>98</v>
      </c>
      <c r="L153" s="8" t="s">
        <v>99</v>
      </c>
      <c r="M153" s="8">
        <v>0.95</v>
      </c>
    </row>
    <row r="154" spans="6:17" ht="17.5" x14ac:dyDescent="0.45">
      <c r="K154" s="7" t="s">
        <v>205</v>
      </c>
      <c r="M154" s="8">
        <f>M152/M153</f>
        <v>613.656350648444</v>
      </c>
      <c r="N154" s="8" t="s">
        <v>95</v>
      </c>
    </row>
    <row r="155" spans="6:17" x14ac:dyDescent="0.35">
      <c r="K155" s="8" t="s">
        <v>100</v>
      </c>
      <c r="L155" s="8" t="s">
        <v>101</v>
      </c>
      <c r="M155" s="8">
        <v>0.15</v>
      </c>
    </row>
    <row r="156" spans="6:17" x14ac:dyDescent="0.35">
      <c r="K156" s="7" t="s">
        <v>102</v>
      </c>
      <c r="M156" s="8">
        <f>M154*1.15</f>
        <v>705.70480324571054</v>
      </c>
      <c r="N156" s="8" t="s">
        <v>95</v>
      </c>
    </row>
    <row r="157" spans="6:17" ht="18.5" x14ac:dyDescent="0.45">
      <c r="K157" s="8" t="s">
        <v>103</v>
      </c>
      <c r="M157" s="8">
        <f>M156/0.85</f>
        <v>830.24094499495357</v>
      </c>
      <c r="N157" s="8" t="s">
        <v>95</v>
      </c>
      <c r="O157" s="23">
        <f>M157/2</f>
        <v>415.12047249747678</v>
      </c>
      <c r="P157" s="23" t="s">
        <v>214</v>
      </c>
      <c r="Q157" s="23"/>
    </row>
    <row r="158" spans="6:17" ht="18.5" x14ac:dyDescent="0.45">
      <c r="O158" s="23"/>
      <c r="P158" s="23"/>
      <c r="Q158" s="23"/>
    </row>
    <row r="159" spans="6:17" ht="18.5" x14ac:dyDescent="0.45">
      <c r="O159" s="23"/>
      <c r="P159" s="23"/>
      <c r="Q159" s="23"/>
    </row>
    <row r="160" spans="6:17" ht="18.5" x14ac:dyDescent="0.45">
      <c r="O160" s="23">
        <f>O157/0.746</f>
        <v>556.46175937999567</v>
      </c>
      <c r="P160" s="23" t="s">
        <v>215</v>
      </c>
      <c r="Q160" s="23"/>
    </row>
    <row r="165" spans="13:31" ht="37" customHeight="1" x14ac:dyDescent="0.35">
      <c r="N165" s="50" t="s">
        <v>104</v>
      </c>
      <c r="O165" s="51"/>
      <c r="P165" s="51"/>
      <c r="Q165" s="51"/>
      <c r="R165" s="51"/>
      <c r="S165" s="52"/>
      <c r="T165" s="24" t="s">
        <v>216</v>
      </c>
      <c r="AE165" s="11"/>
    </row>
    <row r="166" spans="13:31" x14ac:dyDescent="0.35">
      <c r="AE166" s="11"/>
    </row>
    <row r="167" spans="13:31" x14ac:dyDescent="0.35">
      <c r="AE167" s="11"/>
    </row>
    <row r="168" spans="13:31" x14ac:dyDescent="0.35">
      <c r="N168" s="21"/>
      <c r="AE168" s="11"/>
    </row>
    <row r="169" spans="13:31" x14ac:dyDescent="0.35">
      <c r="N169" s="21"/>
    </row>
    <row r="170" spans="13:31" x14ac:dyDescent="0.35">
      <c r="N170" s="21"/>
      <c r="O170" s="21"/>
      <c r="P170" s="21"/>
      <c r="Q170" s="21"/>
      <c r="R170" s="21"/>
      <c r="S170" s="21"/>
      <c r="T170" s="21"/>
      <c r="U170" s="21"/>
    </row>
    <row r="171" spans="13:31" x14ac:dyDescent="0.35">
      <c r="N171" s="21"/>
      <c r="O171" s="21"/>
      <c r="P171" s="21"/>
      <c r="Q171" s="21"/>
      <c r="R171" s="21"/>
      <c r="S171" s="21"/>
      <c r="T171" s="21"/>
      <c r="U171" s="21"/>
    </row>
    <row r="172" spans="13:31" x14ac:dyDescent="0.35">
      <c r="N172" s="21"/>
      <c r="O172" s="21"/>
      <c r="P172" s="21"/>
      <c r="Q172" s="21"/>
      <c r="R172" s="21"/>
      <c r="S172" s="21"/>
      <c r="T172" s="21"/>
      <c r="U172" s="21"/>
    </row>
    <row r="173" spans="13:31" x14ac:dyDescent="0.35">
      <c r="N173" s="21"/>
      <c r="O173" s="21"/>
      <c r="P173" s="21"/>
      <c r="Q173" s="21"/>
      <c r="R173" s="21"/>
      <c r="S173" s="21"/>
      <c r="T173" s="21"/>
      <c r="U173" s="21"/>
    </row>
    <row r="174" spans="13:31" x14ac:dyDescent="0.35">
      <c r="N174" s="21"/>
      <c r="O174" s="21"/>
      <c r="P174" s="21"/>
      <c r="Q174" s="21"/>
      <c r="R174" s="21"/>
      <c r="S174" s="21"/>
      <c r="T174" s="21"/>
      <c r="U174" s="21"/>
    </row>
    <row r="175" spans="13:31" x14ac:dyDescent="0.35">
      <c r="O175" s="21"/>
      <c r="P175" s="21"/>
      <c r="Q175" s="21"/>
      <c r="R175" s="21"/>
      <c r="S175" s="21"/>
      <c r="T175" s="21"/>
      <c r="U175" s="21"/>
    </row>
    <row r="176" spans="13:31" x14ac:dyDescent="0.35">
      <c r="M176" s="11"/>
      <c r="O176" s="21"/>
      <c r="P176" s="21"/>
      <c r="Q176" s="21"/>
      <c r="R176" s="21"/>
      <c r="S176" s="21"/>
      <c r="T176" s="21"/>
      <c r="U176" s="21"/>
    </row>
    <row r="177" spans="13:13" x14ac:dyDescent="0.35">
      <c r="M177" s="11"/>
    </row>
    <row r="179" spans="13:13" x14ac:dyDescent="0.35">
      <c r="M179" s="11"/>
    </row>
    <row r="209" spans="14:19" ht="24" customHeight="1" x14ac:dyDescent="0.35">
      <c r="N209" s="53" t="s">
        <v>105</v>
      </c>
      <c r="O209" s="54"/>
      <c r="P209" s="54"/>
      <c r="Q209" s="54"/>
      <c r="R209" s="54"/>
      <c r="S209" s="55"/>
    </row>
  </sheetData>
  <mergeCells count="3">
    <mergeCell ref="B70:C71"/>
    <mergeCell ref="N165:S165"/>
    <mergeCell ref="N209:S2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1"/>
  <sheetViews>
    <sheetView workbookViewId="0"/>
  </sheetViews>
  <sheetFormatPr defaultRowHeight="14.5" x14ac:dyDescent="0.35"/>
  <cols>
    <col min="4" max="4" width="38.7265625" customWidth="1"/>
    <col min="5" max="5" width="10.1796875" customWidth="1"/>
    <col min="6" max="6" width="9.90625" customWidth="1"/>
    <col min="7" max="7" width="10.1796875" customWidth="1"/>
  </cols>
  <sheetData>
    <row r="4" spans="4:7" ht="17.5" x14ac:dyDescent="0.35">
      <c r="D4" t="s">
        <v>217</v>
      </c>
      <c r="E4" s="14" t="s">
        <v>189</v>
      </c>
      <c r="F4">
        <v>28.489000000000001</v>
      </c>
      <c r="G4" t="s">
        <v>64</v>
      </c>
    </row>
    <row r="5" spans="4:7" ht="17.5" x14ac:dyDescent="0.35">
      <c r="D5" t="s">
        <v>218</v>
      </c>
      <c r="E5" s="14" t="s">
        <v>192</v>
      </c>
      <c r="F5">
        <v>5.923</v>
      </c>
      <c r="G5" t="s">
        <v>64</v>
      </c>
    </row>
    <row r="6" spans="4:7" ht="17.5" x14ac:dyDescent="0.35">
      <c r="D6" t="s">
        <v>219</v>
      </c>
      <c r="E6" s="14" t="s">
        <v>191</v>
      </c>
      <c r="F6">
        <v>15.896000000000001</v>
      </c>
      <c r="G6" t="s">
        <v>64</v>
      </c>
    </row>
    <row r="7" spans="4:7" ht="15.5" x14ac:dyDescent="0.35">
      <c r="D7" t="s">
        <v>220</v>
      </c>
      <c r="E7" s="14" t="s">
        <v>223</v>
      </c>
      <c r="F7">
        <v>0</v>
      </c>
      <c r="G7" t="s">
        <v>64</v>
      </c>
    </row>
    <row r="8" spans="4:7" ht="15.5" x14ac:dyDescent="0.35">
      <c r="D8" t="s">
        <v>221</v>
      </c>
      <c r="E8" s="14" t="s">
        <v>53</v>
      </c>
      <c r="F8">
        <v>0.25</v>
      </c>
      <c r="G8" t="s">
        <v>64</v>
      </c>
    </row>
    <row r="9" spans="4:7" ht="17.5" x14ac:dyDescent="0.35">
      <c r="D9" t="s">
        <v>222</v>
      </c>
      <c r="E9" s="14" t="s">
        <v>193</v>
      </c>
      <c r="F9">
        <v>8.4280000000000008</v>
      </c>
      <c r="G9" t="s">
        <v>64</v>
      </c>
    </row>
    <row r="11" spans="4:7" ht="17.5" x14ac:dyDescent="0.35">
      <c r="D11" t="s">
        <v>224</v>
      </c>
      <c r="E11" s="14" t="s">
        <v>194</v>
      </c>
      <c r="F11">
        <v>58.381</v>
      </c>
      <c r="G1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3"/>
  <sheetViews>
    <sheetView tabSelected="1" workbookViewId="0"/>
  </sheetViews>
  <sheetFormatPr defaultRowHeight="14.5" x14ac:dyDescent="0.35"/>
  <cols>
    <col min="4" max="4" width="36.54296875" customWidth="1"/>
    <col min="5" max="5" width="12.90625" customWidth="1"/>
  </cols>
  <sheetData>
    <row r="5" spans="4:6" x14ac:dyDescent="0.35">
      <c r="D5" t="s">
        <v>225</v>
      </c>
      <c r="E5">
        <v>300.31200000000001</v>
      </c>
      <c r="F5" t="s">
        <v>95</v>
      </c>
    </row>
    <row r="6" spans="4:6" x14ac:dyDescent="0.35">
      <c r="D6" t="s">
        <v>93</v>
      </c>
      <c r="E6">
        <v>0.55000000000000004</v>
      </c>
    </row>
    <row r="7" spans="4:6" x14ac:dyDescent="0.35">
      <c r="D7" t="s">
        <v>226</v>
      </c>
      <c r="E7">
        <v>0.53400000000000003</v>
      </c>
    </row>
    <row r="8" spans="4:6" x14ac:dyDescent="0.35">
      <c r="D8" t="s">
        <v>227</v>
      </c>
      <c r="E8">
        <v>562.56899999999996</v>
      </c>
      <c r="F8" t="s">
        <v>95</v>
      </c>
    </row>
    <row r="9" spans="4:6" x14ac:dyDescent="0.35">
      <c r="D9" t="s">
        <v>228</v>
      </c>
      <c r="E9">
        <v>582.97400000000005</v>
      </c>
      <c r="F9" t="s">
        <v>95</v>
      </c>
    </row>
    <row r="10" spans="4:6" x14ac:dyDescent="0.35">
      <c r="D10" t="s">
        <v>229</v>
      </c>
      <c r="E10">
        <v>613.65599999999995</v>
      </c>
      <c r="F10" t="s">
        <v>95</v>
      </c>
    </row>
    <row r="11" spans="4:6" x14ac:dyDescent="0.35">
      <c r="D11" t="s">
        <v>230</v>
      </c>
      <c r="E11">
        <v>705.70399999999995</v>
      </c>
      <c r="F11" t="s">
        <v>95</v>
      </c>
    </row>
    <row r="12" spans="4:6" x14ac:dyDescent="0.35">
      <c r="D12" t="s">
        <v>232</v>
      </c>
      <c r="E12">
        <v>830.24099999999999</v>
      </c>
      <c r="F12" t="s">
        <v>95</v>
      </c>
    </row>
    <row r="13" spans="4:6" x14ac:dyDescent="0.35">
      <c r="D13" t="s">
        <v>231</v>
      </c>
      <c r="E13">
        <v>415.12099999999998</v>
      </c>
      <c r="F1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Resistance Calculation</vt:lpstr>
      <vt:lpstr>Power Calculation</vt:lpstr>
      <vt:lpstr>Resistance Summary</vt:lpstr>
      <vt:lpstr>Power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2023-01-14T03:23:39Z</dcterms:modified>
</cp:coreProperties>
</file>