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Rudder Calculation" sheetId="1" r:id="rId1"/>
    <sheet name="Calculation 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" l="1"/>
  <c r="H123" i="1"/>
  <c r="C114" i="1"/>
  <c r="C119" i="1" s="1"/>
  <c r="G89" i="1"/>
  <c r="G93" i="1" s="1"/>
  <c r="J81" i="1"/>
  <c r="G80" i="1"/>
  <c r="G64" i="1"/>
  <c r="C52" i="1"/>
  <c r="G91" i="1" s="1"/>
  <c r="G39" i="1"/>
  <c r="D39" i="1"/>
  <c r="H146" i="1" s="1"/>
  <c r="C28" i="1"/>
  <c r="C24" i="1"/>
  <c r="C20" i="1"/>
  <c r="C15" i="1"/>
  <c r="G65" i="1" s="1"/>
  <c r="H158" i="1" l="1"/>
  <c r="D131" i="1"/>
  <c r="C33" i="1"/>
  <c r="H30" i="1"/>
  <c r="I30" i="1" s="1"/>
  <c r="I33" i="1" s="1"/>
  <c r="D40" i="1"/>
  <c r="G59" i="1" s="1"/>
  <c r="G90" i="1"/>
  <c r="C90" i="1" s="1"/>
  <c r="C152" i="1" l="1"/>
  <c r="C107" i="1"/>
  <c r="C99" i="1"/>
  <c r="D41" i="1"/>
  <c r="C62" i="1"/>
  <c r="C61" i="1"/>
  <c r="H124" i="1"/>
  <c r="H131" i="1"/>
  <c r="C94" i="1"/>
  <c r="C103" i="1" s="1"/>
  <c r="H125" i="1" l="1"/>
  <c r="G69" i="1"/>
  <c r="C186" i="1"/>
  <c r="H147" i="1"/>
  <c r="F206" i="1" l="1"/>
  <c r="F202" i="1"/>
  <c r="F198" i="1"/>
  <c r="F194" i="1"/>
  <c r="F190" i="1"/>
  <c r="E206" i="1"/>
  <c r="E202" i="1"/>
  <c r="E198" i="1"/>
  <c r="E194" i="1"/>
  <c r="E190" i="1"/>
  <c r="F205" i="1"/>
  <c r="F201" i="1"/>
  <c r="F197" i="1"/>
  <c r="F193" i="1"/>
  <c r="F189" i="1"/>
  <c r="E205" i="1"/>
  <c r="E201" i="1"/>
  <c r="E197" i="1"/>
  <c r="E193" i="1"/>
  <c r="E189" i="1"/>
  <c r="F204" i="1"/>
  <c r="F200" i="1"/>
  <c r="F196" i="1"/>
  <c r="F192" i="1"/>
  <c r="E204" i="1"/>
  <c r="E200" i="1"/>
  <c r="E196" i="1"/>
  <c r="E192" i="1"/>
  <c r="F203" i="1"/>
  <c r="F199" i="1"/>
  <c r="F195" i="1"/>
  <c r="F191" i="1"/>
  <c r="E203" i="1"/>
  <c r="E199" i="1"/>
  <c r="E195" i="1"/>
  <c r="E191" i="1"/>
  <c r="G70" i="1"/>
  <c r="C71" i="1" s="1"/>
  <c r="C68" i="1"/>
  <c r="G75" i="1"/>
  <c r="H145" i="1"/>
  <c r="D124" i="1"/>
  <c r="D127" i="1" s="1"/>
  <c r="C149" i="1" l="1"/>
  <c r="C146" i="1"/>
  <c r="G76" i="1"/>
  <c r="C75" i="1"/>
  <c r="C78" i="1" s="1"/>
  <c r="D135" i="1"/>
  <c r="D130" i="1"/>
  <c r="D78" i="1" l="1"/>
  <c r="C83" i="1"/>
  <c r="G81" i="1"/>
  <c r="G83" i="1" s="1"/>
  <c r="C159" i="1"/>
  <c r="C168" i="1"/>
  <c r="C163" i="1" l="1"/>
  <c r="C175" i="1"/>
  <c r="C172" i="1"/>
</calcChain>
</file>

<file path=xl/sharedStrings.xml><?xml version="1.0" encoding="utf-8"?>
<sst xmlns="http://schemas.openxmlformats.org/spreadsheetml/2006/main" count="269" uniqueCount="183">
  <si>
    <t>m</t>
  </si>
  <si>
    <t>L (LWL)</t>
  </si>
  <si>
    <t>LCB</t>
  </si>
  <si>
    <t>B</t>
  </si>
  <si>
    <t>H</t>
  </si>
  <si>
    <t>T</t>
  </si>
  <si>
    <t>V</t>
  </si>
  <si>
    <t>knots (Ahead)</t>
  </si>
  <si>
    <t>Rudder Area Calculation</t>
  </si>
  <si>
    <t>In general</t>
  </si>
  <si>
    <t>A =</t>
  </si>
  <si>
    <t>For NACA- profiles and plate rudder</t>
  </si>
  <si>
    <t>For rudders in the propeller jet</t>
  </si>
  <si>
    <t>L∙T /60</t>
  </si>
  <si>
    <t>Af</t>
  </si>
  <si>
    <t>Assuming,</t>
  </si>
  <si>
    <t>Clearance for rudder</t>
  </si>
  <si>
    <t>Mean height of rudder, b</t>
  </si>
  <si>
    <t>Mean breadth of rudder, c = A/b</t>
  </si>
  <si>
    <t>Material Selection</t>
  </si>
  <si>
    <t>Used material,</t>
  </si>
  <si>
    <t xml:space="preserve">Mpa </t>
  </si>
  <si>
    <t>Rudder Force &amp; Torque</t>
  </si>
  <si>
    <t>Rudder Force</t>
  </si>
  <si>
    <t>For NACA-00 series Gottingen profiles</t>
  </si>
  <si>
    <t>( Ahead )</t>
  </si>
  <si>
    <t>N</t>
  </si>
  <si>
    <t>( Astern )</t>
  </si>
  <si>
    <t>Rudder Torque</t>
  </si>
  <si>
    <t>Ship speed, v</t>
  </si>
  <si>
    <t>For ahead condition</t>
  </si>
  <si>
    <t>r</t>
  </si>
  <si>
    <t>&lt; r = 0.1c</t>
  </si>
  <si>
    <t>α</t>
  </si>
  <si>
    <t>c</t>
  </si>
  <si>
    <t>( r = 0.1c )</t>
  </si>
  <si>
    <t>r = 0.1c</t>
  </si>
  <si>
    <t>Nm</t>
  </si>
  <si>
    <t>For astern condition</t>
  </si>
  <si>
    <t>&gt; r = 0.1c</t>
  </si>
  <si>
    <t>kNm</t>
  </si>
  <si>
    <t>Rudder Stock Diameter</t>
  </si>
  <si>
    <t>w</t>
  </si>
  <si>
    <t>rads^-1</t>
  </si>
  <si>
    <t>p</t>
  </si>
  <si>
    <t>kw</t>
  </si>
  <si>
    <t>mm</t>
  </si>
  <si>
    <t>hp</t>
  </si>
  <si>
    <t>taking</t>
  </si>
  <si>
    <t>Rudder Coupling</t>
  </si>
  <si>
    <t>Minimum diameter for coupling bolts,</t>
  </si>
  <si>
    <t>≈ 20</t>
  </si>
  <si>
    <t>Bolt number, n</t>
  </si>
  <si>
    <t xml:space="preserve">Mean distance of </t>
  </si>
  <si>
    <t>the bolts from axes, e</t>
  </si>
  <si>
    <t>Minimum thickness for coupling flanges,</t>
  </si>
  <si>
    <t>Minimum thickness clear of the bolts,</t>
  </si>
  <si>
    <t>Minimum width of material outside the bolt holes,</t>
  </si>
  <si>
    <t>Rudder Frames</t>
  </si>
  <si>
    <t>According to NKK rules for construction of ships, the standard spacing  of horizontal rudder frames is to be obtained from the following formula:</t>
  </si>
  <si>
    <t>0.2 L / 100 + 0.4</t>
  </si>
  <si>
    <t xml:space="preserve">According to NKK rules for construction of ships, the standard spacing  of vertical rudder frames is to be obtained from the following formula:
</t>
  </si>
  <si>
    <t>Rudder Plating</t>
  </si>
  <si>
    <t>A</t>
  </si>
  <si>
    <t>Plate thickness, t</t>
  </si>
  <si>
    <t>Web thickness</t>
  </si>
  <si>
    <t>70% of plate thickness</t>
  </si>
  <si>
    <t>k</t>
  </si>
  <si>
    <t>Plate thickness in way of the coupling,</t>
  </si>
  <si>
    <t>t + 25% of t</t>
  </si>
  <si>
    <t>Rudder Bearing</t>
  </si>
  <si>
    <t>b</t>
  </si>
  <si>
    <t>Clearance</t>
  </si>
  <si>
    <t>or</t>
  </si>
  <si>
    <t>Pintle</t>
  </si>
  <si>
    <t>Pintle diameter,</t>
  </si>
  <si>
    <t>For Taper 1:10,</t>
  </si>
  <si>
    <t>Diameter at the end</t>
  </si>
  <si>
    <t>Thickness of any liner or bush</t>
  </si>
  <si>
    <t>t</t>
  </si>
  <si>
    <t>Wall thickness</t>
  </si>
  <si>
    <t>d</t>
  </si>
  <si>
    <t>Pintle Height = 120% of Diameter</t>
  </si>
  <si>
    <t>NACA 0010</t>
  </si>
  <si>
    <t>x</t>
  </si>
  <si>
    <t>y</t>
  </si>
  <si>
    <r>
      <t>L</t>
    </r>
    <r>
      <rPr>
        <b/>
        <vertAlign val="subscript"/>
        <sz val="11"/>
        <color theme="1"/>
        <rFont val="Calibri"/>
        <family val="2"/>
        <scheme val="minor"/>
      </rPr>
      <t>PP</t>
    </r>
  </si>
  <si>
    <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 1.75∙L∙T /100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</si>
  <si>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</si>
  <si>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T∙L { 1 + 25 (B/L)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} / 100 </t>
    </r>
  </si>
  <si>
    <r>
      <t>Aspect Ratio, Ʌ = b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/A</t>
    </r>
  </si>
  <si>
    <r>
      <t>Yield strength, R</t>
    </r>
    <r>
      <rPr>
        <vertAlign val="subscript"/>
        <sz val="11"/>
        <color theme="1"/>
        <rFont val="Calibri"/>
        <family val="2"/>
        <scheme val="minor"/>
      </rPr>
      <t>eH</t>
    </r>
  </si>
  <si>
    <r>
      <t>Tensile strength, R</t>
    </r>
    <r>
      <rPr>
        <vertAlign val="subscript"/>
        <sz val="11"/>
        <color theme="1"/>
        <rFont val="Calibri"/>
        <family val="2"/>
        <scheme val="minor"/>
      </rPr>
      <t>m</t>
    </r>
  </si>
  <si>
    <r>
      <t>k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=</t>
    </r>
  </si>
  <si>
    <r>
      <t>k</t>
    </r>
    <r>
      <rPr>
        <vertAlign val="sub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= ( Ʌ + 2 ) / 3</t>
    </r>
  </si>
  <si>
    <r>
      <t>C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=</t>
    </r>
  </si>
  <si>
    <r>
      <t>132∙A∙v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∙k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∙k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∙k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∙k</t>
    </r>
    <r>
      <rPr>
        <vertAlign val="subscript"/>
        <sz val="11"/>
        <color theme="1"/>
        <rFont val="Calibri"/>
        <family val="2"/>
        <scheme val="minor"/>
      </rPr>
      <t>t</t>
    </r>
  </si>
  <si>
    <r>
      <t>k</t>
    </r>
    <r>
      <rPr>
        <vertAlign val="subscript"/>
        <sz val="9"/>
        <color theme="1"/>
        <rFont val="Calibri"/>
        <family val="2"/>
        <scheme val="minor"/>
      </rPr>
      <t xml:space="preserve">2 </t>
    </r>
    <r>
      <rPr>
        <sz val="9"/>
        <color theme="1"/>
        <rFont val="Calibri"/>
        <family val="2"/>
        <scheme val="minor"/>
      </rPr>
      <t>( Ahead )=</t>
    </r>
  </si>
  <si>
    <r>
      <t>k</t>
    </r>
    <r>
      <rPr>
        <vertAlign val="subscript"/>
        <sz val="9"/>
        <color theme="1"/>
        <rFont val="Calibri"/>
        <family val="2"/>
        <scheme val="minor"/>
      </rPr>
      <t xml:space="preserve">2 </t>
    </r>
    <r>
      <rPr>
        <sz val="9"/>
        <color theme="1"/>
        <rFont val="Calibri"/>
        <family val="2"/>
        <scheme val="minor"/>
      </rPr>
      <t>( Astern )=</t>
    </r>
  </si>
  <si>
    <r>
      <t>k</t>
    </r>
    <r>
      <rPr>
        <vertAlign val="subscript"/>
        <sz val="9"/>
        <color theme="1"/>
        <rFont val="Calibri"/>
        <family val="2"/>
        <scheme val="minor"/>
      </rPr>
      <t>3</t>
    </r>
  </si>
  <si>
    <r>
      <t>k</t>
    </r>
    <r>
      <rPr>
        <vertAlign val="subscript"/>
        <sz val="9"/>
        <color theme="1"/>
        <rFont val="Calibri"/>
        <family val="2"/>
        <scheme val="minor"/>
      </rPr>
      <t>t</t>
    </r>
  </si>
  <si>
    <r>
      <t>c ( α - k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)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</si>
  <si>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 xml:space="preserve"> =</t>
    </r>
  </si>
  <si>
    <r>
      <t>C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∙ r</t>
    </r>
  </si>
  <si>
    <r>
      <t>k</t>
    </r>
    <r>
      <rPr>
        <vertAlign val="subscript"/>
        <sz val="9"/>
        <color theme="1"/>
        <rFont val="Calibri"/>
        <family val="2"/>
        <scheme val="minor"/>
      </rPr>
      <t xml:space="preserve">b </t>
    </r>
    <r>
      <rPr>
        <sz val="9"/>
        <color theme="1"/>
        <rFont val="Calibri"/>
        <family val="2"/>
        <scheme val="minor"/>
      </rPr>
      <t>= A</t>
    </r>
    <r>
      <rPr>
        <vertAlign val="subscript"/>
        <sz val="9"/>
        <color theme="1"/>
        <rFont val="Calibri"/>
        <family val="2"/>
        <scheme val="minor"/>
      </rPr>
      <t>f</t>
    </r>
    <r>
      <rPr>
        <sz val="9"/>
        <color theme="1"/>
        <rFont val="Calibri"/>
        <family val="2"/>
        <scheme val="minor"/>
      </rPr>
      <t>/A</t>
    </r>
  </si>
  <si>
    <r>
      <t>D</t>
    </r>
    <r>
      <rPr>
        <vertAlign val="subscript"/>
        <sz val="11"/>
        <color theme="1"/>
        <rFont val="Calibri"/>
        <family val="2"/>
        <scheme val="minor"/>
      </rPr>
      <t>t</t>
    </r>
  </si>
  <si>
    <r>
      <t xml:space="preserve">4.2 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√( Q</t>
    </r>
    <r>
      <rPr>
        <vertAlign val="subscript"/>
        <sz val="11"/>
        <color theme="1"/>
        <rFont val="Calibri"/>
        <family val="2"/>
        <scheme val="minor"/>
      </rPr>
      <t xml:space="preserve">R </t>
    </r>
    <r>
      <rPr>
        <sz val="11"/>
        <color theme="1"/>
        <rFont val="Calibri"/>
        <family val="2"/>
        <scheme val="minor"/>
      </rPr>
      <t>∙ k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)</t>
    </r>
  </si>
  <si>
    <r>
      <t>d</t>
    </r>
    <r>
      <rPr>
        <vertAlign val="subscript"/>
        <sz val="11"/>
        <color theme="1"/>
        <rFont val="Calibri"/>
        <family val="2"/>
        <scheme val="minor"/>
      </rPr>
      <t>b</t>
    </r>
  </si>
  <si>
    <r>
      <t>0.62 √( D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∙ k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/ k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∙ n ∙ e )</t>
    </r>
  </si>
  <si>
    <r>
      <t>D = D</t>
    </r>
    <r>
      <rPr>
        <vertAlign val="subscript"/>
        <sz val="9"/>
        <color theme="1"/>
        <rFont val="Calibri"/>
        <family val="2"/>
        <scheme val="minor"/>
      </rPr>
      <t>t</t>
    </r>
  </si>
  <si>
    <r>
      <t>Material factor, k</t>
    </r>
    <r>
      <rPr>
        <vertAlign val="subscript"/>
        <sz val="9"/>
        <color theme="1"/>
        <rFont val="Calibri"/>
        <family val="2"/>
        <scheme val="minor"/>
      </rPr>
      <t>b</t>
    </r>
  </si>
  <si>
    <r>
      <t>k</t>
    </r>
    <r>
      <rPr>
        <vertAlign val="subscript"/>
        <sz val="9"/>
        <color theme="1"/>
        <rFont val="Calibri"/>
        <family val="2"/>
        <scheme val="minor"/>
      </rPr>
      <t>r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</si>
  <si>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</si>
  <si>
    <r>
      <t>0.62 √( D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∙ k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/ k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∙ n ∙ e )</t>
    </r>
  </si>
  <si>
    <r>
      <t>t</t>
    </r>
    <r>
      <rPr>
        <vertAlign val="subscript"/>
        <sz val="11"/>
        <color theme="1"/>
        <rFont val="Calibri"/>
        <family val="2"/>
        <scheme val="minor"/>
      </rPr>
      <t>f,min</t>
    </r>
  </si>
  <si>
    <r>
      <t>0.9 d</t>
    </r>
    <r>
      <rPr>
        <vertAlign val="subscript"/>
        <sz val="11"/>
        <color theme="1"/>
        <rFont val="Calibri"/>
        <family val="2"/>
        <scheme val="minor"/>
      </rPr>
      <t>b</t>
    </r>
  </si>
  <si>
    <r>
      <t>0.6 t</t>
    </r>
    <r>
      <rPr>
        <vertAlign val="subscript"/>
        <sz val="11"/>
        <color theme="1"/>
        <rFont val="Calibri"/>
        <family val="2"/>
        <scheme val="minor"/>
      </rPr>
      <t>f</t>
    </r>
  </si>
  <si>
    <r>
      <t>0.67 d</t>
    </r>
    <r>
      <rPr>
        <vertAlign val="subscript"/>
        <sz val="11"/>
        <color theme="1"/>
        <rFont val="Calibri"/>
        <family val="2"/>
        <scheme val="minor"/>
      </rPr>
      <t>b</t>
    </r>
  </si>
  <si>
    <r>
      <t>a</t>
    </r>
    <r>
      <rPr>
        <vertAlign val="subscript"/>
        <sz val="11"/>
        <color theme="1"/>
        <rFont val="Calibri"/>
        <family val="2"/>
        <scheme val="minor"/>
      </rPr>
      <t>h</t>
    </r>
  </si>
  <si>
    <r>
      <t>a</t>
    </r>
    <r>
      <rPr>
        <vertAlign val="subscript"/>
        <sz val="11"/>
        <color theme="1"/>
        <rFont val="Calibri"/>
        <family val="2"/>
        <scheme val="minor"/>
      </rPr>
      <t>v</t>
    </r>
  </si>
  <si>
    <r>
      <t>1.5 a</t>
    </r>
    <r>
      <rPr>
        <vertAlign val="subscript"/>
        <sz val="11"/>
        <color theme="1"/>
        <rFont val="Calibri"/>
        <family val="2"/>
        <scheme val="minor"/>
      </rPr>
      <t>h</t>
    </r>
  </si>
  <si>
    <r>
      <t>Design stress, p</t>
    </r>
    <r>
      <rPr>
        <vertAlign val="subscript"/>
        <sz val="11"/>
        <color theme="1"/>
        <rFont val="Calibri"/>
        <family val="2"/>
        <scheme val="minor"/>
      </rPr>
      <t>R</t>
    </r>
  </si>
  <si>
    <r>
      <t>10 T + C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/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A</t>
    </r>
  </si>
  <si>
    <r>
      <t>kN/mm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</si>
  <si>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9"/>
        <color theme="1"/>
        <rFont val="Calibri"/>
        <family val="2"/>
        <scheme val="minor"/>
      </rPr>
      <t>2</t>
    </r>
  </si>
  <si>
    <r>
      <t>C</t>
    </r>
    <r>
      <rPr>
        <vertAlign val="subscript"/>
        <sz val="9"/>
        <color theme="1"/>
        <rFont val="Calibri"/>
        <family val="2"/>
        <scheme val="minor"/>
      </rPr>
      <t>R</t>
    </r>
  </si>
  <si>
    <r>
      <t>1.74 a √( p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∙ k ) + 2.5</t>
    </r>
  </si>
  <si>
    <r>
      <t>or, t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8√k</t>
    </r>
  </si>
  <si>
    <r>
      <t>t</t>
    </r>
    <r>
      <rPr>
        <vertAlign val="subscript"/>
        <sz val="11"/>
        <color theme="1"/>
        <rFont val="Calibri"/>
        <family val="2"/>
        <scheme val="minor"/>
      </rPr>
      <t>min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</si>
  <si>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</si>
  <si>
    <r>
      <t>C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/ 2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</si>
  <si>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</si>
  <si>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/ 1000 + 1 or 1.5 mm</t>
    </r>
  </si>
  <si>
    <r>
      <t>d</t>
    </r>
    <r>
      <rPr>
        <vertAlign val="subscript"/>
        <sz val="11"/>
        <color theme="1"/>
        <rFont val="Calibri"/>
        <family val="2"/>
        <scheme val="minor"/>
      </rPr>
      <t>p</t>
    </r>
  </si>
  <si>
    <r>
      <t>0.35 √(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∙ k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) </t>
    </r>
  </si>
  <si>
    <r>
      <t>0.01 √B</t>
    </r>
    <r>
      <rPr>
        <vertAlign val="subscript"/>
        <sz val="11"/>
        <color theme="1"/>
        <rFont val="Calibri"/>
        <family val="2"/>
        <scheme val="minor"/>
      </rPr>
      <t>1</t>
    </r>
  </si>
  <si>
    <r>
      <t>0.25 d</t>
    </r>
    <r>
      <rPr>
        <vertAlign val="subscript"/>
        <sz val="11"/>
        <color theme="1"/>
        <rFont val="Calibri"/>
        <family val="2"/>
        <scheme val="minor"/>
      </rPr>
      <t>p</t>
    </r>
  </si>
  <si>
    <t>Rudder Calculation</t>
  </si>
  <si>
    <t>knots (Astern) (i.e. 60% of Ahead)</t>
  </si>
  <si>
    <r>
      <t>For ship type, c</t>
    </r>
    <r>
      <rPr>
        <vertAlign val="subscript"/>
        <sz val="10"/>
        <color theme="1"/>
        <rFont val="Calibri"/>
        <family val="2"/>
        <scheme val="minor"/>
      </rPr>
      <t>1</t>
    </r>
  </si>
  <si>
    <r>
      <t>For ruddder type, c</t>
    </r>
    <r>
      <rPr>
        <vertAlign val="subscript"/>
        <sz val="10"/>
        <color theme="1"/>
        <rFont val="Calibri"/>
        <family val="2"/>
        <scheme val="minor"/>
      </rPr>
      <t>2</t>
    </r>
  </si>
  <si>
    <r>
      <t>For ruddder profile, c</t>
    </r>
    <r>
      <rPr>
        <vertAlign val="subscript"/>
        <sz val="10"/>
        <color theme="1"/>
        <rFont val="Calibri"/>
        <family val="2"/>
        <scheme val="minor"/>
      </rPr>
      <t>3</t>
    </r>
  </si>
  <si>
    <r>
      <t>For rudder arrangement, c</t>
    </r>
    <r>
      <rPr>
        <vertAlign val="subscript"/>
        <sz val="10"/>
        <color theme="1"/>
        <rFont val="Calibri"/>
        <family val="2"/>
        <scheme val="minor"/>
      </rPr>
      <t>4</t>
    </r>
  </si>
  <si>
    <t>(Pt-1, Ch-1, Sec-14, A.4)</t>
  </si>
  <si>
    <t>(GL)</t>
  </si>
  <si>
    <t>(Munro-Smith)</t>
  </si>
  <si>
    <t>(Def Norske Veritas)</t>
  </si>
  <si>
    <t>taking the larger area,</t>
  </si>
  <si>
    <t>Each rudder will thus have an area of,</t>
  </si>
  <si>
    <t>Allowable height</t>
  </si>
  <si>
    <t>(Pt-1, Ch-1, Sec-14, C.2)</t>
  </si>
  <si>
    <r>
      <t>(235/R</t>
    </r>
    <r>
      <rPr>
        <vertAlign val="subscript"/>
        <sz val="11"/>
        <color theme="1"/>
        <rFont val="Calibri"/>
        <family val="2"/>
        <scheme val="minor"/>
      </rPr>
      <t>eH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0.75</t>
    </r>
  </si>
  <si>
    <r>
      <t>(R</t>
    </r>
    <r>
      <rPr>
        <vertAlign val="subscript"/>
        <sz val="11"/>
        <color theme="1"/>
        <rFont val="Calibri"/>
        <family val="2"/>
        <scheme val="minor"/>
      </rPr>
      <t>eh</t>
    </r>
    <r>
      <rPr>
        <sz val="11"/>
        <color theme="1"/>
        <rFont val="Calibri"/>
        <family val="2"/>
        <scheme val="minor"/>
      </rPr>
      <t xml:space="preserve"> &gt; 235)</t>
    </r>
  </si>
  <si>
    <r>
      <t xml:space="preserve">(High Strength Steel) </t>
    </r>
    <r>
      <rPr>
        <b/>
        <sz val="11"/>
        <color theme="1"/>
        <rFont val="Calibri"/>
        <family val="2"/>
        <scheme val="minor"/>
      </rPr>
      <t>GL F-40</t>
    </r>
  </si>
  <si>
    <t>(Pt-1, Ch-1, Sec-14, D.1)</t>
  </si>
  <si>
    <t>(Pt-1, Ch-1, Sec-14, E.1.1)</t>
  </si>
  <si>
    <t>(Pt-1, Ch-1, Sec-14, F.2)</t>
  </si>
  <si>
    <t>Coupling flange thickness,</t>
  </si>
  <si>
    <t>[NKK]</t>
  </si>
  <si>
    <t>(Pt-1, Ch-1, Sec-14, G.2)</t>
  </si>
  <si>
    <t>(Pt-1, Ch-1, Sec-14, G.4)</t>
  </si>
  <si>
    <t>Minimum thickness for bearing liners and brushes,</t>
  </si>
  <si>
    <t>For Spade Rudder,</t>
  </si>
  <si>
    <t>(Pt-1, Ch-1, Sec-14, G.5)</t>
  </si>
  <si>
    <t>≈ 84</t>
  </si>
  <si>
    <r>
      <t xml:space="preserve">Rudder Area </t>
    </r>
    <r>
      <rPr>
        <i/>
        <sz val="11"/>
        <color theme="1"/>
        <rFont val="Calibri"/>
        <family val="2"/>
        <scheme val="minor"/>
      </rPr>
      <t>(each)</t>
    </r>
  </si>
  <si>
    <t>Mean height</t>
  </si>
  <si>
    <t>Mean breadth</t>
  </si>
  <si>
    <t>Aspect ratio</t>
  </si>
  <si>
    <t>Used Material</t>
  </si>
  <si>
    <t>HLS GL F-40</t>
  </si>
  <si>
    <r>
      <t xml:space="preserve">kN </t>
    </r>
    <r>
      <rPr>
        <i/>
        <sz val="11"/>
        <color theme="1"/>
        <rFont val="Calibri"/>
        <family val="2"/>
        <scheme val="minor"/>
      </rPr>
      <t>(ahead)</t>
    </r>
  </si>
  <si>
    <r>
      <t xml:space="preserve">kN </t>
    </r>
    <r>
      <rPr>
        <i/>
        <sz val="11"/>
        <color theme="1"/>
        <rFont val="Calibri"/>
        <family val="2"/>
        <scheme val="minor"/>
      </rPr>
      <t>(astern)</t>
    </r>
  </si>
  <si>
    <r>
      <t xml:space="preserve">kNm </t>
    </r>
    <r>
      <rPr>
        <i/>
        <sz val="11"/>
        <color theme="1"/>
        <rFont val="Calibri"/>
        <family val="2"/>
        <scheme val="minor"/>
      </rPr>
      <t>(ahead)</t>
    </r>
  </si>
  <si>
    <r>
      <t xml:space="preserve">kNm </t>
    </r>
    <r>
      <rPr>
        <i/>
        <sz val="11"/>
        <color theme="1"/>
        <rFont val="Calibri"/>
        <family val="2"/>
        <scheme val="minor"/>
      </rPr>
      <t>(astern)</t>
    </r>
  </si>
  <si>
    <t>Coupling Bolt Diameter</t>
  </si>
  <si>
    <t>Coupling Flange Thickness</t>
  </si>
  <si>
    <t>Rudder Plate Thickness</t>
  </si>
  <si>
    <t>Rudder Web Thickness</t>
  </si>
  <si>
    <t>Pintle Diameter</t>
  </si>
  <si>
    <t>NACA Section</t>
  </si>
  <si>
    <t>Bearing liners</t>
  </si>
  <si>
    <t>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</si>
</sst>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9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45">
    <xf numFmtId="0" fontId="0" fillId="0" borderId="0" xfId="0"/>
    <xf numFmtId="2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0" applyNumberFormat="1" applyFont="1" applyAlignment="1">
      <alignment horizontal="left" vertical="center" indent="4"/>
    </xf>
    <xf numFmtId="164" fontId="15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vertical="center"/>
    </xf>
    <xf numFmtId="164" fontId="11" fillId="0" borderId="0" xfId="0" applyNumberFormat="1" applyFont="1" applyAlignment="1">
      <alignment horizontal="left" vertical="center" indent="4"/>
    </xf>
    <xf numFmtId="164" fontId="11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horizontal="left" vertical="center" indent="4"/>
    </xf>
    <xf numFmtId="164" fontId="5" fillId="0" borderId="0" xfId="0" applyNumberFormat="1" applyFont="1" applyAlignment="1">
      <alignment horizontal="right" vertical="center"/>
    </xf>
    <xf numFmtId="164" fontId="0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/>
    <xf numFmtId="164" fontId="0" fillId="0" borderId="0" xfId="0" applyNumberFormat="1" applyFont="1" applyAlignment="1">
      <alignment horizontal="right" vertical="center"/>
    </xf>
    <xf numFmtId="165" fontId="0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right" vertical="center"/>
    </xf>
    <xf numFmtId="164" fontId="15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64" fontId="6" fillId="2" borderId="0" xfId="0" applyNumberFormat="1" applyFont="1" applyFill="1" applyAlignment="1">
      <alignment horizontal="center" vertical="center"/>
    </xf>
    <xf numFmtId="164" fontId="0" fillId="0" borderId="0" xfId="0" applyNumberFormat="1" applyFont="1" applyAlignment="1">
      <alignment horizontal="left" vertical="center"/>
    </xf>
    <xf numFmtId="164" fontId="6" fillId="2" borderId="1" xfId="0" applyNumberFormat="1" applyFont="1" applyFill="1" applyBorder="1" applyAlignment="1">
      <alignment horizontal="center" vertical="center"/>
    </xf>
    <xf numFmtId="164" fontId="5" fillId="0" borderId="0" xfId="0" applyNumberFormat="1" applyFont="1" applyAlignment="1">
      <alignment horizontal="left" vertical="center" indent="1"/>
    </xf>
    <xf numFmtId="164" fontId="0" fillId="0" borderId="0" xfId="0" applyNumberFormat="1" applyFont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horizontal="center" vertical="center"/>
    </xf>
    <xf numFmtId="164" fontId="0" fillId="0" borderId="2" xfId="0" applyNumberFormat="1" applyFont="1" applyBorder="1" applyAlignment="1">
      <alignment horizontal="left" vertical="center"/>
    </xf>
    <xf numFmtId="164" fontId="13" fillId="2" borderId="0" xfId="0" applyNumberFormat="1" applyFont="1" applyFill="1" applyAlignment="1">
      <alignment horizontal="center" vertical="center"/>
    </xf>
    <xf numFmtId="164" fontId="12" fillId="0" borderId="0" xfId="0" applyNumberFormat="1" applyFont="1" applyAlignment="1">
      <alignment horizontal="left" vertical="center"/>
    </xf>
    <xf numFmtId="164" fontId="12" fillId="0" borderId="0" xfId="0" applyNumberFormat="1" applyFont="1" applyAlignment="1">
      <alignment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zoomScale="81" zoomScaleNormal="81" workbookViewId="0">
      <selection activeCell="F135" sqref="F135"/>
    </sheetView>
  </sheetViews>
  <sheetFormatPr defaultColWidth="9" defaultRowHeight="14.5" x14ac:dyDescent="0.35"/>
  <cols>
    <col min="1" max="1" width="22.54296875" style="3" customWidth="1"/>
    <col min="2" max="2" width="9" style="3"/>
    <col min="3" max="3" width="22.54296875" style="3" customWidth="1"/>
    <col min="4" max="4" width="12.1796875" style="3" customWidth="1"/>
    <col min="5" max="5" width="21.54296875" style="3" customWidth="1"/>
    <col min="6" max="6" width="13.6328125" style="3" customWidth="1"/>
    <col min="7" max="7" width="10.81640625" style="3" bestFit="1" customWidth="1"/>
    <col min="8" max="8" width="16.90625" style="3" customWidth="1"/>
    <col min="9" max="9" width="15.90625" style="3" customWidth="1"/>
    <col min="10" max="10" width="9.08984375" style="3" bestFit="1" customWidth="1"/>
    <col min="11" max="16384" width="9" style="3"/>
  </cols>
  <sheetData>
    <row r="1" spans="2:5" ht="16" customHeight="1" x14ac:dyDescent="0.35"/>
    <row r="2" spans="2:5" ht="16" customHeight="1" x14ac:dyDescent="0.35">
      <c r="B2" s="40" t="s">
        <v>137</v>
      </c>
      <c r="C2" s="40"/>
      <c r="D2" s="40"/>
      <c r="E2" s="4"/>
    </row>
    <row r="3" spans="2:5" ht="16" customHeight="1" x14ac:dyDescent="0.35">
      <c r="B3" s="40"/>
      <c r="C3" s="40"/>
      <c r="D3" s="40"/>
      <c r="E3" s="4"/>
    </row>
    <row r="4" spans="2:5" ht="16" customHeight="1" x14ac:dyDescent="0.35">
      <c r="B4" s="40"/>
      <c r="C4" s="40"/>
      <c r="D4" s="40"/>
      <c r="E4" s="4"/>
    </row>
    <row r="5" spans="2:5" ht="16" customHeight="1" x14ac:dyDescent="0.35">
      <c r="B5" s="4"/>
      <c r="C5" s="5"/>
      <c r="D5" s="5"/>
      <c r="E5" s="4"/>
    </row>
    <row r="6" spans="2:5" ht="16" customHeight="1" x14ac:dyDescent="0.35">
      <c r="C6" s="5"/>
      <c r="D6" s="5"/>
    </row>
    <row r="7" spans="2:5" ht="16" customHeight="1" x14ac:dyDescent="0.35"/>
    <row r="8" spans="2:5" ht="16.5" x14ac:dyDescent="0.35">
      <c r="B8" s="6" t="s">
        <v>86</v>
      </c>
      <c r="C8" s="1">
        <v>76.400000000000006</v>
      </c>
      <c r="D8" s="3" t="s">
        <v>0</v>
      </c>
    </row>
    <row r="9" spans="2:5" x14ac:dyDescent="0.35">
      <c r="B9" s="6" t="s">
        <v>1</v>
      </c>
      <c r="C9" s="1">
        <v>74.400000000000006</v>
      </c>
      <c r="D9" s="3" t="s">
        <v>0</v>
      </c>
    </row>
    <row r="10" spans="2:5" x14ac:dyDescent="0.35">
      <c r="B10" s="6" t="s">
        <v>2</v>
      </c>
      <c r="C10" s="1">
        <v>0.223</v>
      </c>
      <c r="D10" s="3" t="s">
        <v>0</v>
      </c>
    </row>
    <row r="11" spans="2:5" x14ac:dyDescent="0.35">
      <c r="B11" s="6" t="s">
        <v>3</v>
      </c>
      <c r="C11" s="1">
        <v>13.54</v>
      </c>
      <c r="D11" s="3" t="s">
        <v>0</v>
      </c>
    </row>
    <row r="12" spans="2:5" x14ac:dyDescent="0.35">
      <c r="B12" s="6" t="s">
        <v>4</v>
      </c>
      <c r="C12" s="1">
        <v>5.0999999999999996</v>
      </c>
      <c r="D12" s="3" t="s">
        <v>0</v>
      </c>
    </row>
    <row r="13" spans="2:5" x14ac:dyDescent="0.35">
      <c r="B13" s="6" t="s">
        <v>5</v>
      </c>
      <c r="C13" s="1">
        <v>3.85</v>
      </c>
      <c r="D13" s="3" t="s">
        <v>0</v>
      </c>
    </row>
    <row r="14" spans="2:5" x14ac:dyDescent="0.35">
      <c r="B14" s="6" t="s">
        <v>6</v>
      </c>
      <c r="C14" s="1">
        <v>10</v>
      </c>
      <c r="D14" s="3" t="s">
        <v>7</v>
      </c>
    </row>
    <row r="15" spans="2:5" x14ac:dyDescent="0.35">
      <c r="C15" s="1">
        <f>0.6*C14</f>
        <v>6</v>
      </c>
      <c r="D15" s="3" t="s">
        <v>138</v>
      </c>
    </row>
    <row r="17" spans="1:9" ht="16" thickBot="1" x14ac:dyDescent="0.4">
      <c r="A17" s="3" t="s">
        <v>143</v>
      </c>
      <c r="B17" s="32" t="s">
        <v>8</v>
      </c>
      <c r="C17" s="32"/>
      <c r="D17" s="32"/>
      <c r="E17" s="7" t="s">
        <v>139</v>
      </c>
      <c r="F17" s="8">
        <v>1</v>
      </c>
      <c r="G17" s="41" t="s">
        <v>9</v>
      </c>
      <c r="H17" s="41"/>
    </row>
    <row r="18" spans="1:9" ht="15" x14ac:dyDescent="0.35">
      <c r="E18" s="7" t="s">
        <v>140</v>
      </c>
      <c r="F18" s="8">
        <v>1</v>
      </c>
      <c r="G18" s="42" t="s">
        <v>9</v>
      </c>
      <c r="H18" s="42"/>
    </row>
    <row r="19" spans="1:9" ht="16.5" x14ac:dyDescent="0.35">
      <c r="A19" s="9" t="s">
        <v>144</v>
      </c>
      <c r="B19" s="3" t="s">
        <v>10</v>
      </c>
      <c r="C19" s="3" t="s">
        <v>87</v>
      </c>
      <c r="E19" s="7" t="s">
        <v>141</v>
      </c>
      <c r="F19" s="8">
        <v>1</v>
      </c>
      <c r="G19" s="42" t="s">
        <v>11</v>
      </c>
      <c r="H19" s="42"/>
    </row>
    <row r="20" spans="1:9" ht="16.5" x14ac:dyDescent="0.35">
      <c r="C20" s="3">
        <f>F17*F18*F19*F20*1.75*C9*C13/100</f>
        <v>5.0127000000000006</v>
      </c>
      <c r="D20" s="3" t="s">
        <v>88</v>
      </c>
      <c r="E20" s="7" t="s">
        <v>142</v>
      </c>
      <c r="F20" s="8">
        <v>1</v>
      </c>
      <c r="G20" s="42" t="s">
        <v>12</v>
      </c>
      <c r="H20" s="42"/>
    </row>
    <row r="23" spans="1:9" x14ac:dyDescent="0.35">
      <c r="A23" s="9" t="s">
        <v>145</v>
      </c>
      <c r="B23" s="3" t="s">
        <v>10</v>
      </c>
      <c r="C23" s="3" t="s">
        <v>13</v>
      </c>
    </row>
    <row r="24" spans="1:9" ht="16.5" x14ac:dyDescent="0.35">
      <c r="C24" s="3">
        <f>C9*C13/60</f>
        <v>4.7740000000000009</v>
      </c>
      <c r="D24" s="3" t="s">
        <v>88</v>
      </c>
    </row>
    <row r="27" spans="1:9" ht="16.5" x14ac:dyDescent="0.35">
      <c r="A27" s="9" t="s">
        <v>146</v>
      </c>
      <c r="B27" s="3" t="s">
        <v>10</v>
      </c>
      <c r="C27" s="31" t="s">
        <v>89</v>
      </c>
      <c r="D27" s="31"/>
    </row>
    <row r="28" spans="1:9" ht="16.5" x14ac:dyDescent="0.35">
      <c r="C28" s="3">
        <f>C13*C9*(1+25*(C11/C8)^2)/100</f>
        <v>5.1135803740303176</v>
      </c>
      <c r="D28" s="3" t="s">
        <v>88</v>
      </c>
    </row>
    <row r="30" spans="1:9" ht="16.5" x14ac:dyDescent="0.35">
      <c r="A30" s="9" t="s">
        <v>147</v>
      </c>
      <c r="B30" s="20" t="s">
        <v>10</v>
      </c>
      <c r="C30" s="3">
        <f>C28</f>
        <v>5.1135803740303176</v>
      </c>
      <c r="D30" s="31" t="s">
        <v>88</v>
      </c>
      <c r="E30" s="36"/>
      <c r="G30" s="3" t="s">
        <v>14</v>
      </c>
      <c r="H30" s="3">
        <f>0.25*C30</f>
        <v>1.2783950935075794</v>
      </c>
      <c r="I30" s="3">
        <f>H30/D39</f>
        <v>0.68290336191644196</v>
      </c>
    </row>
    <row r="31" spans="1:9" x14ac:dyDescent="0.35">
      <c r="B31" s="10"/>
      <c r="D31" s="11"/>
      <c r="E31" s="12"/>
    </row>
    <row r="32" spans="1:9" x14ac:dyDescent="0.35">
      <c r="B32" s="31" t="s">
        <v>148</v>
      </c>
      <c r="C32" s="31"/>
      <c r="D32" s="31"/>
    </row>
    <row r="33" spans="1:9" ht="16.5" x14ac:dyDescent="0.35">
      <c r="B33" s="3" t="s">
        <v>10</v>
      </c>
      <c r="C33" s="3">
        <f>C30/2</f>
        <v>2.5567901870151588</v>
      </c>
      <c r="D33" s="3" t="s">
        <v>88</v>
      </c>
      <c r="I33" s="3">
        <f>I30/2</f>
        <v>0.34145168095822098</v>
      </c>
    </row>
    <row r="34" spans="1:9" x14ac:dyDescent="0.35">
      <c r="B34" s="11"/>
      <c r="D34" s="11"/>
      <c r="E34" s="12"/>
    </row>
    <row r="36" spans="1:9" x14ac:dyDescent="0.35">
      <c r="B36" s="39" t="s">
        <v>15</v>
      </c>
      <c r="C36" s="39"/>
    </row>
    <row r="37" spans="1:9" x14ac:dyDescent="0.35">
      <c r="B37" s="31" t="s">
        <v>16</v>
      </c>
      <c r="C37" s="31"/>
      <c r="D37" s="3">
        <v>0.7</v>
      </c>
      <c r="E37" s="3" t="s">
        <v>0</v>
      </c>
    </row>
    <row r="38" spans="1:9" x14ac:dyDescent="0.35">
      <c r="B38" s="31" t="s">
        <v>149</v>
      </c>
      <c r="C38" s="31"/>
      <c r="D38" s="3">
        <v>2.5720000000000001</v>
      </c>
      <c r="E38" s="3" t="s">
        <v>0</v>
      </c>
    </row>
    <row r="39" spans="1:9" x14ac:dyDescent="0.35">
      <c r="B39" s="31" t="s">
        <v>17</v>
      </c>
      <c r="C39" s="31"/>
      <c r="D39" s="3">
        <f>D38-D37</f>
        <v>1.8720000000000001</v>
      </c>
      <c r="E39" s="3" t="s">
        <v>0</v>
      </c>
      <c r="G39" s="3">
        <f>0.05*D38</f>
        <v>0.12860000000000002</v>
      </c>
    </row>
    <row r="40" spans="1:9" ht="16.5" x14ac:dyDescent="0.35">
      <c r="B40" s="31" t="s">
        <v>90</v>
      </c>
      <c r="C40" s="31"/>
      <c r="D40" s="3">
        <f>D39^2/C33</f>
        <v>1.3706185270098674</v>
      </c>
    </row>
    <row r="41" spans="1:9" x14ac:dyDescent="0.35">
      <c r="B41" s="31" t="s">
        <v>18</v>
      </c>
      <c r="C41" s="31"/>
      <c r="D41" s="3">
        <f>C33/D39</f>
        <v>1.3658067238328839</v>
      </c>
      <c r="E41" s="3" t="s">
        <v>0</v>
      </c>
    </row>
    <row r="44" spans="1:9" ht="16" thickBot="1" x14ac:dyDescent="0.4">
      <c r="A44" s="3" t="s">
        <v>150</v>
      </c>
      <c r="B44" s="32" t="s">
        <v>19</v>
      </c>
      <c r="C44" s="32"/>
    </row>
    <row r="45" spans="1:9" ht="15.5" x14ac:dyDescent="0.35">
      <c r="B45" s="14"/>
      <c r="C45" s="14"/>
    </row>
    <row r="46" spans="1:9" x14ac:dyDescent="0.35">
      <c r="B46" s="31" t="s">
        <v>20</v>
      </c>
      <c r="C46" s="31"/>
      <c r="D46" s="3" t="s">
        <v>153</v>
      </c>
    </row>
    <row r="48" spans="1:9" ht="16.5" x14ac:dyDescent="0.35">
      <c r="B48" s="31" t="s">
        <v>91</v>
      </c>
      <c r="C48" s="31"/>
      <c r="D48" s="25">
        <v>390</v>
      </c>
      <c r="E48" s="3" t="s">
        <v>21</v>
      </c>
    </row>
    <row r="49" spans="1:9" ht="16.5" x14ac:dyDescent="0.35">
      <c r="B49" s="31" t="s">
        <v>92</v>
      </c>
      <c r="C49" s="31"/>
      <c r="D49" s="25">
        <v>660</v>
      </c>
      <c r="E49" s="3" t="s">
        <v>21</v>
      </c>
    </row>
    <row r="51" spans="1:9" ht="16.5" x14ac:dyDescent="0.35">
      <c r="B51" s="3" t="s">
        <v>93</v>
      </c>
      <c r="C51" s="3" t="s">
        <v>151</v>
      </c>
      <c r="D51" s="11" t="s">
        <v>152</v>
      </c>
    </row>
    <row r="52" spans="1:9" x14ac:dyDescent="0.35">
      <c r="C52" s="20">
        <f>(235/D48)^0.75</f>
        <v>0.68391549197635904</v>
      </c>
    </row>
    <row r="54" spans="1:9" x14ac:dyDescent="0.35">
      <c r="B54" s="36"/>
      <c r="C54" s="36"/>
      <c r="D54" s="36"/>
      <c r="E54" s="36"/>
      <c r="F54" s="36"/>
      <c r="G54" s="36"/>
      <c r="H54" s="36"/>
      <c r="I54" s="36"/>
    </row>
    <row r="55" spans="1:9" x14ac:dyDescent="0.35">
      <c r="B55" s="36"/>
      <c r="C55" s="36"/>
      <c r="D55" s="36"/>
      <c r="E55" s="36"/>
      <c r="F55" s="36"/>
      <c r="G55" s="36"/>
      <c r="H55" s="36"/>
      <c r="I55" s="36"/>
    </row>
    <row r="57" spans="1:9" ht="16" thickBot="1" x14ac:dyDescent="0.4">
      <c r="A57" s="3" t="s">
        <v>154</v>
      </c>
      <c r="B57" s="32" t="s">
        <v>22</v>
      </c>
      <c r="C57" s="32"/>
    </row>
    <row r="58" spans="1:9" ht="16" customHeight="1" x14ac:dyDescent="0.35">
      <c r="B58" s="14"/>
      <c r="C58" s="14"/>
      <c r="F58" s="15"/>
      <c r="G58" s="16"/>
      <c r="H58" s="17"/>
      <c r="I58" s="17"/>
    </row>
    <row r="59" spans="1:9" ht="16" customHeight="1" x14ac:dyDescent="0.35">
      <c r="B59" s="31" t="s">
        <v>23</v>
      </c>
      <c r="C59" s="31"/>
      <c r="F59" s="13" t="s">
        <v>94</v>
      </c>
      <c r="G59" s="12">
        <f>(D40+2)/3</f>
        <v>1.1235395090032891</v>
      </c>
      <c r="H59" s="38" t="s">
        <v>24</v>
      </c>
      <c r="I59" s="38"/>
    </row>
    <row r="60" spans="1:9" ht="16" customHeight="1" x14ac:dyDescent="0.35">
      <c r="B60" s="3" t="s">
        <v>95</v>
      </c>
      <c r="C60" s="3" t="s">
        <v>96</v>
      </c>
      <c r="F60" s="13" t="s">
        <v>97</v>
      </c>
      <c r="G60" s="18">
        <v>1.1000000000000001</v>
      </c>
      <c r="H60" s="38"/>
      <c r="I60" s="38"/>
    </row>
    <row r="61" spans="1:9" ht="16" customHeight="1" x14ac:dyDescent="0.35">
      <c r="C61" s="3">
        <f>132*C33*G64^2*G59*G60*G62*G63</f>
        <v>41710.947570306736</v>
      </c>
      <c r="D61" s="17" t="s">
        <v>25</v>
      </c>
      <c r="E61" s="3" t="s">
        <v>26</v>
      </c>
      <c r="F61" s="13" t="s">
        <v>98</v>
      </c>
      <c r="G61" s="18">
        <v>0.8</v>
      </c>
      <c r="H61" s="36" t="s">
        <v>11</v>
      </c>
      <c r="I61" s="36"/>
    </row>
    <row r="62" spans="1:9" ht="16" customHeight="1" x14ac:dyDescent="0.35">
      <c r="C62" s="3">
        <f>132*C33*G65^2*G59*G61*G62*G63</f>
        <v>10920.684454771219</v>
      </c>
      <c r="D62" s="17" t="s">
        <v>27</v>
      </c>
      <c r="E62" s="3" t="s">
        <v>26</v>
      </c>
      <c r="F62" s="13" t="s">
        <v>99</v>
      </c>
      <c r="G62" s="18">
        <v>1</v>
      </c>
      <c r="H62" s="36"/>
      <c r="I62" s="36"/>
    </row>
    <row r="63" spans="1:9" ht="16" customHeight="1" x14ac:dyDescent="0.35">
      <c r="F63" s="13" t="s">
        <v>100</v>
      </c>
      <c r="G63" s="18">
        <v>1</v>
      </c>
      <c r="H63" s="36" t="s">
        <v>9</v>
      </c>
      <c r="I63" s="36"/>
    </row>
    <row r="64" spans="1:9" ht="16" customHeight="1" x14ac:dyDescent="0.35">
      <c r="B64" s="37" t="s">
        <v>28</v>
      </c>
      <c r="C64" s="37"/>
      <c r="F64" s="13" t="s">
        <v>29</v>
      </c>
      <c r="G64" s="18">
        <f>C14</f>
        <v>10</v>
      </c>
      <c r="H64" s="36" t="s">
        <v>7</v>
      </c>
      <c r="I64" s="36"/>
    </row>
    <row r="65" spans="1:9" ht="16" customHeight="1" x14ac:dyDescent="0.35">
      <c r="G65" s="18">
        <f>C15</f>
        <v>6</v>
      </c>
      <c r="H65" s="36" t="s">
        <v>7</v>
      </c>
      <c r="I65" s="36"/>
    </row>
    <row r="66" spans="1:9" ht="16" customHeight="1" thickBot="1" x14ac:dyDescent="0.4">
      <c r="B66" s="35" t="s">
        <v>30</v>
      </c>
      <c r="C66" s="35"/>
    </row>
    <row r="67" spans="1:9" ht="16" customHeight="1" x14ac:dyDescent="0.35">
      <c r="B67" s="3" t="s">
        <v>31</v>
      </c>
      <c r="C67" s="3" t="s">
        <v>101</v>
      </c>
    </row>
    <row r="68" spans="1:9" ht="16" customHeight="1" x14ac:dyDescent="0.35">
      <c r="C68" s="3">
        <f>G69*(G68-G71)</f>
        <v>0.10926453790663074</v>
      </c>
      <c r="D68" s="11" t="s">
        <v>32</v>
      </c>
      <c r="F68" s="13" t="s">
        <v>33</v>
      </c>
      <c r="G68" s="19">
        <v>0.33</v>
      </c>
    </row>
    <row r="69" spans="1:9" ht="16" customHeight="1" x14ac:dyDescent="0.35">
      <c r="D69" s="11"/>
      <c r="F69" s="13" t="s">
        <v>34</v>
      </c>
      <c r="G69" s="19">
        <f>D41</f>
        <v>1.3658067238328839</v>
      </c>
    </row>
    <row r="70" spans="1:9" ht="16" customHeight="1" x14ac:dyDescent="0.35">
      <c r="B70" s="6" t="s">
        <v>102</v>
      </c>
      <c r="C70" s="3" t="s">
        <v>103</v>
      </c>
      <c r="D70" s="11" t="s">
        <v>35</v>
      </c>
      <c r="F70" s="13" t="s">
        <v>36</v>
      </c>
      <c r="G70" s="19">
        <f>0.1*G69</f>
        <v>0.13658067238328839</v>
      </c>
    </row>
    <row r="71" spans="1:9" ht="16" customHeight="1" x14ac:dyDescent="0.35">
      <c r="C71" s="3">
        <f>C61*G70</f>
        <v>5696.9092648965834</v>
      </c>
      <c r="D71" s="11" t="s">
        <v>37</v>
      </c>
      <c r="F71" s="13" t="s">
        <v>104</v>
      </c>
      <c r="G71" s="19">
        <v>0.25</v>
      </c>
    </row>
    <row r="72" spans="1:9" ht="16" customHeight="1" x14ac:dyDescent="0.35">
      <c r="D72" s="11"/>
      <c r="F72" s="13"/>
      <c r="G72" s="19"/>
    </row>
    <row r="73" spans="1:9" ht="16" customHeight="1" thickBot="1" x14ac:dyDescent="0.4">
      <c r="B73" s="35" t="s">
        <v>38</v>
      </c>
      <c r="C73" s="35"/>
      <c r="D73" s="11"/>
      <c r="F73" s="7"/>
      <c r="G73" s="7"/>
    </row>
    <row r="74" spans="1:9" ht="16" customHeight="1" x14ac:dyDescent="0.35">
      <c r="B74" s="3" t="s">
        <v>31</v>
      </c>
      <c r="C74" s="3" t="s">
        <v>101</v>
      </c>
      <c r="D74" s="11"/>
      <c r="F74" s="13" t="s">
        <v>33</v>
      </c>
      <c r="G74" s="19">
        <v>0.66</v>
      </c>
    </row>
    <row r="75" spans="1:9" ht="16" customHeight="1" x14ac:dyDescent="0.35">
      <c r="C75" s="3">
        <f>G75*(G74-G77)</f>
        <v>0.5599807567714824</v>
      </c>
      <c r="D75" s="11" t="s">
        <v>39</v>
      </c>
      <c r="F75" s="13" t="s">
        <v>34</v>
      </c>
      <c r="G75" s="19">
        <f>G69</f>
        <v>1.3658067238328839</v>
      </c>
    </row>
    <row r="76" spans="1:9" ht="16" customHeight="1" x14ac:dyDescent="0.35">
      <c r="D76" s="11"/>
      <c r="F76" s="13" t="s">
        <v>36</v>
      </c>
      <c r="G76" s="19">
        <f>0.1*G75</f>
        <v>0.13658067238328839</v>
      </c>
    </row>
    <row r="77" spans="1:9" ht="16" customHeight="1" x14ac:dyDescent="0.35">
      <c r="B77" s="6" t="s">
        <v>102</v>
      </c>
      <c r="C77" s="3" t="s">
        <v>103</v>
      </c>
      <c r="D77" s="11"/>
      <c r="F77" s="13" t="s">
        <v>104</v>
      </c>
      <c r="G77" s="19">
        <v>0.25</v>
      </c>
    </row>
    <row r="78" spans="1:9" ht="16" customHeight="1" x14ac:dyDescent="0.35">
      <c r="C78" s="3">
        <f>C62*C75</f>
        <v>6115.3731454453509</v>
      </c>
      <c r="D78" s="3">
        <f>C78*2*1.2/1000</f>
        <v>14.676895549068842</v>
      </c>
      <c r="E78" s="3" t="s">
        <v>40</v>
      </c>
    </row>
    <row r="79" spans="1:9" ht="16" customHeight="1" x14ac:dyDescent="0.35"/>
    <row r="80" spans="1:9" ht="20" customHeight="1" thickBot="1" x14ac:dyDescent="0.4">
      <c r="A80" s="3" t="s">
        <v>155</v>
      </c>
      <c r="B80" s="32" t="s">
        <v>41</v>
      </c>
      <c r="C80" s="32"/>
      <c r="F80" s="3" t="s">
        <v>42</v>
      </c>
      <c r="G80" s="3">
        <f>(2*3.1416*65)/(28*180)</f>
        <v>8.1033333333333332E-2</v>
      </c>
      <c r="H80" s="3" t="s">
        <v>43</v>
      </c>
    </row>
    <row r="81" spans="1:10" ht="16" customHeight="1" x14ac:dyDescent="0.35">
      <c r="B81" s="14"/>
      <c r="C81" s="14"/>
      <c r="F81" s="3" t="s">
        <v>44</v>
      </c>
      <c r="G81" s="3">
        <f>G80*C78*2/1000</f>
        <v>0.99109814110517658</v>
      </c>
      <c r="H81" s="3" t="s">
        <v>45</v>
      </c>
      <c r="J81" s="3">
        <f>7.4/0.746</f>
        <v>9.9195710455764079</v>
      </c>
    </row>
    <row r="82" spans="1:10" ht="16" customHeight="1" x14ac:dyDescent="0.35">
      <c r="B82" s="3" t="s">
        <v>105</v>
      </c>
      <c r="C82" s="3" t="s">
        <v>106</v>
      </c>
    </row>
    <row r="83" spans="1:10" ht="16" customHeight="1" x14ac:dyDescent="0.35">
      <c r="C83" s="3">
        <f>4.2*(C78*C52)^(1/3)</f>
        <v>67.669207678995775</v>
      </c>
      <c r="D83" s="20" t="s">
        <v>46</v>
      </c>
      <c r="F83" s="3" t="s">
        <v>44</v>
      </c>
      <c r="G83" s="3">
        <f>G81/0.746</f>
        <v>1.3285497870042582</v>
      </c>
      <c r="H83" s="3" t="s">
        <v>47</v>
      </c>
    </row>
    <row r="84" spans="1:10" ht="16" customHeight="1" x14ac:dyDescent="0.35">
      <c r="B84" s="9" t="s">
        <v>48</v>
      </c>
      <c r="C84" s="26">
        <v>70</v>
      </c>
      <c r="D84" s="6" t="s">
        <v>46</v>
      </c>
    </row>
    <row r="85" spans="1:10" ht="16" customHeight="1" x14ac:dyDescent="0.35"/>
    <row r="86" spans="1:10" ht="20" customHeight="1" thickBot="1" x14ac:dyDescent="0.4">
      <c r="A86" s="3" t="s">
        <v>156</v>
      </c>
      <c r="B86" s="32" t="s">
        <v>49</v>
      </c>
      <c r="C86" s="32"/>
    </row>
    <row r="87" spans="1:10" ht="16" customHeight="1" x14ac:dyDescent="0.35"/>
    <row r="88" spans="1:10" ht="16" customHeight="1" x14ac:dyDescent="0.35">
      <c r="B88" s="31" t="s">
        <v>50</v>
      </c>
      <c r="C88" s="31"/>
      <c r="D88" s="31"/>
    </row>
    <row r="89" spans="1:10" ht="16" customHeight="1" x14ac:dyDescent="0.35">
      <c r="B89" s="3" t="s">
        <v>107</v>
      </c>
      <c r="C89" s="3" t="s">
        <v>108</v>
      </c>
      <c r="F89" s="13" t="s">
        <v>109</v>
      </c>
      <c r="G89" s="13">
        <f>C84</f>
        <v>70</v>
      </c>
      <c r="H89" s="13" t="s">
        <v>46</v>
      </c>
    </row>
    <row r="90" spans="1:10" ht="16" customHeight="1" x14ac:dyDescent="0.35">
      <c r="C90" s="3">
        <f>0.62*(G89^3*G90/(G91*G92*G93))^0.5</f>
        <v>16.078801047878382</v>
      </c>
      <c r="D90" s="3" t="s">
        <v>46</v>
      </c>
      <c r="F90" s="13" t="s">
        <v>110</v>
      </c>
      <c r="G90" s="13">
        <f>C52</f>
        <v>0.68391549197635904</v>
      </c>
      <c r="H90" s="13"/>
    </row>
    <row r="91" spans="1:10" ht="16" customHeight="1" x14ac:dyDescent="0.35">
      <c r="C91" s="21" t="s">
        <v>51</v>
      </c>
      <c r="D91" s="6" t="s">
        <v>46</v>
      </c>
      <c r="F91" s="13" t="s">
        <v>111</v>
      </c>
      <c r="G91" s="13">
        <f>C52</f>
        <v>0.68391549197635904</v>
      </c>
      <c r="H91" s="13"/>
    </row>
    <row r="92" spans="1:10" ht="16" customHeight="1" x14ac:dyDescent="0.35">
      <c r="B92" s="31" t="s">
        <v>157</v>
      </c>
      <c r="C92" s="31"/>
      <c r="F92" s="13" t="s">
        <v>52</v>
      </c>
      <c r="G92" s="13">
        <v>6</v>
      </c>
      <c r="H92" s="13"/>
    </row>
    <row r="93" spans="1:10" ht="16" customHeight="1" x14ac:dyDescent="0.35">
      <c r="B93" s="3" t="s">
        <v>112</v>
      </c>
      <c r="C93" s="3" t="s">
        <v>113</v>
      </c>
      <c r="F93" s="13" t="s">
        <v>53</v>
      </c>
      <c r="G93" s="13">
        <f>G89/2+50</f>
        <v>85</v>
      </c>
      <c r="H93" s="13" t="s">
        <v>46</v>
      </c>
    </row>
    <row r="94" spans="1:10" ht="16" customHeight="1" x14ac:dyDescent="0.35">
      <c r="C94" s="3">
        <f>0.62*(G89^3*G90/(G91*G92*G93))^0.5</f>
        <v>16.078801047878382</v>
      </c>
      <c r="D94" s="3" t="s">
        <v>46</v>
      </c>
      <c r="F94" s="33" t="s">
        <v>54</v>
      </c>
      <c r="G94" s="33"/>
    </row>
    <row r="95" spans="1:10" ht="16" customHeight="1" x14ac:dyDescent="0.35">
      <c r="C95" s="21" t="s">
        <v>51</v>
      </c>
      <c r="D95" s="6" t="s">
        <v>46</v>
      </c>
    </row>
    <row r="96" spans="1:10" ht="16" customHeight="1" x14ac:dyDescent="0.35"/>
    <row r="97" spans="1:9" ht="16" customHeight="1" x14ac:dyDescent="0.35">
      <c r="B97" s="31" t="s">
        <v>55</v>
      </c>
      <c r="C97" s="31"/>
      <c r="D97" s="31"/>
    </row>
    <row r="98" spans="1:9" ht="16" customHeight="1" x14ac:dyDescent="0.35">
      <c r="B98" s="3" t="s">
        <v>114</v>
      </c>
      <c r="C98" s="3" t="s">
        <v>115</v>
      </c>
    </row>
    <row r="99" spans="1:9" ht="16" customHeight="1" x14ac:dyDescent="0.35">
      <c r="C99" s="3">
        <f>0.9*C90</f>
        <v>14.470920943090544</v>
      </c>
      <c r="D99" s="3" t="s">
        <v>46</v>
      </c>
    </row>
    <row r="100" spans="1:9" ht="16" customHeight="1" x14ac:dyDescent="0.35"/>
    <row r="101" spans="1:9" ht="16" customHeight="1" x14ac:dyDescent="0.35">
      <c r="B101" s="31" t="s">
        <v>56</v>
      </c>
      <c r="C101" s="31"/>
      <c r="D101" s="31"/>
    </row>
    <row r="102" spans="1:9" ht="16" customHeight="1" x14ac:dyDescent="0.35">
      <c r="C102" s="3" t="s">
        <v>116</v>
      </c>
    </row>
    <row r="103" spans="1:9" ht="16" customHeight="1" x14ac:dyDescent="0.35">
      <c r="C103" s="3">
        <f>0.6*C94</f>
        <v>9.6472806287270298</v>
      </c>
      <c r="D103" s="3" t="s">
        <v>46</v>
      </c>
    </row>
    <row r="104" spans="1:9" ht="16" customHeight="1" x14ac:dyDescent="0.35"/>
    <row r="105" spans="1:9" ht="16" customHeight="1" x14ac:dyDescent="0.35">
      <c r="B105" s="31" t="s">
        <v>57</v>
      </c>
      <c r="C105" s="31"/>
      <c r="D105" s="31"/>
    </row>
    <row r="106" spans="1:9" ht="16" customHeight="1" x14ac:dyDescent="0.35">
      <c r="C106" s="3" t="s">
        <v>117</v>
      </c>
    </row>
    <row r="107" spans="1:9" ht="16" customHeight="1" x14ac:dyDescent="0.35">
      <c r="C107" s="3">
        <f>0.67*C90</f>
        <v>10.772796702078518</v>
      </c>
      <c r="D107" s="3" t="s">
        <v>46</v>
      </c>
    </row>
    <row r="108" spans="1:9" ht="16" customHeight="1" x14ac:dyDescent="0.35"/>
    <row r="109" spans="1:9" s="22" customFormat="1" ht="16" thickBot="1" x14ac:dyDescent="0.4">
      <c r="B109" s="32" t="s">
        <v>58</v>
      </c>
      <c r="C109" s="32"/>
      <c r="D109" s="23"/>
      <c r="E109" s="23"/>
      <c r="F109" s="23"/>
      <c r="G109" s="23"/>
      <c r="H109" s="23"/>
    </row>
    <row r="110" spans="1:9" s="22" customFormat="1" ht="16" customHeight="1" x14ac:dyDescent="0.35">
      <c r="D110" s="23"/>
      <c r="E110" s="23"/>
      <c r="F110" s="23"/>
      <c r="G110" s="23"/>
      <c r="H110" s="23"/>
    </row>
    <row r="111" spans="1:9" s="22" customFormat="1" ht="16" customHeight="1" x14ac:dyDescent="0.35">
      <c r="A111" s="27" t="s">
        <v>158</v>
      </c>
      <c r="B111" s="31" t="s">
        <v>59</v>
      </c>
      <c r="C111" s="31"/>
      <c r="D111" s="31"/>
      <c r="E111" s="31"/>
      <c r="F111" s="31"/>
      <c r="G111" s="31"/>
      <c r="H111" s="31"/>
      <c r="I111" s="31"/>
    </row>
    <row r="112" spans="1:9" s="22" customFormat="1" ht="16" customHeight="1" x14ac:dyDescent="0.35">
      <c r="E112" s="23"/>
      <c r="F112" s="23"/>
      <c r="G112" s="23"/>
      <c r="H112" s="23"/>
    </row>
    <row r="113" spans="1:9" s="22" customFormat="1" ht="16" customHeight="1" x14ac:dyDescent="0.45">
      <c r="B113" s="22" t="s">
        <v>118</v>
      </c>
      <c r="C113" s="22" t="s">
        <v>60</v>
      </c>
      <c r="E113" s="23"/>
      <c r="F113" s="23"/>
      <c r="G113" s="23"/>
      <c r="H113" s="23"/>
    </row>
    <row r="114" spans="1:9" s="22" customFormat="1" ht="16" customHeight="1" x14ac:dyDescent="0.35">
      <c r="C114" s="22">
        <f>0.2*C9/100+0.4</f>
        <v>0.54880000000000007</v>
      </c>
      <c r="E114" s="23"/>
      <c r="F114" s="23"/>
      <c r="G114" s="23"/>
      <c r="H114" s="23"/>
    </row>
    <row r="115" spans="1:9" s="22" customFormat="1" ht="16" customHeight="1" x14ac:dyDescent="0.35">
      <c r="A115" s="23"/>
      <c r="B115" s="23"/>
      <c r="C115" s="23"/>
      <c r="D115" s="23"/>
      <c r="E115" s="23"/>
      <c r="F115" s="23"/>
      <c r="G115" s="23"/>
      <c r="H115" s="23"/>
    </row>
    <row r="116" spans="1:9" s="22" customFormat="1" ht="33" customHeight="1" x14ac:dyDescent="0.35">
      <c r="A116" s="23"/>
      <c r="B116" s="34" t="s">
        <v>61</v>
      </c>
      <c r="C116" s="31"/>
      <c r="D116" s="31"/>
      <c r="E116" s="31"/>
      <c r="F116" s="31"/>
      <c r="G116" s="31"/>
      <c r="H116" s="31"/>
      <c r="I116" s="31"/>
    </row>
    <row r="117" spans="1:9" s="22" customFormat="1" ht="16" customHeight="1" x14ac:dyDescent="0.35">
      <c r="A117" s="23"/>
      <c r="B117" s="23"/>
      <c r="C117" s="23"/>
      <c r="D117" s="23"/>
      <c r="E117" s="23"/>
      <c r="F117" s="23"/>
      <c r="G117" s="23"/>
      <c r="H117" s="23"/>
    </row>
    <row r="118" spans="1:9" s="22" customFormat="1" ht="16" customHeight="1" x14ac:dyDescent="0.45">
      <c r="A118" s="23"/>
      <c r="B118" s="22" t="s">
        <v>119</v>
      </c>
      <c r="C118" s="23" t="s">
        <v>120</v>
      </c>
      <c r="D118" s="23"/>
    </row>
    <row r="119" spans="1:9" s="22" customFormat="1" ht="16" customHeight="1" x14ac:dyDescent="0.35">
      <c r="A119" s="23"/>
      <c r="B119" s="23"/>
      <c r="C119" s="23">
        <f>1.5*C114</f>
        <v>0.82320000000000015</v>
      </c>
      <c r="D119" s="23"/>
    </row>
    <row r="120" spans="1:9" s="22" customFormat="1" ht="16" customHeight="1" x14ac:dyDescent="0.35">
      <c r="A120" s="23"/>
      <c r="B120" s="23"/>
      <c r="C120" s="23"/>
      <c r="D120" s="23"/>
    </row>
    <row r="121" spans="1:9" ht="16" customHeight="1" thickBot="1" x14ac:dyDescent="0.4">
      <c r="A121" s="3" t="s">
        <v>159</v>
      </c>
      <c r="B121" s="32" t="s">
        <v>62</v>
      </c>
      <c r="C121" s="32"/>
    </row>
    <row r="122" spans="1:9" ht="16" customHeight="1" x14ac:dyDescent="0.35"/>
    <row r="123" spans="1:9" ht="16" customHeight="1" x14ac:dyDescent="0.35">
      <c r="B123" s="31" t="s">
        <v>121</v>
      </c>
      <c r="C123" s="31"/>
      <c r="D123" s="3" t="s">
        <v>122</v>
      </c>
      <c r="G123" s="13" t="s">
        <v>5</v>
      </c>
      <c r="H123" s="13">
        <f>C13</f>
        <v>3.85</v>
      </c>
      <c r="I123" s="13" t="s">
        <v>0</v>
      </c>
    </row>
    <row r="124" spans="1:9" ht="16" customHeight="1" x14ac:dyDescent="0.35">
      <c r="D124" s="3">
        <f>10*H123+H125/(1000*H124)</f>
        <v>54.813793670727762</v>
      </c>
      <c r="E124" s="3" t="s">
        <v>123</v>
      </c>
      <c r="G124" s="13" t="s">
        <v>63</v>
      </c>
      <c r="H124" s="13">
        <f>C33</f>
        <v>2.5567901870151588</v>
      </c>
      <c r="I124" s="13" t="s">
        <v>124</v>
      </c>
    </row>
    <row r="125" spans="1:9" ht="16" customHeight="1" x14ac:dyDescent="0.35">
      <c r="G125" s="13" t="s">
        <v>125</v>
      </c>
      <c r="H125" s="13">
        <f>C61</f>
        <v>41710.947570306736</v>
      </c>
      <c r="I125" s="15"/>
    </row>
    <row r="126" spans="1:9" ht="16" customHeight="1" x14ac:dyDescent="0.35">
      <c r="B126" s="31" t="s">
        <v>64</v>
      </c>
      <c r="C126" s="31"/>
      <c r="D126" s="3" t="s">
        <v>126</v>
      </c>
      <c r="G126" s="15"/>
      <c r="H126" s="15"/>
      <c r="I126" s="15"/>
    </row>
    <row r="127" spans="1:9" ht="16" customHeight="1" x14ac:dyDescent="0.35">
      <c r="D127" s="6">
        <f>1.74*0.5*(D124*G91)^0.5+2.5</f>
        <v>7.826787889286198</v>
      </c>
      <c r="E127" s="6" t="s">
        <v>46</v>
      </c>
    </row>
    <row r="128" spans="1:9" ht="16" customHeight="1" x14ac:dyDescent="0.35">
      <c r="D128" s="2">
        <v>8</v>
      </c>
      <c r="E128" s="3" t="s">
        <v>46</v>
      </c>
    </row>
    <row r="129" spans="1:8" ht="16" customHeight="1" x14ac:dyDescent="0.35">
      <c r="B129" s="31" t="s">
        <v>65</v>
      </c>
      <c r="C129" s="31"/>
    </row>
    <row r="130" spans="1:8" ht="16" customHeight="1" x14ac:dyDescent="0.35">
      <c r="C130" s="3" t="s">
        <v>66</v>
      </c>
      <c r="D130" s="3">
        <f>0.7*D127</f>
        <v>5.478751522500338</v>
      </c>
      <c r="E130" s="3" t="s">
        <v>46</v>
      </c>
    </row>
    <row r="131" spans="1:8" ht="16" customHeight="1" x14ac:dyDescent="0.35">
      <c r="C131" s="3" t="s">
        <v>127</v>
      </c>
      <c r="D131" s="6">
        <f>8*G91^0.5</f>
        <v>6.6159346646174626</v>
      </c>
      <c r="E131" s="6" t="s">
        <v>46</v>
      </c>
      <c r="G131" s="13" t="s">
        <v>67</v>
      </c>
      <c r="H131" s="13">
        <f>G90</f>
        <v>0.68391549197635904</v>
      </c>
    </row>
    <row r="132" spans="1:8" ht="16" customHeight="1" x14ac:dyDescent="0.35">
      <c r="C132" s="10"/>
      <c r="D132" s="29">
        <v>7</v>
      </c>
      <c r="E132" s="6" t="s">
        <v>46</v>
      </c>
    </row>
    <row r="133" spans="1:8" ht="16" customHeight="1" x14ac:dyDescent="0.35">
      <c r="C133" s="10"/>
    </row>
    <row r="134" spans="1:8" ht="16" customHeight="1" x14ac:dyDescent="0.35">
      <c r="B134" s="31" t="s">
        <v>68</v>
      </c>
      <c r="C134" s="31"/>
    </row>
    <row r="135" spans="1:8" ht="16" customHeight="1" x14ac:dyDescent="0.35">
      <c r="C135" s="3" t="s">
        <v>69</v>
      </c>
      <c r="D135" s="3">
        <f>1.25*D127</f>
        <v>9.7834848616077466</v>
      </c>
      <c r="E135" s="3" t="s">
        <v>46</v>
      </c>
    </row>
    <row r="136" spans="1:8" ht="16" customHeight="1" x14ac:dyDescent="0.35"/>
    <row r="137" spans="1:8" ht="16" customHeight="1" x14ac:dyDescent="0.35"/>
    <row r="138" spans="1:8" ht="16" customHeight="1" thickBot="1" x14ac:dyDescent="0.4">
      <c r="A138" s="3" t="s">
        <v>160</v>
      </c>
      <c r="B138" s="32" t="s">
        <v>70</v>
      </c>
      <c r="C138" s="32"/>
    </row>
    <row r="139" spans="1:8" ht="16" customHeight="1" x14ac:dyDescent="0.35"/>
    <row r="140" spans="1:8" ht="16" customHeight="1" x14ac:dyDescent="0.35">
      <c r="B140" s="31" t="s">
        <v>161</v>
      </c>
      <c r="C140" s="31"/>
      <c r="D140" s="31"/>
    </row>
    <row r="141" spans="1:8" ht="16" customHeight="1" x14ac:dyDescent="0.35">
      <c r="B141" s="3" t="s">
        <v>128</v>
      </c>
      <c r="C141" s="2">
        <v>8</v>
      </c>
      <c r="D141" s="3" t="s">
        <v>46</v>
      </c>
    </row>
    <row r="142" spans="1:8" ht="16" customHeight="1" x14ac:dyDescent="0.35"/>
    <row r="143" spans="1:8" ht="16" customHeight="1" x14ac:dyDescent="0.35">
      <c r="B143" s="31" t="s">
        <v>162</v>
      </c>
      <c r="C143" s="31"/>
    </row>
    <row r="144" spans="1:8" ht="16" customHeight="1" x14ac:dyDescent="0.35"/>
    <row r="145" spans="1:9" ht="16" customHeight="1" x14ac:dyDescent="0.35">
      <c r="B145" s="3" t="s">
        <v>129</v>
      </c>
      <c r="C145" s="3" t="s">
        <v>130</v>
      </c>
      <c r="G145" s="13" t="s">
        <v>125</v>
      </c>
      <c r="H145" s="13">
        <f>H125</f>
        <v>41710.947570306736</v>
      </c>
      <c r="I145" s="15"/>
    </row>
    <row r="146" spans="1:9" ht="16" customHeight="1" x14ac:dyDescent="0.35">
      <c r="C146" s="3">
        <f>H145*2</f>
        <v>83421.895140613473</v>
      </c>
      <c r="D146" s="3" t="s">
        <v>26</v>
      </c>
      <c r="G146" s="13" t="s">
        <v>71</v>
      </c>
      <c r="H146" s="13">
        <f>D39</f>
        <v>1.8720000000000001</v>
      </c>
      <c r="I146" s="13" t="s">
        <v>0</v>
      </c>
    </row>
    <row r="147" spans="1:9" ht="16" customHeight="1" x14ac:dyDescent="0.35">
      <c r="G147" s="13" t="s">
        <v>34</v>
      </c>
      <c r="H147" s="13">
        <f>D41</f>
        <v>1.3658067238328839</v>
      </c>
      <c r="I147" s="13" t="s">
        <v>0</v>
      </c>
    </row>
    <row r="148" spans="1:9" ht="16" customHeight="1" x14ac:dyDescent="0.35">
      <c r="B148" s="3" t="s">
        <v>131</v>
      </c>
      <c r="C148" s="3" t="s">
        <v>130</v>
      </c>
    </row>
    <row r="149" spans="1:9" ht="16" customHeight="1" x14ac:dyDescent="0.35">
      <c r="C149" s="3">
        <f>H145*2</f>
        <v>83421.895140613473</v>
      </c>
      <c r="D149" s="3" t="s">
        <v>26</v>
      </c>
    </row>
    <row r="150" spans="1:9" ht="16" customHeight="1" x14ac:dyDescent="0.35"/>
    <row r="151" spans="1:9" ht="16" customHeight="1" x14ac:dyDescent="0.35">
      <c r="B151" s="3" t="s">
        <v>72</v>
      </c>
      <c r="C151" s="3" t="s">
        <v>132</v>
      </c>
    </row>
    <row r="152" spans="1:9" ht="16" customHeight="1" x14ac:dyDescent="0.35">
      <c r="C152" s="3">
        <f>C90/1000+1</f>
        <v>1.0160788010478783</v>
      </c>
      <c r="D152" s="3" t="s">
        <v>46</v>
      </c>
    </row>
    <row r="153" spans="1:9" ht="16" customHeight="1" x14ac:dyDescent="0.35">
      <c r="B153" s="24" t="s">
        <v>73</v>
      </c>
      <c r="C153" s="28">
        <v>1.5</v>
      </c>
      <c r="D153" s="6" t="s">
        <v>46</v>
      </c>
    </row>
    <row r="154" spans="1:9" ht="16" customHeight="1" x14ac:dyDescent="0.35">
      <c r="C154" s="6"/>
      <c r="D154" s="6"/>
    </row>
    <row r="155" spans="1:9" ht="16" customHeight="1" thickBot="1" x14ac:dyDescent="0.4">
      <c r="A155" s="3" t="s">
        <v>163</v>
      </c>
      <c r="B155" s="32" t="s">
        <v>74</v>
      </c>
      <c r="C155" s="32"/>
    </row>
    <row r="156" spans="1:9" ht="16" customHeight="1" x14ac:dyDescent="0.35"/>
    <row r="157" spans="1:9" ht="16" customHeight="1" x14ac:dyDescent="0.35">
      <c r="B157" s="31" t="s">
        <v>75</v>
      </c>
      <c r="C157" s="31"/>
    </row>
    <row r="158" spans="1:9" ht="16" customHeight="1" x14ac:dyDescent="0.35">
      <c r="B158" s="3" t="s">
        <v>133</v>
      </c>
      <c r="C158" s="3" t="s">
        <v>134</v>
      </c>
      <c r="G158" s="13" t="s">
        <v>111</v>
      </c>
      <c r="H158" s="13">
        <f>G91</f>
        <v>0.68391549197635904</v>
      </c>
    </row>
    <row r="159" spans="1:9" ht="16" customHeight="1" x14ac:dyDescent="0.35">
      <c r="C159" s="3">
        <f>0.35*SQRT(C146*H158)</f>
        <v>83.600580087370673</v>
      </c>
      <c r="D159" s="3" t="s">
        <v>46</v>
      </c>
    </row>
    <row r="160" spans="1:9" ht="16" customHeight="1" x14ac:dyDescent="0.35">
      <c r="C160" s="21" t="s">
        <v>164</v>
      </c>
      <c r="D160" s="6" t="s">
        <v>46</v>
      </c>
    </row>
    <row r="161" spans="2:4" ht="16" customHeight="1" x14ac:dyDescent="0.35">
      <c r="B161" s="3" t="s">
        <v>76</v>
      </c>
    </row>
    <row r="162" spans="2:4" ht="16" customHeight="1" x14ac:dyDescent="0.35">
      <c r="B162" s="3" t="s">
        <v>77</v>
      </c>
    </row>
    <row r="163" spans="2:4" ht="16" customHeight="1" x14ac:dyDescent="0.35">
      <c r="C163" s="3">
        <f>C159-C159/10</f>
        <v>75.240522078633603</v>
      </c>
      <c r="D163" s="3" t="s">
        <v>46</v>
      </c>
    </row>
    <row r="164" spans="2:4" ht="16" customHeight="1" x14ac:dyDescent="0.35">
      <c r="C164" s="29">
        <v>76</v>
      </c>
      <c r="D164" s="6" t="s">
        <v>46</v>
      </c>
    </row>
    <row r="165" spans="2:4" ht="16" customHeight="1" x14ac:dyDescent="0.35"/>
    <row r="166" spans="2:4" ht="16" customHeight="1" x14ac:dyDescent="0.35">
      <c r="B166" s="31" t="s">
        <v>78</v>
      </c>
      <c r="C166" s="31"/>
    </row>
    <row r="167" spans="2:4" ht="16" customHeight="1" x14ac:dyDescent="0.35">
      <c r="B167" s="3" t="s">
        <v>79</v>
      </c>
      <c r="C167" s="3" t="s">
        <v>135</v>
      </c>
    </row>
    <row r="168" spans="2:4" ht="16" customHeight="1" x14ac:dyDescent="0.35">
      <c r="C168" s="3">
        <f>0.01*C146^0.5</f>
        <v>2.8882848741184359</v>
      </c>
      <c r="D168" s="3" t="s">
        <v>46</v>
      </c>
    </row>
    <row r="169" spans="2:4" ht="16" customHeight="1" x14ac:dyDescent="0.35"/>
    <row r="170" spans="2:4" ht="16" customHeight="1" x14ac:dyDescent="0.35">
      <c r="B170" s="31" t="s">
        <v>80</v>
      </c>
      <c r="C170" s="31"/>
    </row>
    <row r="171" spans="2:4" ht="16" customHeight="1" x14ac:dyDescent="0.35">
      <c r="B171" s="3" t="s">
        <v>81</v>
      </c>
      <c r="C171" s="3" t="s">
        <v>136</v>
      </c>
    </row>
    <row r="172" spans="2:4" ht="16" customHeight="1" x14ac:dyDescent="0.35">
      <c r="C172" s="3">
        <f>0.25*C159</f>
        <v>20.900145021842668</v>
      </c>
      <c r="D172" s="3" t="s">
        <v>46</v>
      </c>
    </row>
    <row r="173" spans="2:4" ht="16" customHeight="1" x14ac:dyDescent="0.35">
      <c r="C173" s="29">
        <v>21</v>
      </c>
      <c r="D173" s="6" t="s">
        <v>46</v>
      </c>
    </row>
    <row r="174" spans="2:4" ht="16" customHeight="1" x14ac:dyDescent="0.35">
      <c r="B174" s="31" t="s">
        <v>82</v>
      </c>
      <c r="C174" s="31"/>
    </row>
    <row r="175" spans="2:4" ht="16" customHeight="1" x14ac:dyDescent="0.35">
      <c r="C175" s="3">
        <f>1.2*C159</f>
        <v>100.3206961048448</v>
      </c>
      <c r="D175" s="3" t="s">
        <v>46</v>
      </c>
    </row>
    <row r="176" spans="2:4" ht="16" customHeight="1" x14ac:dyDescent="0.35">
      <c r="C176" s="26">
        <v>101</v>
      </c>
      <c r="D176" s="6" t="s">
        <v>46</v>
      </c>
    </row>
    <row r="184" spans="2:6" ht="15.5" x14ac:dyDescent="0.35">
      <c r="C184" s="30" t="s">
        <v>83</v>
      </c>
    </row>
    <row r="186" spans="2:6" x14ac:dyDescent="0.35">
      <c r="B186" s="3" t="s">
        <v>34</v>
      </c>
      <c r="C186" s="3">
        <f>D41*1000</f>
        <v>1365.806723832884</v>
      </c>
    </row>
    <row r="188" spans="2:6" x14ac:dyDescent="0.35">
      <c r="E188" s="3" t="s">
        <v>84</v>
      </c>
      <c r="F188" s="3" t="s">
        <v>85</v>
      </c>
    </row>
    <row r="189" spans="2:6" x14ac:dyDescent="0.35">
      <c r="C189" s="3">
        <v>1</v>
      </c>
      <c r="D189" s="3">
        <v>1.0499999999999999E-3</v>
      </c>
      <c r="E189" s="3">
        <f t="shared" ref="E189:E206" si="0">C189*$C$186</f>
        <v>1365.806723832884</v>
      </c>
      <c r="F189" s="3">
        <f t="shared" ref="F189:F206" si="1">$C$186*D189</f>
        <v>1.4340970600245282</v>
      </c>
    </row>
    <row r="190" spans="2:6" x14ac:dyDescent="0.35">
      <c r="C190" s="3">
        <v>0.95</v>
      </c>
      <c r="D190" s="3">
        <v>6.7200000000000003E-3</v>
      </c>
      <c r="E190" s="3">
        <f t="shared" si="0"/>
        <v>1297.5163876412398</v>
      </c>
      <c r="F190" s="3">
        <f t="shared" si="1"/>
        <v>9.1782211841569818</v>
      </c>
    </row>
    <row r="191" spans="2:6" x14ac:dyDescent="0.35">
      <c r="C191" s="3">
        <v>0.9</v>
      </c>
      <c r="D191" s="3">
        <v>1.2070000000000001E-2</v>
      </c>
      <c r="E191" s="3">
        <f t="shared" si="0"/>
        <v>1229.2260514495956</v>
      </c>
      <c r="F191" s="3">
        <f t="shared" si="1"/>
        <v>16.48528715666291</v>
      </c>
    </row>
    <row r="192" spans="2:6" x14ac:dyDescent="0.35">
      <c r="C192" s="3">
        <v>0.8</v>
      </c>
      <c r="D192" s="3">
        <v>2.1870000000000001E-2</v>
      </c>
      <c r="E192" s="3">
        <f t="shared" si="0"/>
        <v>1092.6453790663072</v>
      </c>
      <c r="F192" s="3">
        <f t="shared" si="1"/>
        <v>29.870193050225176</v>
      </c>
    </row>
    <row r="193" spans="3:6" x14ac:dyDescent="0.35">
      <c r="C193" s="3">
        <v>0.7</v>
      </c>
      <c r="D193" s="3">
        <v>3.0530000000000002E-2</v>
      </c>
      <c r="E193" s="3">
        <f t="shared" si="0"/>
        <v>956.0647066830187</v>
      </c>
      <c r="F193" s="3">
        <f t="shared" si="1"/>
        <v>41.698079278617953</v>
      </c>
    </row>
    <row r="194" spans="3:6" x14ac:dyDescent="0.35">
      <c r="C194" s="3">
        <v>0.6</v>
      </c>
      <c r="D194" s="3">
        <v>3.8030000000000001E-2</v>
      </c>
      <c r="E194" s="3">
        <f t="shared" si="0"/>
        <v>819.48403429973041</v>
      </c>
      <c r="F194" s="3">
        <f t="shared" si="1"/>
        <v>51.941629707364584</v>
      </c>
    </row>
    <row r="195" spans="3:6" x14ac:dyDescent="0.35">
      <c r="C195" s="3">
        <v>0.5</v>
      </c>
      <c r="D195" s="3">
        <v>4.4119999999999999E-2</v>
      </c>
      <c r="E195" s="3">
        <f t="shared" si="0"/>
        <v>682.90336191644201</v>
      </c>
      <c r="F195" s="3">
        <f t="shared" si="1"/>
        <v>60.259392655506844</v>
      </c>
    </row>
    <row r="196" spans="3:6" x14ac:dyDescent="0.35">
      <c r="C196" s="3">
        <v>0.4</v>
      </c>
      <c r="D196" s="3">
        <v>4.8370000000000003E-2</v>
      </c>
      <c r="E196" s="3">
        <f t="shared" si="0"/>
        <v>546.32268953315361</v>
      </c>
      <c r="F196" s="3">
        <f t="shared" si="1"/>
        <v>66.064071231796603</v>
      </c>
    </row>
    <row r="197" spans="3:6" x14ac:dyDescent="0.35">
      <c r="C197" s="3">
        <v>3</v>
      </c>
      <c r="D197" s="3">
        <v>5.0020000000000002E-2</v>
      </c>
      <c r="E197" s="3">
        <f t="shared" si="0"/>
        <v>4097.4201714986521</v>
      </c>
      <c r="F197" s="3">
        <f t="shared" si="1"/>
        <v>68.317652326120864</v>
      </c>
    </row>
    <row r="198" spans="3:6" x14ac:dyDescent="0.35">
      <c r="C198" s="3">
        <v>0.25</v>
      </c>
      <c r="D198" s="3">
        <v>4.9520000000000002E-2</v>
      </c>
      <c r="E198" s="3">
        <f t="shared" si="0"/>
        <v>341.451680958221</v>
      </c>
      <c r="F198" s="3">
        <f t="shared" si="1"/>
        <v>67.63474896420442</v>
      </c>
    </row>
    <row r="199" spans="3:6" x14ac:dyDescent="0.35">
      <c r="C199" s="3">
        <v>0.2</v>
      </c>
      <c r="D199" s="3">
        <v>4.7820000000000001E-2</v>
      </c>
      <c r="E199" s="3">
        <f t="shared" si="0"/>
        <v>273.1613447665768</v>
      </c>
      <c r="F199" s="3">
        <f t="shared" si="1"/>
        <v>65.312877533688521</v>
      </c>
    </row>
    <row r="200" spans="3:6" x14ac:dyDescent="0.35">
      <c r="C200" s="3">
        <v>0.15</v>
      </c>
      <c r="D200" s="3">
        <v>4.4549999999999999E-2</v>
      </c>
      <c r="E200" s="3">
        <f t="shared" si="0"/>
        <v>204.8710085749326</v>
      </c>
      <c r="F200" s="3">
        <f t="shared" si="1"/>
        <v>60.84668954675498</v>
      </c>
    </row>
    <row r="201" spans="3:6" x14ac:dyDescent="0.35">
      <c r="C201" s="3">
        <v>0.1</v>
      </c>
      <c r="D201" s="3">
        <v>3.9019999999999999E-2</v>
      </c>
      <c r="E201" s="3">
        <f t="shared" si="0"/>
        <v>136.5806723832884</v>
      </c>
      <c r="F201" s="3">
        <f t="shared" si="1"/>
        <v>53.293778363959134</v>
      </c>
    </row>
    <row r="202" spans="3:6" x14ac:dyDescent="0.35">
      <c r="C202" s="3">
        <v>7.0000000000000007E-2</v>
      </c>
      <c r="D202" s="3">
        <v>3.5000000000000003E-2</v>
      </c>
      <c r="E202" s="3">
        <f t="shared" si="0"/>
        <v>95.606470668301895</v>
      </c>
      <c r="F202" s="3">
        <f t="shared" si="1"/>
        <v>47.803235334150948</v>
      </c>
    </row>
    <row r="203" spans="3:6" x14ac:dyDescent="0.35">
      <c r="C203" s="3">
        <v>0.05</v>
      </c>
      <c r="D203" s="3">
        <v>2.962E-2</v>
      </c>
      <c r="E203" s="3">
        <f t="shared" si="0"/>
        <v>68.290336191644201</v>
      </c>
      <c r="F203" s="3">
        <f t="shared" si="1"/>
        <v>40.455195159930028</v>
      </c>
    </row>
    <row r="204" spans="3:6" x14ac:dyDescent="0.35">
      <c r="C204" s="3">
        <v>2.5000000000000001E-2</v>
      </c>
      <c r="D204" s="3">
        <v>2.1780000000000001E-2</v>
      </c>
      <c r="E204" s="3">
        <f t="shared" si="0"/>
        <v>34.1451680958221</v>
      </c>
      <c r="F204" s="3">
        <f t="shared" si="1"/>
        <v>29.747270445080215</v>
      </c>
    </row>
    <row r="205" spans="3:6" x14ac:dyDescent="0.35">
      <c r="C205" s="3">
        <v>1.2500000000000001E-2</v>
      </c>
      <c r="D205" s="3">
        <v>1.5779999999999999E-2</v>
      </c>
      <c r="E205" s="3">
        <f t="shared" si="0"/>
        <v>17.07258404791105</v>
      </c>
      <c r="F205" s="3">
        <f t="shared" si="1"/>
        <v>21.552430102082909</v>
      </c>
    </row>
    <row r="206" spans="3:6" x14ac:dyDescent="0.35">
      <c r="C206" s="3">
        <v>0</v>
      </c>
      <c r="D206" s="3">
        <v>0</v>
      </c>
      <c r="E206" s="3">
        <f t="shared" si="0"/>
        <v>0</v>
      </c>
      <c r="F206" s="3">
        <f t="shared" si="1"/>
        <v>0</v>
      </c>
    </row>
  </sheetData>
  <mergeCells count="56">
    <mergeCell ref="G20:H20"/>
    <mergeCell ref="B2:D4"/>
    <mergeCell ref="B17:D17"/>
    <mergeCell ref="G17:H17"/>
    <mergeCell ref="G18:H18"/>
    <mergeCell ref="G19:H19"/>
    <mergeCell ref="B48:C48"/>
    <mergeCell ref="C27:D27"/>
    <mergeCell ref="D30:E30"/>
    <mergeCell ref="B32:D32"/>
    <mergeCell ref="B36:C36"/>
    <mergeCell ref="B37:C37"/>
    <mergeCell ref="B38:C38"/>
    <mergeCell ref="B39:C39"/>
    <mergeCell ref="B40:C40"/>
    <mergeCell ref="B41:C41"/>
    <mergeCell ref="B44:C44"/>
    <mergeCell ref="B46:C46"/>
    <mergeCell ref="B49:C49"/>
    <mergeCell ref="B54:I54"/>
    <mergeCell ref="B55:I55"/>
    <mergeCell ref="B57:C57"/>
    <mergeCell ref="B59:C59"/>
    <mergeCell ref="H59:I60"/>
    <mergeCell ref="B92:C92"/>
    <mergeCell ref="H61:I61"/>
    <mergeCell ref="H62:I62"/>
    <mergeCell ref="H63:I63"/>
    <mergeCell ref="B64:C64"/>
    <mergeCell ref="H64:I64"/>
    <mergeCell ref="H65:I65"/>
    <mergeCell ref="B66:C66"/>
    <mergeCell ref="B73:C73"/>
    <mergeCell ref="B80:C80"/>
    <mergeCell ref="B86:C86"/>
    <mergeCell ref="B88:D88"/>
    <mergeCell ref="F94:G94"/>
    <mergeCell ref="B97:D97"/>
    <mergeCell ref="B101:D101"/>
    <mergeCell ref="B105:D105"/>
    <mergeCell ref="B111:I111"/>
    <mergeCell ref="B174:C174"/>
    <mergeCell ref="B109:C109"/>
    <mergeCell ref="B140:D140"/>
    <mergeCell ref="B143:C143"/>
    <mergeCell ref="B155:C155"/>
    <mergeCell ref="B157:C157"/>
    <mergeCell ref="B166:C166"/>
    <mergeCell ref="B170:C170"/>
    <mergeCell ref="B121:C121"/>
    <mergeCell ref="B123:C123"/>
    <mergeCell ref="B126:C126"/>
    <mergeCell ref="B129:C129"/>
    <mergeCell ref="B134:C134"/>
    <mergeCell ref="B138:C138"/>
    <mergeCell ref="B116:I116"/>
  </mergeCells>
  <conditionalFormatting sqref="C189:C20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20"/>
  <sheetViews>
    <sheetView tabSelected="1" workbookViewId="0">
      <selection activeCell="D4" sqref="D4:F20"/>
    </sheetView>
  </sheetViews>
  <sheetFormatPr defaultRowHeight="14.5" x14ac:dyDescent="0.35"/>
  <cols>
    <col min="4" max="4" width="23.36328125" customWidth="1"/>
    <col min="5" max="5" width="17.1796875" customWidth="1"/>
    <col min="6" max="6" width="12.08984375" customWidth="1"/>
  </cols>
  <sheetData>
    <row r="4" spans="4:7" x14ac:dyDescent="0.35">
      <c r="D4" t="s">
        <v>169</v>
      </c>
      <c r="E4" s="43" t="s">
        <v>170</v>
      </c>
    </row>
    <row r="5" spans="4:7" ht="16.5" x14ac:dyDescent="0.35">
      <c r="D5" t="s">
        <v>165</v>
      </c>
      <c r="E5">
        <v>2.5569999999999999</v>
      </c>
      <c r="F5" s="3" t="s">
        <v>88</v>
      </c>
      <c r="G5" s="13"/>
    </row>
    <row r="6" spans="4:7" x14ac:dyDescent="0.35">
      <c r="D6" t="s">
        <v>166</v>
      </c>
      <c r="E6">
        <v>1.8720000000000001</v>
      </c>
      <c r="F6" t="s">
        <v>0</v>
      </c>
    </row>
    <row r="7" spans="4:7" x14ac:dyDescent="0.35">
      <c r="D7" t="s">
        <v>167</v>
      </c>
      <c r="E7">
        <v>1.3660000000000001</v>
      </c>
      <c r="F7" t="s">
        <v>0</v>
      </c>
    </row>
    <row r="8" spans="4:7" x14ac:dyDescent="0.35">
      <c r="D8" t="s">
        <v>168</v>
      </c>
      <c r="E8">
        <v>1.371</v>
      </c>
    </row>
    <row r="9" spans="4:7" x14ac:dyDescent="0.35">
      <c r="D9" t="s">
        <v>23</v>
      </c>
      <c r="E9">
        <v>41.71</v>
      </c>
      <c r="F9" t="s">
        <v>171</v>
      </c>
    </row>
    <row r="10" spans="4:7" x14ac:dyDescent="0.35">
      <c r="E10">
        <v>10.92</v>
      </c>
      <c r="F10" t="s">
        <v>172</v>
      </c>
    </row>
    <row r="11" spans="4:7" x14ac:dyDescent="0.35">
      <c r="D11" t="s">
        <v>28</v>
      </c>
      <c r="E11">
        <v>5.6959999999999997</v>
      </c>
      <c r="F11" t="s">
        <v>173</v>
      </c>
    </row>
    <row r="12" spans="4:7" x14ac:dyDescent="0.35">
      <c r="E12">
        <v>6.1150000000000002</v>
      </c>
      <c r="F12" t="s">
        <v>174</v>
      </c>
    </row>
    <row r="13" spans="4:7" x14ac:dyDescent="0.35">
      <c r="D13" t="s">
        <v>41</v>
      </c>
      <c r="E13">
        <v>70</v>
      </c>
      <c r="F13" t="s">
        <v>46</v>
      </c>
    </row>
    <row r="14" spans="4:7" x14ac:dyDescent="0.35">
      <c r="D14" t="s">
        <v>175</v>
      </c>
      <c r="E14">
        <v>20</v>
      </c>
      <c r="F14" t="s">
        <v>46</v>
      </c>
    </row>
    <row r="15" spans="4:7" x14ac:dyDescent="0.35">
      <c r="D15" t="s">
        <v>176</v>
      </c>
      <c r="E15">
        <v>20</v>
      </c>
      <c r="F15" t="s">
        <v>46</v>
      </c>
    </row>
    <row r="16" spans="4:7" x14ac:dyDescent="0.35">
      <c r="D16" t="s">
        <v>177</v>
      </c>
      <c r="E16">
        <v>8</v>
      </c>
      <c r="F16" t="s">
        <v>46</v>
      </c>
    </row>
    <row r="17" spans="4:6" x14ac:dyDescent="0.35">
      <c r="D17" t="s">
        <v>178</v>
      </c>
      <c r="E17">
        <v>7</v>
      </c>
      <c r="F17" t="s">
        <v>46</v>
      </c>
    </row>
    <row r="18" spans="4:6" x14ac:dyDescent="0.35">
      <c r="D18" t="s">
        <v>179</v>
      </c>
      <c r="E18">
        <v>84</v>
      </c>
      <c r="F18" t="s">
        <v>46</v>
      </c>
    </row>
    <row r="19" spans="4:6" x14ac:dyDescent="0.35">
      <c r="D19" t="s">
        <v>181</v>
      </c>
      <c r="E19">
        <v>8</v>
      </c>
      <c r="F19" t="s">
        <v>46</v>
      </c>
    </row>
    <row r="20" spans="4:6" x14ac:dyDescent="0.35">
      <c r="D20" t="s">
        <v>180</v>
      </c>
      <c r="E20" s="4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Rudder Calculation</vt:lpstr>
      <vt:lpstr>Calculation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2023-01-14T03:31:07Z</dcterms:modified>
</cp:coreProperties>
</file>