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activeTab="1"/>
  </bookViews>
  <sheets>
    <sheet name="Calculations" sheetId="1" r:id="rId1"/>
    <sheet name="Summary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43" i="1" l="1"/>
  <c r="L442" i="1"/>
  <c r="L441" i="1"/>
  <c r="G388" i="1"/>
  <c r="L389" i="1"/>
  <c r="G422" i="1" s="1"/>
  <c r="L391" i="1" l="1"/>
  <c r="G409" i="1"/>
  <c r="G377" i="1"/>
  <c r="H308" i="1" l="1"/>
  <c r="H305" i="1"/>
  <c r="G353" i="1"/>
  <c r="G339" i="1"/>
  <c r="G324" i="1"/>
  <c r="G250" i="1"/>
  <c r="G263" i="1"/>
  <c r="G234" i="1"/>
  <c r="F113" i="1"/>
  <c r="D52" i="1"/>
  <c r="D41" i="1"/>
  <c r="D29" i="1"/>
  <c r="D37" i="1" s="1"/>
  <c r="C12" i="1"/>
  <c r="D68" i="1" l="1"/>
  <c r="G100" i="1" s="1"/>
  <c r="G366" i="1" s="1"/>
  <c r="D33" i="1"/>
  <c r="G184" i="1"/>
  <c r="J140" i="1"/>
  <c r="J137" i="1"/>
  <c r="G170" i="1" s="1"/>
  <c r="G207" i="1" l="1"/>
  <c r="G204" i="1"/>
  <c r="G94" i="1"/>
  <c r="G440" i="1" s="1"/>
  <c r="G85" i="1"/>
  <c r="D73" i="1" s="1"/>
  <c r="G287" i="1" s="1"/>
  <c r="G181" i="1" l="1"/>
  <c r="G162" i="1"/>
  <c r="F118" i="1"/>
</calcChain>
</file>

<file path=xl/sharedStrings.xml><?xml version="1.0" encoding="utf-8"?>
<sst xmlns="http://schemas.openxmlformats.org/spreadsheetml/2006/main" count="298" uniqueCount="181">
  <si>
    <t>LWL</t>
  </si>
  <si>
    <t>m</t>
  </si>
  <si>
    <t>L</t>
  </si>
  <si>
    <t>B</t>
  </si>
  <si>
    <t>D</t>
  </si>
  <si>
    <t>T</t>
  </si>
  <si>
    <t>Cb</t>
  </si>
  <si>
    <t>(LBP)</t>
  </si>
  <si>
    <t>N/mm^2</t>
  </si>
  <si>
    <t>[Chapter-1, Section-2, A.2.1]</t>
  </si>
  <si>
    <t>Design Loads</t>
  </si>
  <si>
    <t>[Chapter-1, Section-4]</t>
  </si>
  <si>
    <t>Principal Particulars</t>
  </si>
  <si>
    <t>Shell Structures</t>
  </si>
  <si>
    <t>[Chapter-1, Section-6]</t>
  </si>
  <si>
    <t>Minimum plate thickness</t>
  </si>
  <si>
    <t>tmin</t>
  </si>
  <si>
    <r>
      <t>t</t>
    </r>
    <r>
      <rPr>
        <vertAlign val="subscript"/>
        <sz val="11"/>
        <color theme="1"/>
        <rFont val="Calibri"/>
        <family val="2"/>
        <scheme val="minor"/>
      </rPr>
      <t>min</t>
    </r>
  </si>
  <si>
    <r>
      <t>[</t>
    </r>
    <r>
      <rPr>
        <i/>
        <sz val="11"/>
        <color theme="1"/>
        <rFont val="Calibri"/>
        <family val="2"/>
        <scheme val="minor"/>
      </rPr>
      <t>L&gt;50m]</t>
    </r>
  </si>
  <si>
    <t>mm</t>
  </si>
  <si>
    <r>
      <t>c</t>
    </r>
    <r>
      <rPr>
        <vertAlign val="subscript"/>
        <sz val="11"/>
        <color theme="1"/>
        <rFont val="Calibri"/>
        <family val="2"/>
        <scheme val="minor"/>
      </rPr>
      <t>1</t>
    </r>
  </si>
  <si>
    <r>
      <t>t</t>
    </r>
    <r>
      <rPr>
        <vertAlign val="subscript"/>
        <sz val="11"/>
        <color theme="1"/>
        <rFont val="Calibri"/>
        <family val="2"/>
        <scheme val="minor"/>
      </rPr>
      <t>K</t>
    </r>
  </si>
  <si>
    <t>Bilge Strake</t>
  </si>
  <si>
    <t>Minimum width of bilge strake</t>
  </si>
  <si>
    <t>b</t>
  </si>
  <si>
    <t>Flat Plate Keel</t>
  </si>
  <si>
    <t>Minimum width of flat plate keel</t>
  </si>
  <si>
    <t>[Corrosion Addition]</t>
  </si>
  <si>
    <t>Plate thickness</t>
  </si>
  <si>
    <t>Thickness of bottom shell plating</t>
  </si>
  <si>
    <t>nf</t>
  </si>
  <si>
    <t>a</t>
  </si>
  <si>
    <r>
      <t>t</t>
    </r>
    <r>
      <rPr>
        <vertAlign val="subscript"/>
        <sz val="11"/>
        <color theme="1"/>
        <rFont val="Calibri"/>
        <family val="2"/>
        <scheme val="minor"/>
      </rPr>
      <t>B1</t>
    </r>
  </si>
  <si>
    <t>k</t>
  </si>
  <si>
    <r>
      <t>t</t>
    </r>
    <r>
      <rPr>
        <vertAlign val="subscript"/>
        <sz val="11"/>
        <color theme="1"/>
        <rFont val="Calibri"/>
        <family val="2"/>
        <scheme val="minor"/>
      </rPr>
      <t>B2</t>
    </r>
  </si>
  <si>
    <r>
      <t>[</t>
    </r>
    <r>
      <rPr>
        <i/>
        <sz val="11"/>
        <color theme="1"/>
        <rFont val="Calibri"/>
        <family val="2"/>
        <scheme val="minor"/>
      </rPr>
      <t>Longitudinal framing system]</t>
    </r>
  </si>
  <si>
    <t>t</t>
  </si>
  <si>
    <r>
      <t>t</t>
    </r>
    <r>
      <rPr>
        <vertAlign val="subscript"/>
        <sz val="11"/>
        <color theme="1"/>
        <rFont val="Calibri"/>
        <family val="2"/>
        <scheme val="minor"/>
      </rPr>
      <t>B</t>
    </r>
  </si>
  <si>
    <t>Thus,</t>
  </si>
  <si>
    <t>Minimum thickness of bilge strake</t>
  </si>
  <si>
    <t>[Frame spacing]</t>
  </si>
  <si>
    <t>Thickness of flat plate keel</t>
  </si>
  <si>
    <r>
      <t>t</t>
    </r>
    <r>
      <rPr>
        <vertAlign val="subscript"/>
        <sz val="11"/>
        <color theme="1"/>
        <rFont val="Calibri"/>
        <family val="2"/>
        <scheme val="minor"/>
      </rPr>
      <t>FK</t>
    </r>
  </si>
  <si>
    <t xml:space="preserve">F </t>
  </si>
  <si>
    <t>kn</t>
  </si>
  <si>
    <t>m/s</t>
  </si>
  <si>
    <r>
      <t>m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</si>
  <si>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v</t>
    </r>
  </si>
  <si>
    <t>f</t>
  </si>
  <si>
    <t>External Sea Loads</t>
  </si>
  <si>
    <t>Load on weather decks</t>
  </si>
  <si>
    <t>kN/mm^2</t>
  </si>
  <si>
    <r>
      <t>c</t>
    </r>
    <r>
      <rPr>
        <vertAlign val="subscript"/>
        <sz val="11"/>
        <color theme="1"/>
        <rFont val="Calibri"/>
        <family val="2"/>
        <scheme val="minor"/>
      </rPr>
      <t>L</t>
    </r>
  </si>
  <si>
    <r>
      <t>c</t>
    </r>
    <r>
      <rPr>
        <vertAlign val="subscript"/>
        <sz val="11"/>
        <color theme="1"/>
        <rFont val="Calibri"/>
        <family val="2"/>
        <scheme val="minor"/>
      </rPr>
      <t>RW</t>
    </r>
  </si>
  <si>
    <r>
      <t>c</t>
    </r>
    <r>
      <rPr>
        <vertAlign val="subscript"/>
        <sz val="11"/>
        <color theme="1"/>
        <rFont val="Calibri"/>
        <family val="2"/>
        <scheme val="minor"/>
      </rPr>
      <t>0</t>
    </r>
  </si>
  <si>
    <r>
      <t>p</t>
    </r>
    <r>
      <rPr>
        <vertAlign val="subscript"/>
        <sz val="11"/>
        <color theme="1"/>
        <rFont val="Calibri"/>
        <family val="2"/>
        <scheme val="minor"/>
      </rPr>
      <t>0</t>
    </r>
  </si>
  <si>
    <t>z</t>
  </si>
  <si>
    <r>
      <t>c</t>
    </r>
    <r>
      <rPr>
        <vertAlign val="subscript"/>
        <sz val="11"/>
        <color theme="1"/>
        <rFont val="Calibri"/>
        <family val="2"/>
        <scheme val="minor"/>
      </rPr>
      <t>D</t>
    </r>
  </si>
  <si>
    <r>
      <t>p</t>
    </r>
    <r>
      <rPr>
        <vertAlign val="subscript"/>
        <sz val="11"/>
        <color theme="1"/>
        <rFont val="Calibri"/>
        <family val="2"/>
        <scheme val="minor"/>
      </rPr>
      <t>D</t>
    </r>
  </si>
  <si>
    <t>kN/m^2</t>
  </si>
  <si>
    <t>Load on the ship's bottom</t>
  </si>
  <si>
    <r>
      <t>p</t>
    </r>
    <r>
      <rPr>
        <vertAlign val="subscript"/>
        <sz val="11"/>
        <color theme="1"/>
        <rFont val="Calibri"/>
        <family val="2"/>
        <scheme val="minor"/>
      </rPr>
      <t>B</t>
    </r>
  </si>
  <si>
    <t>Load on the ship's sides</t>
  </si>
  <si>
    <t>Permissible design stress</t>
  </si>
  <si>
    <t>Side Shell Plating</t>
  </si>
  <si>
    <t>Thickness of side shell plating</t>
  </si>
  <si>
    <r>
      <t>t</t>
    </r>
    <r>
      <rPr>
        <vertAlign val="subscript"/>
        <sz val="11"/>
        <color theme="1"/>
        <rFont val="Calibri"/>
        <family val="2"/>
        <scheme val="minor"/>
      </rPr>
      <t>S1</t>
    </r>
  </si>
  <si>
    <r>
      <t>t</t>
    </r>
    <r>
      <rPr>
        <vertAlign val="subscript"/>
        <sz val="11"/>
        <color theme="1"/>
        <rFont val="Calibri"/>
        <family val="2"/>
        <scheme val="minor"/>
      </rPr>
      <t>S2</t>
    </r>
  </si>
  <si>
    <t>[Minimum plate thickness]</t>
  </si>
  <si>
    <t>Sheerstrake</t>
  </si>
  <si>
    <t>Width of the sheerstrake</t>
  </si>
  <si>
    <t>Maximum width of the sheerstrake</t>
  </si>
  <si>
    <r>
      <t>b</t>
    </r>
    <r>
      <rPr>
        <vertAlign val="subscript"/>
        <sz val="11"/>
        <color theme="1"/>
        <rFont val="Calibri"/>
        <family val="2"/>
        <scheme val="minor"/>
      </rPr>
      <t>max</t>
    </r>
  </si>
  <si>
    <t>Thickness of the sheerstrake</t>
  </si>
  <si>
    <t>Bulwark</t>
  </si>
  <si>
    <t>Thickness of bulwark plating</t>
  </si>
  <si>
    <t>Minimum vertical bulwark height</t>
  </si>
  <si>
    <t>Decks</t>
  </si>
  <si>
    <t>[Chapter-1, Section-7]</t>
  </si>
  <si>
    <r>
      <t>c</t>
    </r>
    <r>
      <rPr>
        <vertAlign val="subscript"/>
        <sz val="11"/>
        <color theme="1"/>
        <rFont val="Calibri"/>
        <family val="2"/>
        <scheme val="minor"/>
      </rPr>
      <t>F</t>
    </r>
  </si>
  <si>
    <r>
      <t>p</t>
    </r>
    <r>
      <rPr>
        <vertAlign val="subscript"/>
        <sz val="11"/>
        <color theme="1"/>
        <rFont val="Calibri"/>
        <family val="2"/>
        <scheme val="minor"/>
      </rPr>
      <t>S</t>
    </r>
  </si>
  <si>
    <t>kN</t>
  </si>
  <si>
    <r>
      <t>p</t>
    </r>
    <r>
      <rPr>
        <vertAlign val="subscript"/>
        <sz val="11"/>
        <color theme="1"/>
        <rFont val="Calibri"/>
        <family val="2"/>
        <scheme val="minor"/>
      </rPr>
      <t>L</t>
    </r>
  </si>
  <si>
    <t>Bottom Structures</t>
  </si>
  <si>
    <t>[Chapter-1, Section-8]</t>
  </si>
  <si>
    <t>Center Girder</t>
  </si>
  <si>
    <t>Depth of the center girder</t>
  </si>
  <si>
    <t>h</t>
  </si>
  <si>
    <t>Minimum depth</t>
  </si>
  <si>
    <t>[Minimum depth]</t>
  </si>
  <si>
    <r>
      <t>h</t>
    </r>
    <r>
      <rPr>
        <vertAlign val="subscript"/>
        <sz val="11"/>
        <color theme="1"/>
        <rFont val="Calibri"/>
        <family val="2"/>
        <scheme val="minor"/>
      </rPr>
      <t>min</t>
    </r>
  </si>
  <si>
    <t>Thickness of the center girder</t>
  </si>
  <si>
    <r>
      <t>t</t>
    </r>
    <r>
      <rPr>
        <vertAlign val="subscript"/>
        <sz val="11"/>
        <color theme="1"/>
        <rFont val="Calibri"/>
        <family val="2"/>
        <scheme val="minor"/>
      </rPr>
      <t>m</t>
    </r>
  </si>
  <si>
    <t>Thickness of the side girders</t>
  </si>
  <si>
    <t>Side Girders</t>
  </si>
  <si>
    <t>Longitudinal Girder System</t>
  </si>
  <si>
    <t>Plate thickness of the longitudinal girders</t>
  </si>
  <si>
    <t>[Minimum thickness]</t>
  </si>
  <si>
    <r>
      <t>v</t>
    </r>
    <r>
      <rPr>
        <vertAlign val="subscript"/>
        <sz val="11"/>
        <color theme="1"/>
        <rFont val="Calibri"/>
        <family val="2"/>
        <scheme val="minor"/>
      </rPr>
      <t>0</t>
    </r>
  </si>
  <si>
    <r>
      <t>R</t>
    </r>
    <r>
      <rPr>
        <vertAlign val="subscript"/>
        <sz val="11"/>
        <color theme="1"/>
        <rFont val="Calibri"/>
        <family val="2"/>
        <scheme val="minor"/>
      </rPr>
      <t>eH</t>
    </r>
  </si>
  <si>
    <t>Inner Bottom Plating</t>
  </si>
  <si>
    <t>Thickness of the inner bottom plating</t>
  </si>
  <si>
    <t>Plate Floors</t>
  </si>
  <si>
    <t>Thickness of plate floors</t>
  </si>
  <si>
    <t>tpf</t>
  </si>
  <si>
    <t>Plate thickness of longitudinal girders</t>
  </si>
  <si>
    <t>Floor thickness</t>
  </si>
  <si>
    <t>P</t>
  </si>
  <si>
    <t>HP</t>
  </si>
  <si>
    <t>kW</t>
  </si>
  <si>
    <t>c</t>
  </si>
  <si>
    <t>[minimum]</t>
  </si>
  <si>
    <t>Thickness of longitudinal girders</t>
  </si>
  <si>
    <t>Watertight Bulkheads</t>
  </si>
  <si>
    <t>[Chapter-1, Section-10]</t>
  </si>
  <si>
    <t>Bulkhead Plating</t>
  </si>
  <si>
    <t>cp</t>
  </si>
  <si>
    <t>[collision bulkhead]</t>
  </si>
  <si>
    <t>[others]</t>
  </si>
  <si>
    <t>Thickness of collision bulkhead plating</t>
  </si>
  <si>
    <t>Thickness of other bulkhead plating</t>
  </si>
  <si>
    <t>Items</t>
  </si>
  <si>
    <t>Keel Plate</t>
  </si>
  <si>
    <t>Property</t>
  </si>
  <si>
    <t>Value</t>
  </si>
  <si>
    <t>Bottom Shell Plate</t>
  </si>
  <si>
    <t>Thickness (mm)</t>
  </si>
  <si>
    <t>Width (mm)</t>
  </si>
  <si>
    <t>Flat Keel Plate</t>
  </si>
  <si>
    <t>Side Shell Plate</t>
  </si>
  <si>
    <t>Sheer Strake</t>
  </si>
  <si>
    <t>Bulwark Plate</t>
  </si>
  <si>
    <t>Deck Plate</t>
  </si>
  <si>
    <t>Bottom Longitudinal</t>
  </si>
  <si>
    <t>Dimension</t>
  </si>
  <si>
    <t>Bottom Center Girder</t>
  </si>
  <si>
    <t>Bottom Side Girder</t>
  </si>
  <si>
    <t>Inner Bottom Longitudinal</t>
  </si>
  <si>
    <t>Floor</t>
  </si>
  <si>
    <t>Plating</t>
  </si>
  <si>
    <t>Bottom Structure</t>
  </si>
  <si>
    <t>Side Structure</t>
  </si>
  <si>
    <t>Main Frame</t>
  </si>
  <si>
    <t>Web Frame</t>
  </si>
  <si>
    <t>Side Longitudinal</t>
  </si>
  <si>
    <t>Deck Structure</t>
  </si>
  <si>
    <t>Deck Longitudinal</t>
  </si>
  <si>
    <t>Deck Web</t>
  </si>
  <si>
    <t>Plate</t>
  </si>
  <si>
    <t>Web</t>
  </si>
  <si>
    <t>Vertical Stiffeners</t>
  </si>
  <si>
    <t>Transverse Stiffeners</t>
  </si>
  <si>
    <t>Superstructure</t>
  </si>
  <si>
    <t>Top Plate</t>
  </si>
  <si>
    <t>Side Plate</t>
  </si>
  <si>
    <t>Side Frame</t>
  </si>
  <si>
    <t>L-100x75x7</t>
  </si>
  <si>
    <t>L-125x75x7</t>
  </si>
  <si>
    <t>T-250x175x9</t>
  </si>
  <si>
    <t>L-75x50x9</t>
  </si>
  <si>
    <t>L-90x65x7</t>
  </si>
  <si>
    <t>T-200x100x9</t>
  </si>
  <si>
    <t>T-200x100x10</t>
  </si>
  <si>
    <t>L-150x75x8</t>
  </si>
  <si>
    <t>T-250x200x10</t>
  </si>
  <si>
    <t>L-175x100x8</t>
  </si>
  <si>
    <t>T-850x550x9</t>
  </si>
  <si>
    <t>L-200x150x10</t>
  </si>
  <si>
    <t>T-800x450x7</t>
  </si>
  <si>
    <t>T-900x450x8</t>
  </si>
  <si>
    <t>L-200x150x9</t>
  </si>
  <si>
    <t>[GL-13]</t>
  </si>
  <si>
    <t>Plate Number</t>
  </si>
  <si>
    <t>Type of Plate</t>
  </si>
  <si>
    <t>Bilge Plate</t>
  </si>
  <si>
    <t>Shell Plate</t>
  </si>
  <si>
    <t>K1 - K12: 6000x1000x13
K13: 2630x1000x13</t>
  </si>
  <si>
    <t>B1 - B18: 6000x1550x11</t>
  </si>
  <si>
    <t>BL1: 3145x520x10
BL2 - BL3: 6000x970x10</t>
  </si>
  <si>
    <t>S1 - S24: 6000x2000x11
S25: 6000x850x11</t>
  </si>
  <si>
    <t>(For Shell Expansion Drawing)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</si>
</sst>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quotePrefix="1" applyFont="1"/>
    <xf numFmtId="0" fontId="1" fillId="0" borderId="0" xfId="0" applyFont="1"/>
    <xf numFmtId="0" fontId="4" fillId="0" borderId="0" xfId="0" applyFont="1"/>
    <xf numFmtId="0" fontId="2" fillId="0" borderId="0" xfId="0" applyFont="1"/>
    <xf numFmtId="0" fontId="1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/>
    <xf numFmtId="0" fontId="0" fillId="4" borderId="0" xfId="0" applyFill="1"/>
    <xf numFmtId="0" fontId="0" fillId="0" borderId="0" xfId="0" applyAlignment="1">
      <alignment horizontal="center" vertical="center"/>
    </xf>
    <xf numFmtId="0" fontId="0" fillId="7" borderId="0" xfId="0" applyFill="1"/>
    <xf numFmtId="0" fontId="0" fillId="7" borderId="0" xfId="0" applyFill="1" applyAlignment="1">
      <alignment horizontal="right"/>
    </xf>
    <xf numFmtId="0" fontId="0" fillId="0" borderId="0" xfId="0" applyAlignment="1">
      <alignment horizontal="right"/>
    </xf>
    <xf numFmtId="0" fontId="1" fillId="5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5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1"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266700</xdr:colOff>
      <xdr:row>13</xdr:row>
      <xdr:rowOff>0</xdr:rowOff>
    </xdr:from>
    <xdr:to>
      <xdr:col>18</xdr:col>
      <xdr:colOff>292415</xdr:colOff>
      <xdr:row>17</xdr:row>
      <xdr:rowOff>139746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0350" y="1841500"/>
          <a:ext cx="6121715" cy="901746"/>
        </a:xfrm>
        <a:prstGeom prst="rect">
          <a:avLst/>
        </a:prstGeom>
      </xdr:spPr>
    </xdr:pic>
    <xdr:clientData/>
  </xdr:twoCellAnchor>
  <xdr:twoCellAnchor editAs="oneCell">
    <xdr:from>
      <xdr:col>8</xdr:col>
      <xdr:colOff>298450</xdr:colOff>
      <xdr:row>18</xdr:row>
      <xdr:rowOff>146050</xdr:rowOff>
    </xdr:from>
    <xdr:to>
      <xdr:col>15</xdr:col>
      <xdr:colOff>508230</xdr:colOff>
      <xdr:row>20</xdr:row>
      <xdr:rowOff>127018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2100" y="2908300"/>
          <a:ext cx="4476980" cy="349268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122</xdr:row>
      <xdr:rowOff>6350</xdr:rowOff>
    </xdr:from>
    <xdr:to>
      <xdr:col>10</xdr:col>
      <xdr:colOff>368617</xdr:colOff>
      <xdr:row>131</xdr:row>
      <xdr:rowOff>88989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" y="5162550"/>
          <a:ext cx="6172517" cy="1739989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163</xdr:row>
      <xdr:rowOff>158750</xdr:rowOff>
    </xdr:from>
    <xdr:to>
      <xdr:col>10</xdr:col>
      <xdr:colOff>273362</xdr:colOff>
      <xdr:row>167</xdr:row>
      <xdr:rowOff>95285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3250" y="12992100"/>
          <a:ext cx="6064562" cy="673135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144</xdr:row>
      <xdr:rowOff>165100</xdr:rowOff>
    </xdr:from>
    <xdr:to>
      <xdr:col>10</xdr:col>
      <xdr:colOff>438466</xdr:colOff>
      <xdr:row>156</xdr:row>
      <xdr:rowOff>44583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8964"/>
        <a:stretch/>
      </xdr:blipFill>
      <xdr:spPr>
        <a:xfrm>
          <a:off x="692150" y="9499600"/>
          <a:ext cx="6140766" cy="2089283"/>
        </a:xfrm>
        <a:prstGeom prst="rect">
          <a:avLst/>
        </a:prstGeom>
      </xdr:spPr>
    </xdr:pic>
    <xdr:clientData/>
  </xdr:twoCellAnchor>
  <xdr:oneCellAnchor>
    <xdr:from>
      <xdr:col>5</xdr:col>
      <xdr:colOff>590550</xdr:colOff>
      <xdr:row>135</xdr:row>
      <xdr:rowOff>171450</xdr:rowOff>
    </xdr:from>
    <xdr:ext cx="1236684" cy="19915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49B3B1C9-4099-4EFF-85C1-65DD75EC8876}"/>
                </a:ext>
              </a:extLst>
            </xdr:cNvPr>
            <xdr:cNvSpPr txBox="1"/>
          </xdr:nvSpPr>
          <xdr:spPr>
            <a:xfrm>
              <a:off x="3835400" y="7772400"/>
              <a:ext cx="1236684" cy="1991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𝑡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𝑐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∗</m:t>
                    </m:r>
                    <m:rad>
                      <m:radPr>
                        <m:degHide m:val="on"/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radPr>
                      <m:deg/>
                      <m:e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𝐿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∗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</m:e>
                    </m:rad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49B3B1C9-4099-4EFF-85C1-65DD75EC8876}"/>
                </a:ext>
              </a:extLst>
            </xdr:cNvPr>
            <xdr:cNvSpPr txBox="1"/>
          </xdr:nvSpPr>
          <xdr:spPr>
            <a:xfrm>
              <a:off x="3835400" y="7772400"/>
              <a:ext cx="1236684" cy="1991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𝑡=𝑐_1∗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√(𝐿∗𝑘)+𝑡_𝑘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6</xdr:col>
      <xdr:colOff>0</xdr:colOff>
      <xdr:row>139</xdr:row>
      <xdr:rowOff>0</xdr:rowOff>
    </xdr:from>
    <xdr:ext cx="1784719" cy="21005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2334423C-C31A-4B18-A8D4-7D303FA156A5}"/>
                </a:ext>
              </a:extLst>
            </xdr:cNvPr>
            <xdr:cNvSpPr txBox="1"/>
          </xdr:nvSpPr>
          <xdr:spPr>
            <a:xfrm>
              <a:off x="3854450" y="8362950"/>
              <a:ext cx="1784719" cy="2100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𝑡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=1.9∗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𝑛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𝑓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∗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𝑎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∗</m:t>
                    </m:r>
                    <m:rad>
                      <m:radPr>
                        <m:degHide m:val="on"/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radPr>
                      <m:deg/>
                      <m:e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𝐿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∗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</m:e>
                    </m:rad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2334423C-C31A-4B18-A8D4-7D303FA156A5}"/>
                </a:ext>
              </a:extLst>
            </xdr:cNvPr>
            <xdr:cNvSpPr txBox="1"/>
          </xdr:nvSpPr>
          <xdr:spPr>
            <a:xfrm>
              <a:off x="3854450" y="8362950"/>
              <a:ext cx="1784719" cy="2100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𝑡=1.9∗𝑛_𝑓∗𝑎∗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√(𝐿∗𝑘)+𝑡_𝑘</a:t>
              </a:r>
              <a:endParaRPr lang="en-US" sz="1100"/>
            </a:p>
          </xdr:txBody>
        </xdr:sp>
      </mc:Fallback>
    </mc:AlternateContent>
    <xdr:clientData/>
  </xdr:oneCellAnchor>
  <xdr:twoCellAnchor editAs="oneCell">
    <xdr:from>
      <xdr:col>0</xdr:col>
      <xdr:colOff>603250</xdr:colOff>
      <xdr:row>172</xdr:row>
      <xdr:rowOff>177800</xdr:rowOff>
    </xdr:from>
    <xdr:to>
      <xdr:col>10</xdr:col>
      <xdr:colOff>267011</xdr:colOff>
      <xdr:row>175</xdr:row>
      <xdr:rowOff>31771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3250" y="14668500"/>
          <a:ext cx="6058211" cy="406421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186</xdr:row>
      <xdr:rowOff>146050</xdr:rowOff>
    </xdr:from>
    <xdr:to>
      <xdr:col>10</xdr:col>
      <xdr:colOff>254311</xdr:colOff>
      <xdr:row>197</xdr:row>
      <xdr:rowOff>177906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3250" y="17214850"/>
          <a:ext cx="6045511" cy="205750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6350</xdr:rowOff>
    </xdr:from>
    <xdr:to>
      <xdr:col>9</xdr:col>
      <xdr:colOff>330311</xdr:colOff>
      <xdr:row>31</xdr:row>
      <xdr:rowOff>88933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54450" y="4978400"/>
          <a:ext cx="2159111" cy="635033"/>
        </a:xfrm>
        <a:prstGeom prst="rect">
          <a:avLst/>
        </a:prstGeom>
      </xdr:spPr>
    </xdr:pic>
    <xdr:clientData/>
  </xdr:twoCellAnchor>
  <xdr:twoCellAnchor editAs="oneCell">
    <xdr:from>
      <xdr:col>5</xdr:col>
      <xdr:colOff>603250</xdr:colOff>
      <xdr:row>31</xdr:row>
      <xdr:rowOff>165100</xdr:rowOff>
    </xdr:from>
    <xdr:to>
      <xdr:col>9</xdr:col>
      <xdr:colOff>317611</xdr:colOff>
      <xdr:row>34</xdr:row>
      <xdr:rowOff>63524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48100" y="5689600"/>
          <a:ext cx="2152761" cy="476274"/>
        </a:xfrm>
        <a:prstGeom prst="rect">
          <a:avLst/>
        </a:prstGeom>
      </xdr:spPr>
    </xdr:pic>
    <xdr:clientData/>
  </xdr:twoCellAnchor>
  <xdr:twoCellAnchor editAs="oneCell">
    <xdr:from>
      <xdr:col>5</xdr:col>
      <xdr:colOff>596900</xdr:colOff>
      <xdr:row>66</xdr:row>
      <xdr:rowOff>171450</xdr:rowOff>
    </xdr:from>
    <xdr:to>
      <xdr:col>15</xdr:col>
      <xdr:colOff>578162</xdr:colOff>
      <xdr:row>70</xdr:row>
      <xdr:rowOff>76236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41750" y="12192000"/>
          <a:ext cx="6077262" cy="69218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177800</xdr:rowOff>
    </xdr:from>
    <xdr:to>
      <xdr:col>10</xdr:col>
      <xdr:colOff>285890</xdr:colOff>
      <xdr:row>38</xdr:row>
      <xdr:rowOff>101626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54450" y="6464300"/>
          <a:ext cx="2724290" cy="501676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39</xdr:row>
      <xdr:rowOff>177800</xdr:rowOff>
    </xdr:from>
    <xdr:to>
      <xdr:col>12</xdr:col>
      <xdr:colOff>597118</xdr:colOff>
      <xdr:row>45</xdr:row>
      <xdr:rowOff>6399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73500" y="7226300"/>
          <a:ext cx="4235668" cy="958899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51</xdr:row>
      <xdr:rowOff>25400</xdr:rowOff>
    </xdr:from>
    <xdr:to>
      <xdr:col>12</xdr:col>
      <xdr:colOff>514564</xdr:colOff>
      <xdr:row>54</xdr:row>
      <xdr:rowOff>63532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67150" y="9334500"/>
          <a:ext cx="4159464" cy="61598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</xdr:row>
      <xdr:rowOff>177800</xdr:rowOff>
    </xdr:from>
    <xdr:to>
      <xdr:col>13</xdr:col>
      <xdr:colOff>597150</xdr:colOff>
      <xdr:row>49</xdr:row>
      <xdr:rowOff>82575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54450" y="8540750"/>
          <a:ext cx="4864350" cy="482625"/>
        </a:xfrm>
        <a:prstGeom prst="rect">
          <a:avLst/>
        </a:prstGeom>
      </xdr:spPr>
    </xdr:pic>
    <xdr:clientData/>
  </xdr:twoCellAnchor>
  <xdr:twoCellAnchor editAs="oneCell">
    <xdr:from>
      <xdr:col>6</xdr:col>
      <xdr:colOff>6350</xdr:colOff>
      <xdr:row>55</xdr:row>
      <xdr:rowOff>177800</xdr:rowOff>
    </xdr:from>
    <xdr:to>
      <xdr:col>15</xdr:col>
      <xdr:colOff>597212</xdr:colOff>
      <xdr:row>65</xdr:row>
      <xdr:rowOff>38187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60800" y="10172700"/>
          <a:ext cx="6077262" cy="1701887"/>
        </a:xfrm>
        <a:prstGeom prst="rect">
          <a:avLst/>
        </a:prstGeom>
      </xdr:spPr>
    </xdr:pic>
    <xdr:clientData/>
  </xdr:twoCellAnchor>
  <xdr:twoCellAnchor editAs="oneCell">
    <xdr:from>
      <xdr:col>8</xdr:col>
      <xdr:colOff>596900</xdr:colOff>
      <xdr:row>83</xdr:row>
      <xdr:rowOff>165100</xdr:rowOff>
    </xdr:from>
    <xdr:to>
      <xdr:col>16</xdr:col>
      <xdr:colOff>241532</xdr:colOff>
      <xdr:row>90</xdr:row>
      <xdr:rowOff>152471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70550" y="14363700"/>
          <a:ext cx="4521432" cy="1378021"/>
        </a:xfrm>
        <a:prstGeom prst="rect">
          <a:avLst/>
        </a:prstGeom>
      </xdr:spPr>
    </xdr:pic>
    <xdr:clientData/>
  </xdr:twoCellAnchor>
  <xdr:twoCellAnchor editAs="oneCell">
    <xdr:from>
      <xdr:col>8</xdr:col>
      <xdr:colOff>603250</xdr:colOff>
      <xdr:row>92</xdr:row>
      <xdr:rowOff>190500</xdr:rowOff>
    </xdr:from>
    <xdr:to>
      <xdr:col>16</xdr:col>
      <xdr:colOff>324086</xdr:colOff>
      <xdr:row>97</xdr:row>
      <xdr:rowOff>63543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76900" y="16173450"/>
          <a:ext cx="4597636" cy="84459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98</xdr:row>
      <xdr:rowOff>158750</xdr:rowOff>
    </xdr:from>
    <xdr:to>
      <xdr:col>18</xdr:col>
      <xdr:colOff>387652</xdr:colOff>
      <xdr:row>106</xdr:row>
      <xdr:rowOff>31820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83250" y="17297400"/>
          <a:ext cx="5874052" cy="1371670"/>
        </a:xfrm>
        <a:prstGeom prst="rect">
          <a:avLst/>
        </a:prstGeom>
      </xdr:spPr>
    </xdr:pic>
    <xdr:clientData/>
  </xdr:twoCellAnchor>
  <xdr:twoCellAnchor editAs="oneCell">
    <xdr:from>
      <xdr:col>7</xdr:col>
      <xdr:colOff>603250</xdr:colOff>
      <xdr:row>111</xdr:row>
      <xdr:rowOff>152400</xdr:rowOff>
    </xdr:from>
    <xdr:to>
      <xdr:col>14</xdr:col>
      <xdr:colOff>508214</xdr:colOff>
      <xdr:row>115</xdr:row>
      <xdr:rowOff>82584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067300" y="19685000"/>
          <a:ext cx="4172164" cy="666784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211</xdr:row>
      <xdr:rowOff>0</xdr:rowOff>
    </xdr:from>
    <xdr:to>
      <xdr:col>10</xdr:col>
      <xdr:colOff>324164</xdr:colOff>
      <xdr:row>225</xdr:row>
      <xdr:rowOff>19183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3250" y="38150800"/>
          <a:ext cx="6115364" cy="2597283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225</xdr:row>
      <xdr:rowOff>133350</xdr:rowOff>
    </xdr:from>
    <xdr:to>
      <xdr:col>10</xdr:col>
      <xdr:colOff>305113</xdr:colOff>
      <xdr:row>228</xdr:row>
      <xdr:rowOff>25423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5950" y="40862250"/>
          <a:ext cx="6083613" cy="444523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239</xdr:row>
      <xdr:rowOff>31750</xdr:rowOff>
    </xdr:from>
    <xdr:to>
      <xdr:col>9</xdr:col>
      <xdr:colOff>597197</xdr:colOff>
      <xdr:row>246</xdr:row>
      <xdr:rowOff>63568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3250" y="43364150"/>
          <a:ext cx="5778797" cy="13208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88900</xdr:rowOff>
    </xdr:from>
    <xdr:to>
      <xdr:col>10</xdr:col>
      <xdr:colOff>292412</xdr:colOff>
      <xdr:row>256</xdr:row>
      <xdr:rowOff>38135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45815250"/>
          <a:ext cx="6077262" cy="685835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265</xdr:row>
      <xdr:rowOff>6350</xdr:rowOff>
    </xdr:from>
    <xdr:to>
      <xdr:col>10</xdr:col>
      <xdr:colOff>330515</xdr:colOff>
      <xdr:row>271</xdr:row>
      <xdr:rowOff>31808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3250" y="48126650"/>
          <a:ext cx="6121715" cy="1130358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276</xdr:row>
      <xdr:rowOff>57150</xdr:rowOff>
    </xdr:from>
    <xdr:to>
      <xdr:col>8</xdr:col>
      <xdr:colOff>546362</xdr:colOff>
      <xdr:row>278</xdr:row>
      <xdr:rowOff>38118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15950" y="50203100"/>
          <a:ext cx="5105662" cy="349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8</xdr:col>
      <xdr:colOff>127241</xdr:colOff>
      <xdr:row>292</xdr:row>
      <xdr:rowOff>114325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54032150"/>
          <a:ext cx="4692891" cy="482625"/>
        </a:xfrm>
        <a:prstGeom prst="rect">
          <a:avLst/>
        </a:prstGeom>
      </xdr:spPr>
    </xdr:pic>
    <xdr:clientData/>
  </xdr:twoCellAnchor>
  <xdr:twoCellAnchor editAs="oneCell">
    <xdr:from>
      <xdr:col>6</xdr:col>
      <xdr:colOff>6350</xdr:colOff>
      <xdr:row>71</xdr:row>
      <xdr:rowOff>203200</xdr:rowOff>
    </xdr:from>
    <xdr:to>
      <xdr:col>16</xdr:col>
      <xdr:colOff>25714</xdr:colOff>
      <xdr:row>77</xdr:row>
      <xdr:rowOff>50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962400" y="13296900"/>
          <a:ext cx="6115364" cy="97795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328</xdr:row>
      <xdr:rowOff>165100</xdr:rowOff>
    </xdr:from>
    <xdr:to>
      <xdr:col>10</xdr:col>
      <xdr:colOff>70151</xdr:colOff>
      <xdr:row>334</xdr:row>
      <xdr:rowOff>69902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15950" y="57721500"/>
          <a:ext cx="5848651" cy="1009702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341</xdr:row>
      <xdr:rowOff>101600</xdr:rowOff>
    </xdr:from>
    <xdr:to>
      <xdr:col>10</xdr:col>
      <xdr:colOff>209858</xdr:colOff>
      <xdr:row>346</xdr:row>
      <xdr:rowOff>63545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15950" y="60077350"/>
          <a:ext cx="5988358" cy="88269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355</xdr:row>
      <xdr:rowOff>171450</xdr:rowOff>
    </xdr:from>
    <xdr:to>
      <xdr:col>9</xdr:col>
      <xdr:colOff>279679</xdr:colOff>
      <xdr:row>359</xdr:row>
      <xdr:rowOff>146087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28650" y="66249550"/>
          <a:ext cx="5435879" cy="711237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310</xdr:row>
      <xdr:rowOff>114300</xdr:rowOff>
    </xdr:from>
    <xdr:to>
      <xdr:col>10</xdr:col>
      <xdr:colOff>368617</xdr:colOff>
      <xdr:row>317</xdr:row>
      <xdr:rowOff>101666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3250" y="57829450"/>
          <a:ext cx="6159817" cy="127641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368</xdr:row>
      <xdr:rowOff>31750</xdr:rowOff>
    </xdr:from>
    <xdr:to>
      <xdr:col>10</xdr:col>
      <xdr:colOff>330513</xdr:colOff>
      <xdr:row>371</xdr:row>
      <xdr:rowOff>171486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28650" y="68554600"/>
          <a:ext cx="6096313" cy="69218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380</xdr:row>
      <xdr:rowOff>31750</xdr:rowOff>
    </xdr:from>
    <xdr:to>
      <xdr:col>10</xdr:col>
      <xdr:colOff>12997</xdr:colOff>
      <xdr:row>384</xdr:row>
      <xdr:rowOff>120692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28650" y="70764400"/>
          <a:ext cx="5778797" cy="82554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412</xdr:row>
      <xdr:rowOff>12700</xdr:rowOff>
    </xdr:from>
    <xdr:to>
      <xdr:col>10</xdr:col>
      <xdr:colOff>381316</xdr:colOff>
      <xdr:row>418</xdr:row>
      <xdr:rowOff>152464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22300" y="73323450"/>
          <a:ext cx="6153466" cy="124466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391</xdr:row>
      <xdr:rowOff>177800</xdr:rowOff>
    </xdr:from>
    <xdr:to>
      <xdr:col>10</xdr:col>
      <xdr:colOff>374966</xdr:colOff>
      <xdr:row>403</xdr:row>
      <xdr:rowOff>50907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28650" y="72936100"/>
          <a:ext cx="6140766" cy="208290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424</xdr:row>
      <xdr:rowOff>158750</xdr:rowOff>
    </xdr:from>
    <xdr:to>
      <xdr:col>10</xdr:col>
      <xdr:colOff>324163</xdr:colOff>
      <xdr:row>429</xdr:row>
      <xdr:rowOff>101644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35000" y="78994000"/>
          <a:ext cx="6083613" cy="863644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445</xdr:row>
      <xdr:rowOff>101600</xdr:rowOff>
    </xdr:from>
    <xdr:to>
      <xdr:col>10</xdr:col>
      <xdr:colOff>247960</xdr:colOff>
      <xdr:row>450</xdr:row>
      <xdr:rowOff>76246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3250" y="82804000"/>
          <a:ext cx="6039160" cy="895396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450</xdr:row>
      <xdr:rowOff>50801</xdr:rowOff>
    </xdr:from>
    <xdr:to>
      <xdr:col>10</xdr:col>
      <xdr:colOff>489271</xdr:colOff>
      <xdr:row>456</xdr:row>
      <xdr:rowOff>38101</xdr:rowOff>
    </xdr:to>
    <xdr:pic>
      <xdr:nvPicPr>
        <xdr:cNvPr id="41" name="Picture 40"/>
        <xdr:cNvPicPr>
          <a:picLocks noChangeAspect="1"/>
        </xdr:cNvPicPr>
      </xdr:nvPicPr>
      <xdr:blipFill rotWithShape="1">
        <a:blip xmlns:r="http://schemas.openxmlformats.org/officeDocument/2006/relationships" r:embed="rId38"/>
        <a:srcRect b="35824"/>
        <a:stretch/>
      </xdr:blipFill>
      <xdr:spPr>
        <a:xfrm>
          <a:off x="635000" y="83305651"/>
          <a:ext cx="6248721" cy="10922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2" name="Table2" displayName="Table2" ref="F56:H60" totalsRowShown="0" headerRowDxfId="0">
  <autoFilter ref="F56:H60"/>
  <tableColumns count="3">
    <tableColumn id="1" name="Type of Plate"/>
    <tableColumn id="2" name="Dimension"/>
    <tableColumn id="3" name="Plate Number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444"/>
  <sheetViews>
    <sheetView zoomScaleNormal="100" workbookViewId="0"/>
  </sheetViews>
  <sheetFormatPr defaultRowHeight="14.5" x14ac:dyDescent="0.35"/>
  <cols>
    <col min="3" max="3" width="11.54296875" customWidth="1"/>
    <col min="4" max="4" width="10.1796875" customWidth="1"/>
    <col min="5" max="5" width="8.7265625" customWidth="1"/>
  </cols>
  <sheetData>
    <row r="2" spans="2:9" ht="18.5" x14ac:dyDescent="0.45">
      <c r="I2" s="16" t="s">
        <v>171</v>
      </c>
    </row>
    <row r="3" spans="2:9" x14ac:dyDescent="0.35">
      <c r="B3" s="5" t="s">
        <v>12</v>
      </c>
      <c r="C3" s="5"/>
    </row>
    <row r="5" spans="2:9" x14ac:dyDescent="0.35">
      <c r="B5" t="s">
        <v>0</v>
      </c>
      <c r="C5">
        <v>76.400000000000006</v>
      </c>
      <c r="D5" t="s">
        <v>1</v>
      </c>
    </row>
    <row r="6" spans="2:9" x14ac:dyDescent="0.35">
      <c r="B6" t="s">
        <v>2</v>
      </c>
      <c r="C6">
        <v>74.400000000000006</v>
      </c>
      <c r="D6" t="s">
        <v>1</v>
      </c>
      <c r="E6" s="1" t="s">
        <v>7</v>
      </c>
    </row>
    <row r="7" spans="2:9" x14ac:dyDescent="0.35">
      <c r="B7" t="s">
        <v>3</v>
      </c>
      <c r="C7">
        <v>13.54</v>
      </c>
      <c r="D7" t="s">
        <v>1</v>
      </c>
    </row>
    <row r="8" spans="2:9" x14ac:dyDescent="0.35">
      <c r="B8" t="s">
        <v>4</v>
      </c>
      <c r="C8">
        <v>5.0999999999999996</v>
      </c>
      <c r="D8" t="s">
        <v>1</v>
      </c>
    </row>
    <row r="9" spans="2:9" x14ac:dyDescent="0.35">
      <c r="B9" t="s">
        <v>5</v>
      </c>
      <c r="C9">
        <v>3.85</v>
      </c>
      <c r="D9" t="s">
        <v>1</v>
      </c>
    </row>
    <row r="10" spans="2:9" x14ac:dyDescent="0.35">
      <c r="B10" t="s">
        <v>6</v>
      </c>
      <c r="C10">
        <v>0.79</v>
      </c>
    </row>
    <row r="11" spans="2:9" ht="16.5" x14ac:dyDescent="0.45">
      <c r="B11" t="s">
        <v>98</v>
      </c>
      <c r="C11">
        <v>10</v>
      </c>
      <c r="D11" t="s">
        <v>44</v>
      </c>
    </row>
    <row r="12" spans="2:9" x14ac:dyDescent="0.35">
      <c r="C12">
        <f xml:space="preserve"> 10*0.5144</f>
        <v>5.1440000000000001</v>
      </c>
      <c r="D12" t="s">
        <v>45</v>
      </c>
    </row>
    <row r="14" spans="2:9" x14ac:dyDescent="0.35">
      <c r="B14" t="s">
        <v>33</v>
      </c>
      <c r="C14">
        <v>0.78</v>
      </c>
      <c r="F14" t="s">
        <v>9</v>
      </c>
    </row>
    <row r="15" spans="2:9" ht="16.5" x14ac:dyDescent="0.45">
      <c r="B15" t="s">
        <v>99</v>
      </c>
      <c r="C15">
        <v>315</v>
      </c>
      <c r="D15" t="s">
        <v>8</v>
      </c>
    </row>
    <row r="26" spans="2:6" x14ac:dyDescent="0.35">
      <c r="B26" s="5" t="s">
        <v>10</v>
      </c>
      <c r="C26" s="6"/>
      <c r="D26" s="6"/>
      <c r="F26" t="s">
        <v>11</v>
      </c>
    </row>
    <row r="27" spans="2:6" x14ac:dyDescent="0.35">
      <c r="B27" s="6"/>
      <c r="C27" s="6"/>
      <c r="D27" s="6"/>
    </row>
    <row r="29" spans="2:6" x14ac:dyDescent="0.35">
      <c r="B29" t="s">
        <v>43</v>
      </c>
      <c r="D29">
        <f xml:space="preserve"> 0.11*C11/(C6)^0.5</f>
        <v>0.12752819633404627</v>
      </c>
    </row>
    <row r="31" spans="2:6" x14ac:dyDescent="0.35">
      <c r="B31" t="s">
        <v>1</v>
      </c>
      <c r="D31">
        <v>1</v>
      </c>
    </row>
    <row r="33" spans="2:4" ht="16.5" x14ac:dyDescent="0.45">
      <c r="B33" t="s">
        <v>46</v>
      </c>
      <c r="D33">
        <f xml:space="preserve"> 1.5 + D29</f>
        <v>1.6275281963340462</v>
      </c>
    </row>
    <row r="37" spans="2:4" ht="16.5" x14ac:dyDescent="0.45">
      <c r="B37" t="s">
        <v>47</v>
      </c>
      <c r="D37">
        <f xml:space="preserve"> D29*D31</f>
        <v>0.12752819633404627</v>
      </c>
    </row>
    <row r="41" spans="2:4" ht="16.5" x14ac:dyDescent="0.45">
      <c r="B41" t="s">
        <v>52</v>
      </c>
      <c r="D41">
        <f xml:space="preserve"> (C6/90)^0.5</f>
        <v>0.90921211313239048</v>
      </c>
    </row>
    <row r="48" spans="2:4" ht="16.5" x14ac:dyDescent="0.45">
      <c r="B48" t="s">
        <v>53</v>
      </c>
      <c r="D48">
        <v>1</v>
      </c>
    </row>
    <row r="52" spans="2:4" ht="16.5" x14ac:dyDescent="0.45">
      <c r="B52" t="s">
        <v>54</v>
      </c>
      <c r="D52">
        <f xml:space="preserve"> (C6/25 + 4.1)*D48</f>
        <v>7.0760000000000005</v>
      </c>
    </row>
    <row r="57" spans="2:4" x14ac:dyDescent="0.35">
      <c r="B57" t="s">
        <v>48</v>
      </c>
      <c r="D57">
        <v>1</v>
      </c>
    </row>
    <row r="58" spans="2:4" x14ac:dyDescent="0.35">
      <c r="D58">
        <v>0.75</v>
      </c>
    </row>
    <row r="59" spans="2:4" x14ac:dyDescent="0.35">
      <c r="D59">
        <v>0.6</v>
      </c>
    </row>
    <row r="68" spans="2:5" ht="16.5" x14ac:dyDescent="0.45">
      <c r="B68" t="s">
        <v>55</v>
      </c>
      <c r="D68">
        <f xml:space="preserve"> 2.1*(C10+0.7)*D52*D41*D58</f>
        <v>15.098015393467564</v>
      </c>
      <c r="E68" t="s">
        <v>51</v>
      </c>
    </row>
    <row r="69" spans="2:5" ht="16.5" x14ac:dyDescent="0.45"/>
    <row r="71" spans="2:5" ht="16.5" x14ac:dyDescent="0.45"/>
    <row r="72" spans="2:5" ht="16.5" x14ac:dyDescent="0.45"/>
    <row r="73" spans="2:5" ht="16.5" x14ac:dyDescent="0.45">
      <c r="B73" t="s">
        <v>82</v>
      </c>
      <c r="D73">
        <f>G85*(1+D37)</f>
        <v>28.089676009667873</v>
      </c>
      <c r="E73" t="s">
        <v>81</v>
      </c>
    </row>
    <row r="74" spans="2:5" ht="16.5" x14ac:dyDescent="0.45"/>
    <row r="78" spans="2:5" x14ac:dyDescent="0.35">
      <c r="B78" t="s">
        <v>56</v>
      </c>
      <c r="D78">
        <v>3</v>
      </c>
    </row>
    <row r="79" spans="2:5" ht="16.5" x14ac:dyDescent="0.45">
      <c r="B79" t="s">
        <v>79</v>
      </c>
      <c r="D79">
        <v>1</v>
      </c>
    </row>
    <row r="80" spans="2:5" ht="16.5" x14ac:dyDescent="0.45">
      <c r="B80" t="s">
        <v>57</v>
      </c>
      <c r="D80">
        <v>1</v>
      </c>
    </row>
    <row r="81" spans="2:8" ht="16.5" x14ac:dyDescent="0.45"/>
    <row r="83" spans="2:8" x14ac:dyDescent="0.35">
      <c r="B83" s="2" t="s">
        <v>49</v>
      </c>
    </row>
    <row r="85" spans="2:8" ht="16.5" x14ac:dyDescent="0.45">
      <c r="B85" t="s">
        <v>50</v>
      </c>
      <c r="E85" t="s">
        <v>58</v>
      </c>
      <c r="G85">
        <f xml:space="preserve"> D68*((20*C9)/((10+D78-C9)*C8))*D80</f>
        <v>24.912615135476319</v>
      </c>
      <c r="H85" t="s">
        <v>59</v>
      </c>
    </row>
    <row r="86" spans="2:8" ht="16.5" x14ac:dyDescent="0.45"/>
    <row r="87" spans="2:8" ht="16.5" x14ac:dyDescent="0.45"/>
    <row r="89" spans="2:8" ht="16.5" x14ac:dyDescent="0.45"/>
    <row r="92" spans="2:8" ht="16.5" x14ac:dyDescent="0.45"/>
    <row r="93" spans="2:8" ht="16.5" x14ac:dyDescent="0.45"/>
    <row r="94" spans="2:8" ht="16.5" x14ac:dyDescent="0.45">
      <c r="B94" t="s">
        <v>60</v>
      </c>
      <c r="E94" t="s">
        <v>61</v>
      </c>
      <c r="G94">
        <f xml:space="preserve"> 10*C9+D68</f>
        <v>53.598015393467563</v>
      </c>
      <c r="H94" t="s">
        <v>59</v>
      </c>
    </row>
    <row r="100" spans="2:8" ht="16.5" x14ac:dyDescent="0.45">
      <c r="B100" t="s">
        <v>62</v>
      </c>
      <c r="E100" t="s">
        <v>80</v>
      </c>
      <c r="G100">
        <f>10*(C9-D78)+D68*(1+D78/C9)</f>
        <v>35.362702713052684</v>
      </c>
      <c r="H100" t="s">
        <v>59</v>
      </c>
    </row>
    <row r="110" spans="2:8" x14ac:dyDescent="0.35">
      <c r="B110" s="5" t="s">
        <v>13</v>
      </c>
      <c r="C110" s="6"/>
      <c r="D110" s="6"/>
      <c r="F110" t="s">
        <v>14</v>
      </c>
    </row>
    <row r="111" spans="2:8" x14ac:dyDescent="0.35">
      <c r="B111" s="6"/>
      <c r="C111" s="6"/>
      <c r="D111" s="6"/>
    </row>
    <row r="113" spans="2:12" x14ac:dyDescent="0.35">
      <c r="B113" t="s">
        <v>63</v>
      </c>
      <c r="F113">
        <f xml:space="preserve"> (0.8+C6/450)*230/C14</f>
        <v>284.64957264957263</v>
      </c>
      <c r="G113" t="s">
        <v>8</v>
      </c>
    </row>
    <row r="114" spans="2:12" x14ac:dyDescent="0.35">
      <c r="F114">
        <v>285</v>
      </c>
      <c r="G114" t="s">
        <v>8</v>
      </c>
    </row>
    <row r="118" spans="2:12" ht="16.5" x14ac:dyDescent="0.45">
      <c r="B118" s="2" t="s">
        <v>15</v>
      </c>
      <c r="E118" t="s">
        <v>17</v>
      </c>
      <c r="F118">
        <f xml:space="preserve"> 1*(C6*C14)^0.5 + J119</f>
        <v>10.117873719089861</v>
      </c>
      <c r="G118" t="s">
        <v>19</v>
      </c>
      <c r="I118" t="s">
        <v>20</v>
      </c>
      <c r="J118">
        <v>1</v>
      </c>
      <c r="L118" t="s">
        <v>18</v>
      </c>
    </row>
    <row r="119" spans="2:12" ht="16.5" x14ac:dyDescent="0.45">
      <c r="F119" s="8">
        <v>11</v>
      </c>
      <c r="G119" t="s">
        <v>19</v>
      </c>
      <c r="I119" t="s">
        <v>21</v>
      </c>
      <c r="J119">
        <v>2.5</v>
      </c>
      <c r="K119" t="s">
        <v>19</v>
      </c>
      <c r="L119" s="3" t="s">
        <v>27</v>
      </c>
    </row>
    <row r="135" spans="2:17" x14ac:dyDescent="0.35">
      <c r="B135" s="2" t="s">
        <v>28</v>
      </c>
    </row>
    <row r="137" spans="2:17" ht="16.5" x14ac:dyDescent="0.45">
      <c r="B137" t="s">
        <v>29</v>
      </c>
      <c r="F137" t="s">
        <v>32</v>
      </c>
      <c r="J137">
        <f xml:space="preserve"> J118*(C6*C14)^0.5+J119</f>
        <v>10.117873719089861</v>
      </c>
      <c r="K137" t="s">
        <v>19</v>
      </c>
      <c r="N137" t="s">
        <v>30</v>
      </c>
      <c r="O137">
        <v>0.83</v>
      </c>
      <c r="Q137" t="s">
        <v>35</v>
      </c>
    </row>
    <row r="138" spans="2:17" x14ac:dyDescent="0.35">
      <c r="J138">
        <v>11</v>
      </c>
      <c r="K138" t="s">
        <v>19</v>
      </c>
      <c r="N138" t="s">
        <v>31</v>
      </c>
      <c r="O138">
        <v>550</v>
      </c>
      <c r="P138" t="s">
        <v>19</v>
      </c>
      <c r="Q138" s="4" t="s">
        <v>40</v>
      </c>
    </row>
    <row r="139" spans="2:17" x14ac:dyDescent="0.35">
      <c r="O139">
        <v>0.55000000000000004</v>
      </c>
      <c r="P139" t="s">
        <v>1</v>
      </c>
    </row>
    <row r="140" spans="2:17" ht="16.5" x14ac:dyDescent="0.45">
      <c r="F140" t="s">
        <v>34</v>
      </c>
      <c r="J140">
        <f xml:space="preserve"> 1.9 * O137 * O139*(C6*C14)^0.5 + J119</f>
        <v>9.1073627702525926</v>
      </c>
      <c r="K140" t="s">
        <v>19</v>
      </c>
    </row>
    <row r="141" spans="2:17" x14ac:dyDescent="0.35">
      <c r="J141">
        <v>10</v>
      </c>
      <c r="K141" t="s">
        <v>19</v>
      </c>
    </row>
    <row r="143" spans="2:17" ht="16.5" x14ac:dyDescent="0.45">
      <c r="E143" t="s">
        <v>38</v>
      </c>
      <c r="F143" t="s">
        <v>37</v>
      </c>
      <c r="G143" s="7">
        <v>10</v>
      </c>
      <c r="H143" t="s">
        <v>19</v>
      </c>
    </row>
    <row r="160" spans="2:2" x14ac:dyDescent="0.35">
      <c r="B160" s="2" t="s">
        <v>22</v>
      </c>
    </row>
    <row r="162" spans="2:8" x14ac:dyDescent="0.35">
      <c r="B162" t="s">
        <v>23</v>
      </c>
      <c r="F162" t="s">
        <v>24</v>
      </c>
      <c r="G162">
        <f xml:space="preserve"> 800+5*C6</f>
        <v>1172</v>
      </c>
      <c r="H162" t="s">
        <v>19</v>
      </c>
    </row>
    <row r="163" spans="2:8" x14ac:dyDescent="0.35">
      <c r="G163" s="7">
        <v>1200</v>
      </c>
      <c r="H163" t="s">
        <v>19</v>
      </c>
    </row>
    <row r="170" spans="2:8" x14ac:dyDescent="0.35">
      <c r="B170" t="s">
        <v>39</v>
      </c>
      <c r="F170" t="s">
        <v>36</v>
      </c>
      <c r="G170">
        <f>J137</f>
        <v>10.117873719089861</v>
      </c>
      <c r="H170" t="s">
        <v>19</v>
      </c>
    </row>
    <row r="171" spans="2:8" x14ac:dyDescent="0.35">
      <c r="G171" s="7">
        <v>11</v>
      </c>
      <c r="H171" t="s">
        <v>19</v>
      </c>
    </row>
    <row r="179" spans="2:8" x14ac:dyDescent="0.35">
      <c r="B179" s="2" t="s">
        <v>25</v>
      </c>
    </row>
    <row r="181" spans="2:8" x14ac:dyDescent="0.35">
      <c r="B181" t="s">
        <v>26</v>
      </c>
      <c r="F181" t="s">
        <v>24</v>
      </c>
      <c r="G181">
        <f xml:space="preserve"> 800+5*C6</f>
        <v>1172</v>
      </c>
      <c r="H181" t="s">
        <v>19</v>
      </c>
    </row>
    <row r="182" spans="2:8" x14ac:dyDescent="0.35">
      <c r="G182">
        <v>1200</v>
      </c>
      <c r="H182" t="s">
        <v>19</v>
      </c>
    </row>
    <row r="184" spans="2:8" ht="16.5" x14ac:dyDescent="0.45">
      <c r="B184" t="s">
        <v>41</v>
      </c>
      <c r="F184" t="s">
        <v>42</v>
      </c>
      <c r="G184">
        <f xml:space="preserve"> G143+2</f>
        <v>12</v>
      </c>
      <c r="H184" t="s">
        <v>19</v>
      </c>
    </row>
    <row r="202" spans="2:8" x14ac:dyDescent="0.35">
      <c r="B202" s="2" t="s">
        <v>64</v>
      </c>
    </row>
    <row r="204" spans="2:8" ht="16.5" x14ac:dyDescent="0.45">
      <c r="B204" t="s">
        <v>65</v>
      </c>
      <c r="F204" t="s">
        <v>66</v>
      </c>
      <c r="G204">
        <f xml:space="preserve"> 1.9*O137*O139*(G100*C14)^0.5 + J119</f>
        <v>7.0552729956376936</v>
      </c>
      <c r="H204" t="s">
        <v>19</v>
      </c>
    </row>
    <row r="205" spans="2:8" x14ac:dyDescent="0.35">
      <c r="G205">
        <v>8</v>
      </c>
      <c r="H205" t="s">
        <v>19</v>
      </c>
    </row>
    <row r="207" spans="2:8" ht="16.5" x14ac:dyDescent="0.45">
      <c r="F207" t="s">
        <v>67</v>
      </c>
      <c r="G207">
        <f xml:space="preserve"> 1.21*O139*(G100*C14)^0.5 + J119</f>
        <v>5.9951682464943623</v>
      </c>
      <c r="H207" t="s">
        <v>19</v>
      </c>
    </row>
    <row r="208" spans="2:8" x14ac:dyDescent="0.35">
      <c r="G208">
        <v>6</v>
      </c>
      <c r="H208" t="s">
        <v>19</v>
      </c>
    </row>
    <row r="210" spans="6:9" x14ac:dyDescent="0.35">
      <c r="F210" t="s">
        <v>36</v>
      </c>
      <c r="G210">
        <v>11</v>
      </c>
      <c r="H210" t="s">
        <v>19</v>
      </c>
      <c r="I210" s="4" t="s">
        <v>68</v>
      </c>
    </row>
    <row r="232" spans="2:8" x14ac:dyDescent="0.35">
      <c r="B232" s="2" t="s">
        <v>69</v>
      </c>
    </row>
    <row r="234" spans="2:8" x14ac:dyDescent="0.35">
      <c r="B234" t="s">
        <v>70</v>
      </c>
      <c r="E234" t="s">
        <v>24</v>
      </c>
      <c r="G234">
        <f>800+5*C6</f>
        <v>1172</v>
      </c>
      <c r="H234" t="s">
        <v>19</v>
      </c>
    </row>
    <row r="235" spans="2:8" x14ac:dyDescent="0.35">
      <c r="G235">
        <v>1200</v>
      </c>
      <c r="H235" t="s">
        <v>19</v>
      </c>
    </row>
    <row r="237" spans="2:8" ht="16.5" x14ac:dyDescent="0.45">
      <c r="B237" t="s">
        <v>71</v>
      </c>
      <c r="E237" t="s">
        <v>72</v>
      </c>
      <c r="G237">
        <v>1800</v>
      </c>
      <c r="H237" t="s">
        <v>19</v>
      </c>
    </row>
    <row r="250" spans="2:8" x14ac:dyDescent="0.35">
      <c r="B250" t="s">
        <v>73</v>
      </c>
      <c r="E250" t="s">
        <v>36</v>
      </c>
      <c r="G250">
        <f xml:space="preserve"> 0.5*(G210+G288)</f>
        <v>9.5</v>
      </c>
      <c r="H250" t="s">
        <v>19</v>
      </c>
    </row>
    <row r="261" spans="2:8" x14ac:dyDescent="0.35">
      <c r="B261" s="2" t="s">
        <v>74</v>
      </c>
    </row>
    <row r="263" spans="2:8" x14ac:dyDescent="0.35">
      <c r="B263" t="s">
        <v>75</v>
      </c>
      <c r="E263" t="s">
        <v>36</v>
      </c>
      <c r="G263">
        <f xml:space="preserve"> (0.75-C9/1000)*(C9)^0.5</f>
        <v>1.4640520197810596</v>
      </c>
      <c r="H263" t="s">
        <v>19</v>
      </c>
    </row>
    <row r="264" spans="2:8" x14ac:dyDescent="0.35">
      <c r="G264">
        <v>2</v>
      </c>
      <c r="H264" t="s">
        <v>19</v>
      </c>
    </row>
    <row r="274" spans="2:8" x14ac:dyDescent="0.35">
      <c r="B274" t="s">
        <v>76</v>
      </c>
      <c r="G274">
        <v>1000</v>
      </c>
      <c r="H274" t="s">
        <v>19</v>
      </c>
    </row>
    <row r="275" spans="2:8" x14ac:dyDescent="0.35">
      <c r="G275">
        <v>1</v>
      </c>
      <c r="H275" t="s">
        <v>1</v>
      </c>
    </row>
    <row r="284" spans="2:8" x14ac:dyDescent="0.35">
      <c r="B284" s="5" t="s">
        <v>77</v>
      </c>
      <c r="C284" s="5"/>
      <c r="D284" s="5"/>
      <c r="F284" t="s">
        <v>78</v>
      </c>
    </row>
    <row r="285" spans="2:8" x14ac:dyDescent="0.35">
      <c r="B285" s="5"/>
      <c r="C285" s="5"/>
      <c r="D285" s="5"/>
    </row>
    <row r="287" spans="2:8" ht="16.5" x14ac:dyDescent="0.45">
      <c r="B287" t="s">
        <v>15</v>
      </c>
      <c r="E287" t="s">
        <v>17</v>
      </c>
      <c r="G287">
        <f>1.1*O139*(D73*C14)^0.5 +J119</f>
        <v>5.3318877901361441</v>
      </c>
      <c r="H287" t="s">
        <v>19</v>
      </c>
    </row>
    <row r="288" spans="2:8" x14ac:dyDescent="0.35">
      <c r="G288" s="7">
        <v>8</v>
      </c>
      <c r="H288" t="s">
        <v>19</v>
      </c>
    </row>
    <row r="300" spans="2:6" x14ac:dyDescent="0.35">
      <c r="B300" s="5" t="s">
        <v>83</v>
      </c>
      <c r="C300" s="5"/>
      <c r="D300" s="5"/>
      <c r="F300" t="s">
        <v>84</v>
      </c>
    </row>
    <row r="301" spans="2:6" x14ac:dyDescent="0.35">
      <c r="B301" s="5"/>
      <c r="C301" s="5"/>
      <c r="D301" s="5"/>
    </row>
    <row r="303" spans="2:6" x14ac:dyDescent="0.35">
      <c r="B303" s="2" t="s">
        <v>95</v>
      </c>
    </row>
    <row r="305" spans="2:10" x14ac:dyDescent="0.35">
      <c r="B305" t="s">
        <v>96</v>
      </c>
      <c r="F305" t="s">
        <v>36</v>
      </c>
      <c r="H305">
        <f xml:space="preserve"> (5+0.03*C9) * (C14)^0.5</f>
        <v>4.51788727117001</v>
      </c>
      <c r="I305" t="s">
        <v>19</v>
      </c>
    </row>
    <row r="306" spans="2:10" x14ac:dyDescent="0.35">
      <c r="H306">
        <v>6</v>
      </c>
      <c r="I306" t="s">
        <v>19</v>
      </c>
      <c r="J306" s="4" t="s">
        <v>97</v>
      </c>
    </row>
    <row r="308" spans="2:10" x14ac:dyDescent="0.35">
      <c r="B308" t="s">
        <v>15</v>
      </c>
      <c r="F308" t="s">
        <v>16</v>
      </c>
      <c r="H308">
        <f xml:space="preserve"> 6*(C14)^0.5</f>
        <v>5.2990565197967081</v>
      </c>
      <c r="I308" t="s">
        <v>19</v>
      </c>
    </row>
    <row r="309" spans="2:10" x14ac:dyDescent="0.35">
      <c r="H309">
        <v>6</v>
      </c>
      <c r="I309" t="s">
        <v>19</v>
      </c>
    </row>
    <row r="322" spans="2:10" x14ac:dyDescent="0.35">
      <c r="B322" s="2" t="s">
        <v>85</v>
      </c>
    </row>
    <row r="324" spans="2:10" x14ac:dyDescent="0.35">
      <c r="B324" t="s">
        <v>86</v>
      </c>
      <c r="E324" t="s">
        <v>87</v>
      </c>
      <c r="G324">
        <f xml:space="preserve"> 350+45*C9</f>
        <v>523.25</v>
      </c>
      <c r="H324" t="s">
        <v>19</v>
      </c>
    </row>
    <row r="325" spans="2:10" x14ac:dyDescent="0.35">
      <c r="G325">
        <v>600</v>
      </c>
      <c r="H325" t="s">
        <v>19</v>
      </c>
      <c r="J325" s="4" t="s">
        <v>89</v>
      </c>
    </row>
    <row r="327" spans="2:10" ht="16.5" x14ac:dyDescent="0.45">
      <c r="B327" t="s">
        <v>88</v>
      </c>
      <c r="E327" t="s">
        <v>90</v>
      </c>
      <c r="G327">
        <v>600</v>
      </c>
      <c r="H327" t="s">
        <v>19</v>
      </c>
    </row>
    <row r="339" spans="2:8" ht="16.5" x14ac:dyDescent="0.45">
      <c r="B339" t="s">
        <v>91</v>
      </c>
      <c r="E339" t="s">
        <v>92</v>
      </c>
      <c r="G339">
        <f xml:space="preserve"> G325/G325 * (G325/100 + 1) * (C14)^0.5</f>
        <v>6.1822326064294923</v>
      </c>
      <c r="H339" t="s">
        <v>19</v>
      </c>
    </row>
    <row r="340" spans="2:8" x14ac:dyDescent="0.35">
      <c r="G340">
        <v>7</v>
      </c>
      <c r="H340" t="s">
        <v>19</v>
      </c>
    </row>
    <row r="351" spans="2:8" x14ac:dyDescent="0.35">
      <c r="B351" s="2" t="s">
        <v>94</v>
      </c>
    </row>
    <row r="353" spans="2:12" ht="16.5" x14ac:dyDescent="0.45">
      <c r="B353" t="s">
        <v>93</v>
      </c>
      <c r="E353" t="s">
        <v>92</v>
      </c>
      <c r="G353">
        <f xml:space="preserve"> (G325^2)/(120*G325) * (C14)^0.5</f>
        <v>4.4158804331639239</v>
      </c>
      <c r="H353" t="s">
        <v>19</v>
      </c>
    </row>
    <row r="354" spans="2:12" x14ac:dyDescent="0.35">
      <c r="G354">
        <v>6</v>
      </c>
      <c r="H354" t="s">
        <v>19</v>
      </c>
      <c r="J354" s="4" t="s">
        <v>97</v>
      </c>
    </row>
    <row r="356" spans="2:12" x14ac:dyDescent="0.35">
      <c r="L356" s="2"/>
    </row>
    <row r="364" spans="2:12" x14ac:dyDescent="0.35">
      <c r="B364" s="2" t="s">
        <v>100</v>
      </c>
    </row>
    <row r="366" spans="2:12" x14ac:dyDescent="0.35">
      <c r="B366" t="s">
        <v>101</v>
      </c>
      <c r="F366" t="s">
        <v>36</v>
      </c>
      <c r="G366">
        <f xml:space="preserve"> 1.1*O139*((G100*C14)^0.5) +J119</f>
        <v>5.6774256786312387</v>
      </c>
      <c r="H366" t="s">
        <v>19</v>
      </c>
    </row>
    <row r="367" spans="2:12" x14ac:dyDescent="0.35">
      <c r="G367">
        <v>6</v>
      </c>
      <c r="H367" t="s">
        <v>19</v>
      </c>
    </row>
    <row r="375" spans="2:8" x14ac:dyDescent="0.35">
      <c r="B375" s="2" t="s">
        <v>102</v>
      </c>
    </row>
    <row r="377" spans="2:8" x14ac:dyDescent="0.35">
      <c r="B377" t="s">
        <v>103</v>
      </c>
      <c r="E377" t="s">
        <v>104</v>
      </c>
      <c r="G377">
        <f>G340-2*((C14)^0.5)</f>
        <v>5.2336478267344306</v>
      </c>
      <c r="H377" t="s">
        <v>19</v>
      </c>
    </row>
    <row r="378" spans="2:8" x14ac:dyDescent="0.35">
      <c r="G378">
        <v>6</v>
      </c>
      <c r="H378" t="s">
        <v>19</v>
      </c>
    </row>
    <row r="388" spans="2:13" x14ac:dyDescent="0.35">
      <c r="B388" t="s">
        <v>106</v>
      </c>
      <c r="E388" t="s">
        <v>36</v>
      </c>
      <c r="G388">
        <f xml:space="preserve"> L392*G378</f>
        <v>6.3000000000000007</v>
      </c>
      <c r="H388" t="s">
        <v>19</v>
      </c>
      <c r="K388" t="s">
        <v>107</v>
      </c>
      <c r="L388">
        <v>650</v>
      </c>
      <c r="M388" t="s">
        <v>108</v>
      </c>
    </row>
    <row r="389" spans="2:13" x14ac:dyDescent="0.35">
      <c r="G389">
        <v>7</v>
      </c>
      <c r="H389" t="s">
        <v>19</v>
      </c>
      <c r="L389">
        <f xml:space="preserve"> 650*0.746</f>
        <v>484.9</v>
      </c>
      <c r="M389" t="s">
        <v>109</v>
      </c>
    </row>
    <row r="391" spans="2:13" x14ac:dyDescent="0.35">
      <c r="K391" t="s">
        <v>110</v>
      </c>
      <c r="L391">
        <f xml:space="preserve"> 1+(3.6+L389/500)*10^-3</f>
        <v>1.0045698000000001</v>
      </c>
    </row>
    <row r="392" spans="2:13" x14ac:dyDescent="0.35">
      <c r="L392">
        <v>1.05</v>
      </c>
      <c r="M392" s="4" t="s">
        <v>111</v>
      </c>
    </row>
    <row r="407" spans="2:8" x14ac:dyDescent="0.35">
      <c r="B407" s="2" t="s">
        <v>95</v>
      </c>
    </row>
    <row r="409" spans="2:8" x14ac:dyDescent="0.35">
      <c r="B409" t="s">
        <v>105</v>
      </c>
      <c r="F409" t="s">
        <v>36</v>
      </c>
      <c r="G409">
        <f xml:space="preserve"> (5+0.03*C6) * (C14)^0.5</f>
        <v>6.3871294585282987</v>
      </c>
      <c r="H409" t="s">
        <v>19</v>
      </c>
    </row>
    <row r="410" spans="2:8" x14ac:dyDescent="0.35">
      <c r="G410">
        <v>7</v>
      </c>
      <c r="H410" t="s">
        <v>19</v>
      </c>
    </row>
    <row r="422" spans="2:8" x14ac:dyDescent="0.35">
      <c r="B422" t="s">
        <v>112</v>
      </c>
      <c r="F422" t="s">
        <v>36</v>
      </c>
      <c r="G422">
        <f xml:space="preserve"> (L389/15)^0.5 + 6</f>
        <v>11.685654462475421</v>
      </c>
      <c r="H422" t="s">
        <v>19</v>
      </c>
    </row>
    <row r="423" spans="2:8" x14ac:dyDescent="0.35">
      <c r="B423" s="2"/>
      <c r="G423">
        <v>12</v>
      </c>
      <c r="H423" t="s">
        <v>19</v>
      </c>
    </row>
    <row r="435" spans="2:13" x14ac:dyDescent="0.35">
      <c r="B435" s="5" t="s">
        <v>113</v>
      </c>
      <c r="C435" s="5"/>
      <c r="D435" s="5"/>
      <c r="F435" t="s">
        <v>114</v>
      </c>
    </row>
    <row r="436" spans="2:13" x14ac:dyDescent="0.35">
      <c r="B436" s="5"/>
      <c r="C436" s="5"/>
      <c r="D436" s="5"/>
    </row>
    <row r="438" spans="2:13" x14ac:dyDescent="0.35">
      <c r="B438" s="2" t="s">
        <v>115</v>
      </c>
    </row>
    <row r="440" spans="2:13" x14ac:dyDescent="0.35">
      <c r="B440" t="s">
        <v>119</v>
      </c>
      <c r="F440" t="s">
        <v>36</v>
      </c>
      <c r="G440">
        <f>L441*O139*(G94)^0.5 + J119</f>
        <v>6.4118034965763933</v>
      </c>
      <c r="H440" t="s">
        <v>19</v>
      </c>
      <c r="K440" t="s">
        <v>48</v>
      </c>
      <c r="L440">
        <v>0.78</v>
      </c>
    </row>
    <row r="441" spans="2:13" x14ac:dyDescent="0.35">
      <c r="G441">
        <v>7</v>
      </c>
      <c r="H441" t="s">
        <v>19</v>
      </c>
      <c r="K441" t="s">
        <v>116</v>
      </c>
      <c r="L441">
        <f>1.1*(L440)^0.5</f>
        <v>0.97149369529606322</v>
      </c>
      <c r="M441" s="4" t="s">
        <v>117</v>
      </c>
    </row>
    <row r="442" spans="2:13" x14ac:dyDescent="0.35">
      <c r="L442">
        <f>0.9*(L440)^0.5</f>
        <v>0.79485847796950626</v>
      </c>
      <c r="M442" s="4" t="s">
        <v>118</v>
      </c>
    </row>
    <row r="443" spans="2:13" x14ac:dyDescent="0.35">
      <c r="B443" t="s">
        <v>120</v>
      </c>
      <c r="F443" t="s">
        <v>36</v>
      </c>
      <c r="G443">
        <f xml:space="preserve"> L442*O139*(G94)^0.5 + J119</f>
        <v>5.7005664971988672</v>
      </c>
      <c r="H443" t="s">
        <v>19</v>
      </c>
    </row>
    <row r="444" spans="2:13" x14ac:dyDescent="0.35">
      <c r="G444">
        <v>6</v>
      </c>
      <c r="H444" t="s">
        <v>19</v>
      </c>
    </row>
  </sheetData>
  <mergeCells count="6">
    <mergeCell ref="B435:D436"/>
    <mergeCell ref="B110:D111"/>
    <mergeCell ref="B3:C3"/>
    <mergeCell ref="B26:D27"/>
    <mergeCell ref="B284:D285"/>
    <mergeCell ref="B300:D301"/>
  </mergeCell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7:J65"/>
  <sheetViews>
    <sheetView tabSelected="1" zoomScale="95" zoomScaleNormal="95" workbookViewId="0"/>
  </sheetViews>
  <sheetFormatPr defaultRowHeight="14.5" x14ac:dyDescent="0.35"/>
  <cols>
    <col min="6" max="6" width="28.08984375" customWidth="1"/>
    <col min="7" max="7" width="28.26953125" customWidth="1"/>
    <col min="8" max="8" width="20.08984375" style="12" customWidth="1"/>
  </cols>
  <sheetData>
    <row r="7" spans="6:8" x14ac:dyDescent="0.35">
      <c r="F7" s="13" t="s">
        <v>121</v>
      </c>
      <c r="G7" s="13" t="s">
        <v>123</v>
      </c>
      <c r="H7" s="13" t="s">
        <v>124</v>
      </c>
    </row>
    <row r="8" spans="6:8" x14ac:dyDescent="0.35">
      <c r="F8" s="14" t="s">
        <v>139</v>
      </c>
      <c r="G8" s="14"/>
      <c r="H8" s="14"/>
    </row>
    <row r="9" spans="6:8" x14ac:dyDescent="0.35">
      <c r="F9" s="10" t="s">
        <v>125</v>
      </c>
      <c r="G9" s="10" t="s">
        <v>126</v>
      </c>
      <c r="H9" s="11">
        <v>11</v>
      </c>
    </row>
    <row r="10" spans="6:8" x14ac:dyDescent="0.35">
      <c r="F10" s="10" t="s">
        <v>22</v>
      </c>
      <c r="G10" s="10" t="s">
        <v>126</v>
      </c>
      <c r="H10" s="11">
        <v>10</v>
      </c>
    </row>
    <row r="11" spans="6:8" x14ac:dyDescent="0.35">
      <c r="F11" s="10"/>
      <c r="G11" s="10" t="s">
        <v>127</v>
      </c>
      <c r="H11" s="11">
        <v>1200</v>
      </c>
    </row>
    <row r="12" spans="6:8" x14ac:dyDescent="0.35">
      <c r="F12" s="10" t="s">
        <v>128</v>
      </c>
      <c r="G12" s="10" t="s">
        <v>126</v>
      </c>
      <c r="H12" s="11">
        <v>13</v>
      </c>
    </row>
    <row r="13" spans="6:8" x14ac:dyDescent="0.35">
      <c r="F13" s="10"/>
      <c r="G13" s="10" t="s">
        <v>127</v>
      </c>
      <c r="H13" s="11">
        <v>1200</v>
      </c>
    </row>
    <row r="14" spans="6:8" x14ac:dyDescent="0.35">
      <c r="F14" s="10" t="s">
        <v>129</v>
      </c>
      <c r="G14" s="10" t="s">
        <v>126</v>
      </c>
      <c r="H14" s="11">
        <v>11</v>
      </c>
    </row>
    <row r="15" spans="6:8" x14ac:dyDescent="0.35">
      <c r="F15" s="10" t="s">
        <v>130</v>
      </c>
      <c r="G15" s="10" t="s">
        <v>126</v>
      </c>
      <c r="H15" s="11">
        <v>8.5</v>
      </c>
    </row>
    <row r="16" spans="6:8" x14ac:dyDescent="0.35">
      <c r="F16" s="10"/>
      <c r="G16" s="10" t="s">
        <v>127</v>
      </c>
      <c r="H16" s="11">
        <v>1200</v>
      </c>
    </row>
    <row r="17" spans="6:8" x14ac:dyDescent="0.35">
      <c r="F17" s="10" t="s">
        <v>131</v>
      </c>
      <c r="G17" s="10" t="s">
        <v>126</v>
      </c>
      <c r="H17" s="11">
        <v>2</v>
      </c>
    </row>
    <row r="18" spans="6:8" x14ac:dyDescent="0.35">
      <c r="F18" s="10" t="s">
        <v>132</v>
      </c>
      <c r="G18" s="10" t="s">
        <v>126</v>
      </c>
      <c r="H18" s="11">
        <v>8</v>
      </c>
    </row>
    <row r="19" spans="6:8" x14ac:dyDescent="0.35">
      <c r="F19" s="15" t="s">
        <v>140</v>
      </c>
      <c r="G19" s="15"/>
      <c r="H19" s="15"/>
    </row>
    <row r="20" spans="6:8" x14ac:dyDescent="0.35">
      <c r="F20" s="10" t="s">
        <v>133</v>
      </c>
      <c r="G20" s="10" t="s">
        <v>134</v>
      </c>
      <c r="H20" s="11" t="s">
        <v>167</v>
      </c>
    </row>
    <row r="21" spans="6:8" x14ac:dyDescent="0.35">
      <c r="F21" s="10" t="s">
        <v>135</v>
      </c>
      <c r="G21" s="10" t="s">
        <v>134</v>
      </c>
      <c r="H21" s="11" t="s">
        <v>166</v>
      </c>
    </row>
    <row r="22" spans="6:8" x14ac:dyDescent="0.35">
      <c r="F22" s="10" t="s">
        <v>136</v>
      </c>
      <c r="G22" s="10" t="s">
        <v>134</v>
      </c>
      <c r="H22" s="11" t="s">
        <v>168</v>
      </c>
    </row>
    <row r="23" spans="6:8" x14ac:dyDescent="0.35">
      <c r="F23" s="10" t="s">
        <v>137</v>
      </c>
      <c r="G23" s="10" t="s">
        <v>134</v>
      </c>
      <c r="H23" s="11" t="s">
        <v>170</v>
      </c>
    </row>
    <row r="24" spans="6:8" x14ac:dyDescent="0.35">
      <c r="F24" s="10" t="s">
        <v>138</v>
      </c>
      <c r="G24" s="10" t="s">
        <v>134</v>
      </c>
      <c r="H24" s="11" t="s">
        <v>169</v>
      </c>
    </row>
    <row r="25" spans="6:8" x14ac:dyDescent="0.35">
      <c r="F25" s="15" t="s">
        <v>141</v>
      </c>
      <c r="G25" s="15"/>
      <c r="H25" s="15"/>
    </row>
    <row r="26" spans="6:8" x14ac:dyDescent="0.35">
      <c r="F26" s="10" t="s">
        <v>142</v>
      </c>
      <c r="G26" s="10" t="s">
        <v>134</v>
      </c>
      <c r="H26" s="11" t="s">
        <v>165</v>
      </c>
    </row>
    <row r="27" spans="6:8" x14ac:dyDescent="0.35">
      <c r="F27" s="10" t="s">
        <v>143</v>
      </c>
      <c r="G27" s="10" t="s">
        <v>134</v>
      </c>
      <c r="H27" s="11" t="s">
        <v>164</v>
      </c>
    </row>
    <row r="28" spans="6:8" x14ac:dyDescent="0.35">
      <c r="F28" s="10" t="s">
        <v>144</v>
      </c>
      <c r="G28" s="10" t="s">
        <v>134</v>
      </c>
      <c r="H28" s="11" t="s">
        <v>163</v>
      </c>
    </row>
    <row r="29" spans="6:8" x14ac:dyDescent="0.35">
      <c r="F29" s="15" t="s">
        <v>145</v>
      </c>
      <c r="G29" s="15"/>
      <c r="H29" s="15"/>
    </row>
    <row r="30" spans="6:8" x14ac:dyDescent="0.35">
      <c r="F30" s="10" t="s">
        <v>146</v>
      </c>
      <c r="G30" s="10" t="s">
        <v>134</v>
      </c>
      <c r="H30" s="11" t="s">
        <v>156</v>
      </c>
    </row>
    <row r="31" spans="6:8" x14ac:dyDescent="0.35">
      <c r="F31" s="10" t="s">
        <v>147</v>
      </c>
      <c r="G31" s="10" t="s">
        <v>134</v>
      </c>
      <c r="H31" s="11" t="s">
        <v>162</v>
      </c>
    </row>
    <row r="32" spans="6:8" x14ac:dyDescent="0.35">
      <c r="F32" s="15" t="s">
        <v>113</v>
      </c>
      <c r="G32" s="15"/>
      <c r="H32" s="15"/>
    </row>
    <row r="33" spans="6:8" x14ac:dyDescent="0.35">
      <c r="F33" s="10" t="s">
        <v>148</v>
      </c>
      <c r="G33" s="10" t="s">
        <v>126</v>
      </c>
      <c r="H33" s="11">
        <v>9</v>
      </c>
    </row>
    <row r="34" spans="6:8" x14ac:dyDescent="0.35">
      <c r="F34" s="10" t="s">
        <v>149</v>
      </c>
      <c r="G34" s="10" t="s">
        <v>134</v>
      </c>
      <c r="H34" s="11" t="s">
        <v>161</v>
      </c>
    </row>
    <row r="35" spans="6:8" x14ac:dyDescent="0.35">
      <c r="F35" s="10" t="s">
        <v>150</v>
      </c>
      <c r="G35" s="10" t="s">
        <v>134</v>
      </c>
      <c r="H35" s="11" t="s">
        <v>159</v>
      </c>
    </row>
    <row r="36" spans="6:8" x14ac:dyDescent="0.35">
      <c r="F36" s="10" t="s">
        <v>151</v>
      </c>
      <c r="G36" s="10" t="s">
        <v>134</v>
      </c>
      <c r="H36" s="11" t="s">
        <v>160</v>
      </c>
    </row>
    <row r="37" spans="6:8" x14ac:dyDescent="0.35">
      <c r="F37" s="15" t="s">
        <v>152</v>
      </c>
      <c r="G37" s="15"/>
      <c r="H37" s="15"/>
    </row>
    <row r="38" spans="6:8" x14ac:dyDescent="0.35">
      <c r="F38" s="10" t="s">
        <v>153</v>
      </c>
      <c r="G38" s="10" t="s">
        <v>126</v>
      </c>
      <c r="H38" s="11">
        <v>7</v>
      </c>
    </row>
    <row r="39" spans="6:8" x14ac:dyDescent="0.35">
      <c r="F39" s="10" t="s">
        <v>154</v>
      </c>
      <c r="G39" s="10" t="s">
        <v>126</v>
      </c>
      <c r="H39" s="11">
        <v>9</v>
      </c>
    </row>
    <row r="40" spans="6:8" x14ac:dyDescent="0.35">
      <c r="F40" s="10" t="s">
        <v>155</v>
      </c>
      <c r="G40" s="10" t="s">
        <v>134</v>
      </c>
      <c r="H40" s="11" t="s">
        <v>157</v>
      </c>
    </row>
    <row r="41" spans="6:8" x14ac:dyDescent="0.35">
      <c r="F41" s="10" t="s">
        <v>143</v>
      </c>
      <c r="G41" s="10" t="s">
        <v>134</v>
      </c>
      <c r="H41" s="11" t="s">
        <v>158</v>
      </c>
    </row>
    <row r="42" spans="6:8" x14ac:dyDescent="0.35">
      <c r="F42" s="10" t="s">
        <v>146</v>
      </c>
      <c r="G42" s="10" t="s">
        <v>134</v>
      </c>
      <c r="H42" s="11" t="s">
        <v>156</v>
      </c>
    </row>
    <row r="54" spans="6:10" x14ac:dyDescent="0.35">
      <c r="G54" t="s">
        <v>180</v>
      </c>
    </row>
    <row r="56" spans="6:10" x14ac:dyDescent="0.35">
      <c r="F56" s="9" t="s">
        <v>173</v>
      </c>
      <c r="G56" s="9" t="s">
        <v>134</v>
      </c>
      <c r="H56" s="9" t="s">
        <v>172</v>
      </c>
    </row>
    <row r="57" spans="6:10" ht="54" customHeight="1" x14ac:dyDescent="0.35">
      <c r="F57" s="9" t="s">
        <v>122</v>
      </c>
      <c r="G57" s="18" t="s">
        <v>176</v>
      </c>
      <c r="H57" s="9">
        <v>13</v>
      </c>
    </row>
    <row r="58" spans="6:10" ht="50" customHeight="1" x14ac:dyDescent="0.35">
      <c r="F58" s="9" t="s">
        <v>125</v>
      </c>
      <c r="G58" s="19" t="s">
        <v>177</v>
      </c>
      <c r="H58" s="9">
        <v>18</v>
      </c>
    </row>
    <row r="59" spans="6:10" ht="48" customHeight="1" x14ac:dyDescent="0.35">
      <c r="F59" s="9" t="s">
        <v>174</v>
      </c>
      <c r="G59" s="18" t="s">
        <v>178</v>
      </c>
      <c r="H59" s="9">
        <v>3</v>
      </c>
      <c r="J59" s="17"/>
    </row>
    <row r="60" spans="6:10" ht="49" customHeight="1" x14ac:dyDescent="0.35">
      <c r="F60" s="9" t="s">
        <v>175</v>
      </c>
      <c r="G60" s="18" t="s">
        <v>179</v>
      </c>
      <c r="H60" s="9">
        <v>25</v>
      </c>
    </row>
    <row r="61" spans="6:10" ht="48" customHeight="1" x14ac:dyDescent="0.35">
      <c r="G61" s="20"/>
      <c r="H61"/>
    </row>
    <row r="62" spans="6:10" x14ac:dyDescent="0.35">
      <c r="H62"/>
    </row>
    <row r="63" spans="6:10" x14ac:dyDescent="0.35">
      <c r="H63"/>
    </row>
    <row r="64" spans="6:10" x14ac:dyDescent="0.35">
      <c r="H64"/>
    </row>
    <row r="65" spans="8:8" x14ac:dyDescent="0.35">
      <c r="H65"/>
    </row>
  </sheetData>
  <mergeCells count="6">
    <mergeCell ref="F8:H8"/>
    <mergeCell ref="F19:H19"/>
    <mergeCell ref="F25:H25"/>
    <mergeCell ref="F29:H29"/>
    <mergeCell ref="F32:H32"/>
    <mergeCell ref="F37:H37"/>
  </mergeCells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Calculations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2022-08-31T04:17:07Z</dcterms:modified>
</cp:coreProperties>
</file>