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Bowl" sheetId="1" r:id="rId4"/>
    <sheet state="visible" name="Particular Bowl" sheetId="2" r:id="rId5"/>
    <sheet state="visible" name="Mototaxi" sheetId="3" r:id="rId6"/>
    <sheet state="visible" name="Mototaxi (Old)" sheetId="4" r:id="rId7"/>
    <sheet state="visible" name="Sheet4" sheetId="5" r:id="rId8"/>
    <sheet state="visible" name="Average Bus" sheetId="6" r:id="rId9"/>
    <sheet state="visible" name="Taxi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Consistent estimation we made</t>
      </text>
    </comment>
    <comment authorId="0" ref="C7">
      <text>
        <t xml:space="preserve">9 walk, 3 collect naturally</t>
      </text>
    </comment>
    <comment authorId="0" ref="C45">
      <text>
        <t xml:space="preserve">Average derived on Sheet4</t>
      </text>
    </comment>
  </commentList>
</comments>
</file>

<file path=xl/sharedStrings.xml><?xml version="1.0" encoding="utf-8"?>
<sst xmlns="http://schemas.openxmlformats.org/spreadsheetml/2006/main" count="209" uniqueCount="116">
  <si>
    <t>SISAL</t>
  </si>
  <si>
    <t>N.o. artisans not on moto:</t>
  </si>
  <si>
    <t>TOTAL NUM OF ARTISANS</t>
  </si>
  <si>
    <t>N.o. artisans taking a moto:</t>
  </si>
  <si>
    <t>Average time on a moto (min):</t>
  </si>
  <si>
    <t>Error on the above:</t>
  </si>
  <si>
    <t>Sisal Market CO2e/bowl:</t>
  </si>
  <si>
    <t>kg</t>
  </si>
  <si>
    <t>How many bowls worth of ingredients?</t>
  </si>
  <si>
    <t>Error on average:</t>
  </si>
  <si>
    <t>FOREST GRASSES</t>
  </si>
  <si>
    <t>Forest grass CO2e/bowl:</t>
  </si>
  <si>
    <t>COMBINED</t>
  </si>
  <si>
    <t>No. artisans going to the same place:</t>
  </si>
  <si>
    <t>Combined CO2e/bowl:</t>
  </si>
  <si>
    <t>No. artisans not on a moto:</t>
  </si>
  <si>
    <t>No. artisans on a moto:</t>
  </si>
  <si>
    <t>Total Sisal CO2e/bowl:</t>
  </si>
  <si>
    <t>Total Forest Grasses CO2e/bowl:</t>
  </si>
  <si>
    <t>Total Ingredients CO2e/bowl:</t>
  </si>
  <si>
    <t>BUYING &amp; BOILING DYE</t>
  </si>
  <si>
    <t>% of bowls requiring Azizi Life dye:</t>
  </si>
  <si>
    <t>Amount of LPG for 20L of water (L):</t>
  </si>
  <si>
    <t>LPG to CO2e emission / L (kg):</t>
  </si>
  <si>
    <t>Amount of sisal boiled (kg):</t>
  </si>
  <si>
    <t>Weight of 5 bunches (kg):</t>
  </si>
  <si>
    <t>Azizi Life Dye Boil CO2e/bowl:</t>
  </si>
  <si>
    <t>% of bowls requiring self dyeing:</t>
  </si>
  <si>
    <t>Average amount of wood used (kg):</t>
  </si>
  <si>
    <t>Average CO2e emitted/kg of wood (kg):</t>
  </si>
  <si>
    <t>Average number of bunches dyed:</t>
  </si>
  <si>
    <t>Artisan Dye Boil CO2e/bowl:</t>
  </si>
  <si>
    <t>N.o. artisans buying from elsewhere:</t>
  </si>
  <si>
    <t>No. artisans taking a moto:</t>
  </si>
  <si>
    <t>Buying Dyed Sisal CO2e/bowl:</t>
  </si>
  <si>
    <t>Average amount of water (L):</t>
  </si>
  <si>
    <t>Total CO2e from Boiling/bowl:</t>
  </si>
  <si>
    <t>AZIZI LIFE TRANSPORT</t>
  </si>
  <si>
    <t>No. artisans walking:</t>
  </si>
  <si>
    <t>Average moto time (min):</t>
  </si>
  <si>
    <t>AL Moto Transport CO2e/bowl:</t>
  </si>
  <si>
    <t>No. artisans on a bus:</t>
  </si>
  <si>
    <t>Average bus time (min):</t>
  </si>
  <si>
    <t>AL Bus Transport CO2e/bowl:</t>
  </si>
  <si>
    <t>No. artisans in a car:</t>
  </si>
  <si>
    <t>Average car time (min):</t>
  </si>
  <si>
    <t>AL Car Transport CO2e/bowl:</t>
  </si>
  <si>
    <t>How many bowls transported?</t>
  </si>
  <si>
    <t>Total AL Transport CO2e/bowl:</t>
  </si>
  <si>
    <t>PACKAGING</t>
  </si>
  <si>
    <t>CO2e/kg of cardboard box (kg):</t>
  </si>
  <si>
    <t>Weight of the box (kg):</t>
  </si>
  <si>
    <t>Number of bowls in a box:</t>
  </si>
  <si>
    <t>Packaging CO2e/bowl:</t>
  </si>
  <si>
    <t xml:space="preserve"> </t>
  </si>
  <si>
    <t>.</t>
  </si>
  <si>
    <t>AL TRANSPORT</t>
  </si>
  <si>
    <t>Price of fuel used in round trip (1000rwf):</t>
  </si>
  <si>
    <t>Average price of petrol/L (1000rwf):</t>
  </si>
  <si>
    <t>CO2e/L of petrol (kg):</t>
  </si>
  <si>
    <t>Airport transport CO2e/bowl:</t>
  </si>
  <si>
    <t>TRANSPORT TO AMERICA</t>
  </si>
  <si>
    <t>Done via calculator</t>
  </si>
  <si>
    <t>Two flights - KGL to BRU, and BRU to PHL</t>
  </si>
  <si>
    <t>7 units for 105 bowls, 33cm dimensions, 9.2kg</t>
  </si>
  <si>
    <t>Flight CO2e/bowl:</t>
  </si>
  <si>
    <t>Truck from PHL to Exton, Pensylvannia</t>
  </si>
  <si>
    <t>Total weight is 7 x 9.2 = 64.4kg</t>
  </si>
  <si>
    <t>Truck CO2e/bowl:</t>
  </si>
  <si>
    <t>(truck part seems neglible on other calcs too)</t>
  </si>
  <si>
    <t>American Transport CO2e/bowl</t>
  </si>
  <si>
    <t>Total CO2e/bowl:</t>
  </si>
  <si>
    <t>Number of bowls exported in a year:</t>
  </si>
  <si>
    <t>Total CO2e/year:</t>
  </si>
  <si>
    <t>CO2e saved by a stove each day (kg):</t>
  </si>
  <si>
    <t>Stove CO2e saved/year:</t>
  </si>
  <si>
    <t>Num stoves to offset bowl:</t>
  </si>
  <si>
    <t>Method of obtaining sisal?</t>
  </si>
  <si>
    <t>Buying</t>
  </si>
  <si>
    <t>What method of travel was used?</t>
  </si>
  <si>
    <t>Mototaxi</t>
  </si>
  <si>
    <t>How many minutes did it take to travel?</t>
  </si>
  <si>
    <t>Sisal CO2 per bowl:</t>
  </si>
  <si>
    <t>g</t>
  </si>
  <si>
    <t>[IF NOT BOUGHT ON THE SAME TRIP]</t>
  </si>
  <si>
    <t>Method of obtaining forest grass?</t>
  </si>
  <si>
    <t>Forest grass CO2 per bowl:</t>
  </si>
  <si>
    <t>[DYEING METHOD]</t>
  </si>
  <si>
    <t>Dyeing CO2 per bowl:</t>
  </si>
  <si>
    <t>What method of transport to Azizi Life?</t>
  </si>
  <si>
    <t>How many bowls are transported?</t>
  </si>
  <si>
    <t>AL transport CO2 per bowl:</t>
  </si>
  <si>
    <t>[PACKAGING METHOD]</t>
  </si>
  <si>
    <t>Packaging CO2 per bowl:</t>
  </si>
  <si>
    <t>[TRANSPORT TO AIRPORT]</t>
  </si>
  <si>
    <t>Airport transport CO2 per bowl:</t>
  </si>
  <si>
    <t>[TRANSPORT TO AMERICA]</t>
  </si>
  <si>
    <t>Flight CO2 per bowl:</t>
  </si>
  <si>
    <t>Total CO2 per bowl:</t>
  </si>
  <si>
    <t>Total CO2/year (tonnes)</t>
  </si>
  <si>
    <t>Source</t>
  </si>
  <si>
    <t>Days worked a week</t>
  </si>
  <si>
    <t>-----------------------------&gt;</t>
  </si>
  <si>
    <t>Kilometres per day</t>
  </si>
  <si>
    <t>Average speed km/h</t>
  </si>
  <si>
    <t>Source?</t>
  </si>
  <si>
    <t>Kilometres per year</t>
  </si>
  <si>
    <t>X</t>
  </si>
  <si>
    <t>Mins for 1 km</t>
  </si>
  <si>
    <t>CO2 emission in g/km</t>
  </si>
  <si>
    <t>CO2 emission in g/min</t>
  </si>
  <si>
    <t>This has an average speed of about 15km/hr for a moto... Dacia is saying twice that. Check with Bona</t>
  </si>
  <si>
    <t>Hours per day</t>
  </si>
  <si>
    <t>Minutes per year</t>
  </si>
  <si>
    <t>NEED TO ASK FOR MORE INFORMATION TO COMPLETE THIS SHEET</t>
  </si>
  <si>
    <t>Average speed km/hr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</si>
</sst>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%"/>
    <numFmt numFmtId="166" formatCode="0.0000"/>
  </numFmts>
  <fonts count="11">
    <font>
      <sz val="10.0"/>
      <color rgb="FF000000"/>
      <name val="Arial"/>
      <scheme val="minor"/>
    </font>
    <font>
      <b/>
      <color theme="1"/>
      <name val="Exo 2"/>
    </font>
    <font>
      <color theme="1"/>
      <name val="Exo 2"/>
    </font>
    <font>
      <i/>
      <color theme="1"/>
      <name val="Exo 2"/>
    </font>
    <font>
      <color theme="1"/>
      <name val="Arial"/>
      <scheme val="minor"/>
    </font>
    <font>
      <u/>
      <color rgb="FF0000FF"/>
      <name val="Exo 2"/>
    </font>
    <font>
      <u/>
      <color rgb="FF0000FF"/>
      <name val="Exo 2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5">
    <border/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9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1" fillId="0" fontId="2" numFmtId="0" xfId="0" applyBorder="1" applyFont="1"/>
    <xf borderId="0" fillId="0" fontId="2" numFmtId="164" xfId="0" applyAlignment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2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 textRotation="90"/>
    </xf>
    <xf borderId="0" fillId="0" fontId="3" numFmtId="0" xfId="0" applyFont="1"/>
    <xf borderId="2" fillId="0" fontId="2" numFmtId="0" xfId="0" applyAlignment="1" applyBorder="1" applyFont="1">
      <alignment horizontal="center" textRotation="90"/>
    </xf>
    <xf borderId="0" fillId="0" fontId="1" numFmtId="0" xfId="0" applyAlignment="1" applyFont="1">
      <alignment horizontal="center" readingOrder="0" shrinkToFit="0" textRotation="90" vertical="center" wrapText="0"/>
    </xf>
    <xf borderId="0" fillId="0" fontId="4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 shrinkToFit="0" textRotation="90" vertical="center" wrapText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0" fontId="2" numFmtId="165" xfId="0" applyAlignment="1" applyBorder="1" applyFont="1" applyNumberFormat="1">
      <alignment horizontal="center" readingOrder="0"/>
    </xf>
    <xf borderId="5" fillId="0" fontId="2" numFmtId="0" xfId="0" applyBorder="1" applyFont="1"/>
    <xf borderId="4" fillId="0" fontId="3" numFmtId="0" xfId="0" applyAlignment="1" applyBorder="1" applyFont="1">
      <alignment readingOrder="0"/>
    </xf>
    <xf borderId="4" fillId="0" fontId="2" numFmtId="166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Border="1" applyFont="1"/>
    <xf borderId="6" fillId="0" fontId="3" numFmtId="0" xfId="0" applyAlignment="1" applyBorder="1" applyFont="1">
      <alignment readingOrder="0"/>
    </xf>
    <xf borderId="6" fillId="0" fontId="2" numFmtId="16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1" numFmtId="0" xfId="0" applyAlignment="1" applyFont="1">
      <alignment readingOrder="0" textRotation="90" vertical="center"/>
    </xf>
    <xf borderId="0" fillId="0" fontId="5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4" fillId="0" fontId="2" numFmtId="0" xfId="0" applyAlignment="1" applyBorder="1" applyFont="1">
      <alignment horizontal="center"/>
    </xf>
    <xf borderId="8" fillId="0" fontId="2" numFmtId="0" xfId="0" applyBorder="1" applyFon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horizontal="center"/>
    </xf>
    <xf borderId="0" fillId="0" fontId="2" numFmtId="2" xfId="0" applyAlignment="1" applyFont="1" applyNumberFormat="1">
      <alignment readingOrder="0"/>
    </xf>
    <xf borderId="0" fillId="0" fontId="1" numFmtId="0" xfId="0" applyFont="1"/>
    <xf borderId="9" fillId="0" fontId="7" numFmtId="0" xfId="0" applyAlignment="1" applyBorder="1" applyFont="1">
      <alignment readingOrder="0"/>
    </xf>
    <xf borderId="10" fillId="3" fontId="4" numFmtId="0" xfId="0" applyAlignment="1" applyBorder="1" applyFill="1" applyFont="1">
      <alignment readingOrder="0"/>
    </xf>
    <xf borderId="9" fillId="0" fontId="8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1" fillId="3" fontId="4" numFmtId="0" xfId="0" applyAlignment="1" applyBorder="1" applyFont="1">
      <alignment readingOrder="0"/>
    </xf>
    <xf borderId="0" fillId="0" fontId="9" numFmtId="0" xfId="0" applyAlignment="1" applyFont="1">
      <alignment readingOrder="0" vertical="center"/>
    </xf>
    <xf borderId="12" fillId="0" fontId="4" numFmtId="0" xfId="0" applyAlignment="1" applyBorder="1" applyFont="1">
      <alignment readingOrder="0" vertical="center"/>
    </xf>
    <xf borderId="13" fillId="0" fontId="4" numFmtId="0" xfId="0" applyAlignment="1" applyBorder="1" applyFont="1">
      <alignment readingOrder="0" vertical="center"/>
    </xf>
    <xf borderId="14" fillId="0" fontId="4" numFmtId="0" xfId="0" applyAlignment="1" applyBorder="1" applyFont="1">
      <alignment readingOrder="0" vertical="center"/>
    </xf>
    <xf borderId="11" fillId="0" fontId="7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0" fontId="4" numFmtId="0" xfId="0" applyBorder="1" applyFont="1"/>
    <xf borderId="0" fillId="0" fontId="4" numFmtId="0" xfId="0" applyAlignment="1" applyFont="1">
      <alignment horizontal="center" readingOrder="0"/>
    </xf>
    <xf borderId="11" fillId="0" fontId="7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3" fillId="0" fontId="4" numFmtId="2" xfId="0" applyBorder="1" applyFont="1" applyNumberFormat="1"/>
    <xf borderId="14" fillId="0" fontId="4" numFmtId="0" xfId="0" applyAlignment="1" applyBorder="1" applyFont="1">
      <alignment horizontal="center" readingOrder="0"/>
    </xf>
    <xf borderId="12" fillId="0" fontId="7" numFmtId="0" xfId="0" applyAlignment="1" applyBorder="1" applyFont="1">
      <alignment readingOrder="0"/>
    </xf>
    <xf borderId="0" fillId="0" fontId="4" numFmtId="164" xfId="0" applyFont="1" applyNumberFormat="1"/>
    <xf borderId="13" fillId="0" fontId="4" numFmtId="164" xfId="0" applyBorder="1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9" fillId="0" fontId="4" numFmtId="0" xfId="0" applyAlignment="1" applyBorder="1" applyFont="1">
      <alignment readingOrder="0"/>
    </xf>
    <xf borderId="13" fillId="0" fontId="4" numFmtId="1" xfId="0" applyAlignment="1" applyBorder="1" applyFont="1" applyNumberFormat="1">
      <alignment readingOrder="0"/>
    </xf>
    <xf borderId="14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webcargo.co/resources/freight-co2-emissions-calculator/" TargetMode="External"/><Relationship Id="rId3" Type="http://schemas.openxmlformats.org/officeDocument/2006/relationships/hyperlink" Target="https://www.carboncare.org/en/co2-emissions-calculator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persand.solar/impact" TargetMode="External"/><Relationship Id="rId2" Type="http://schemas.openxmlformats.org/officeDocument/2006/relationships/hyperlink" Target="https://www.autodesk.com/design-make/articles/battery-powered-motorcycl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persand.solar/impact" TargetMode="External"/><Relationship Id="rId2" Type="http://schemas.openxmlformats.org/officeDocument/2006/relationships/hyperlink" Target="https://www.autodesk.com/design-make/articles/battery-powered-motorcycle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ourworldindata.org/travel-carbon-footprin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ourworldindata.org/travel-carbon-footprint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30.88"/>
    <col customWidth="1" min="3" max="3" width="5.38"/>
    <col customWidth="1" min="4" max="4" width="0.75"/>
    <col customWidth="1" min="5" max="5" width="24.63"/>
    <col customWidth="1" min="6" max="6" width="5.88"/>
    <col customWidth="1" min="7" max="7" width="2.75"/>
  </cols>
  <sheetData>
    <row r="1">
      <c r="A1" s="1" t="s">
        <v>0</v>
      </c>
      <c r="B1" s="2" t="s">
        <v>1</v>
      </c>
      <c r="C1" s="3">
        <v>3.0</v>
      </c>
      <c r="D1" s="4"/>
      <c r="E1" s="5" t="s">
        <v>2</v>
      </c>
      <c r="F1" s="6">
        <v>69.0</v>
      </c>
    </row>
    <row r="2">
      <c r="B2" s="2" t="s">
        <v>3</v>
      </c>
      <c r="C2" s="3">
        <v>10.0</v>
      </c>
      <c r="D2" s="4"/>
      <c r="E2" s="2"/>
      <c r="F2" s="3"/>
      <c r="G2" s="2"/>
    </row>
    <row r="3">
      <c r="B3" s="2" t="s">
        <v>4</v>
      </c>
      <c r="C3" s="3">
        <v>37.5</v>
      </c>
      <c r="D3" s="4"/>
      <c r="E3" s="2"/>
      <c r="F3" s="7"/>
      <c r="G3" s="8"/>
    </row>
    <row r="4">
      <c r="B4" s="2" t="s">
        <v>5</v>
      </c>
      <c r="C4" s="3">
        <v>7.91</v>
      </c>
      <c r="D4" s="4"/>
      <c r="E4" s="9" t="s">
        <v>6</v>
      </c>
      <c r="F4" s="10">
        <f>(C2/(C1+C2) * C3 * Mototaxi!E5)/C5/1000</f>
        <v>0.8434547908</v>
      </c>
      <c r="G4" s="2" t="s">
        <v>7</v>
      </c>
    </row>
    <row r="5">
      <c r="B5" s="2" t="s">
        <v>8</v>
      </c>
      <c r="C5" s="3">
        <v>2.0</v>
      </c>
      <c r="D5" s="11"/>
      <c r="E5" s="9" t="s">
        <v>9</v>
      </c>
      <c r="F5" s="12">
        <f>C4/C3*F4</f>
        <v>0.1779127305</v>
      </c>
      <c r="G5" s="2" t="s">
        <v>7</v>
      </c>
    </row>
    <row r="6" ht="3.75" customHeight="1">
      <c r="A6" s="13"/>
      <c r="B6" s="13"/>
      <c r="C6" s="13"/>
      <c r="D6" s="14"/>
      <c r="E6" s="15"/>
      <c r="F6" s="16"/>
      <c r="G6" s="13"/>
    </row>
    <row r="7">
      <c r="A7" s="17" t="s">
        <v>10</v>
      </c>
      <c r="B7" s="2" t="s">
        <v>1</v>
      </c>
      <c r="C7" s="3">
        <v>12.0</v>
      </c>
      <c r="D7" s="4"/>
      <c r="E7" s="9"/>
      <c r="F7" s="3"/>
      <c r="G7" s="2"/>
    </row>
    <row r="8">
      <c r="B8" s="2" t="s">
        <v>3</v>
      </c>
      <c r="C8" s="3">
        <v>1.0</v>
      </c>
      <c r="D8" s="4"/>
      <c r="E8" s="9"/>
      <c r="F8" s="3"/>
      <c r="G8" s="2"/>
    </row>
    <row r="9">
      <c r="B9" s="2" t="s">
        <v>4</v>
      </c>
      <c r="C9" s="3">
        <v>20.0</v>
      </c>
      <c r="D9" s="4"/>
      <c r="E9" s="18"/>
      <c r="F9" s="7"/>
      <c r="G9" s="8"/>
    </row>
    <row r="10">
      <c r="B10" s="2" t="s">
        <v>5</v>
      </c>
      <c r="C10" s="3">
        <v>0.0</v>
      </c>
      <c r="D10" s="4"/>
      <c r="E10" s="9" t="s">
        <v>11</v>
      </c>
      <c r="F10" s="10">
        <f>(C8/(C8+C7) * C9 * Mototaxi!E5)/C11/1000</f>
        <v>0.04498425551</v>
      </c>
      <c r="G10" s="2" t="s">
        <v>7</v>
      </c>
    </row>
    <row r="11">
      <c r="B11" s="2" t="s">
        <v>8</v>
      </c>
      <c r="C11" s="3">
        <v>2.0</v>
      </c>
      <c r="D11" s="4"/>
      <c r="E11" s="9" t="s">
        <v>9</v>
      </c>
      <c r="F11" s="12">
        <f>C10/C9*F10</f>
        <v>0</v>
      </c>
      <c r="G11" s="2" t="s">
        <v>7</v>
      </c>
    </row>
    <row r="12" ht="3.75" customHeight="1">
      <c r="A12" s="19"/>
      <c r="B12" s="13"/>
      <c r="C12" s="13"/>
      <c r="D12" s="14"/>
      <c r="E12" s="15"/>
      <c r="F12" s="16"/>
      <c r="G12" s="13"/>
    </row>
    <row r="13">
      <c r="A13" s="20" t="s">
        <v>12</v>
      </c>
      <c r="B13" s="2" t="s">
        <v>13</v>
      </c>
      <c r="C13" s="3">
        <v>56.0</v>
      </c>
      <c r="D13" s="4"/>
      <c r="E13" s="9" t="s">
        <v>14</v>
      </c>
      <c r="F13" s="10">
        <f>(C15/(C15+C14) * C16 * Mototaxi!E5)/C18/1000</f>
        <v>0.2552736007</v>
      </c>
      <c r="G13" s="2" t="s">
        <v>7</v>
      </c>
    </row>
    <row r="14">
      <c r="B14" s="2" t="s">
        <v>15</v>
      </c>
      <c r="C14" s="3">
        <v>46.0</v>
      </c>
      <c r="D14" s="4"/>
      <c r="E14" s="9" t="s">
        <v>9</v>
      </c>
      <c r="F14" s="12">
        <f>C17/C16*F13</f>
        <v>0.1655179616</v>
      </c>
      <c r="G14" s="2" t="s">
        <v>7</v>
      </c>
    </row>
    <row r="15">
      <c r="B15" s="2" t="s">
        <v>16</v>
      </c>
      <c r="C15" s="3">
        <v>10.0</v>
      </c>
      <c r="D15" s="4"/>
      <c r="F15" s="21"/>
    </row>
    <row r="16">
      <c r="B16" s="2" t="s">
        <v>4</v>
      </c>
      <c r="C16" s="3">
        <v>48.89</v>
      </c>
      <c r="D16" s="4"/>
      <c r="E16" s="9" t="s">
        <v>17</v>
      </c>
      <c r="F16" s="10">
        <f>(C1+C2)/F1 * F4+ ((C13)/F1 * F13 * 0.5)</f>
        <v>0.2625010594</v>
      </c>
      <c r="G16" s="2" t="s">
        <v>7</v>
      </c>
    </row>
    <row r="17">
      <c r="B17" s="2" t="s">
        <v>5</v>
      </c>
      <c r="C17" s="3">
        <v>31.7</v>
      </c>
      <c r="D17" s="4"/>
      <c r="E17" s="9" t="s">
        <v>18</v>
      </c>
      <c r="F17" s="10">
        <f>(C7+C8)/F1 * F10+ ((C13)/F1 * F13 * 0.5)</f>
        <v>0.1120645817</v>
      </c>
      <c r="G17" s="2" t="s">
        <v>7</v>
      </c>
    </row>
    <row r="18">
      <c r="B18" s="2" t="s">
        <v>8</v>
      </c>
      <c r="C18" s="3">
        <v>2.0</v>
      </c>
      <c r="D18" s="4"/>
      <c r="E18" s="9" t="s">
        <v>19</v>
      </c>
      <c r="F18" s="12">
        <f>SUM(F16:F17)</f>
        <v>0.3745656412</v>
      </c>
      <c r="G18" s="2" t="s">
        <v>7</v>
      </c>
    </row>
    <row r="19" ht="3.75" customHeight="1">
      <c r="A19" s="13"/>
      <c r="B19" s="13"/>
      <c r="C19" s="13"/>
      <c r="D19" s="14"/>
      <c r="E19" s="15"/>
      <c r="F19" s="16"/>
      <c r="G19" s="13"/>
    </row>
    <row r="20">
      <c r="A20" s="22" t="s">
        <v>20</v>
      </c>
      <c r="B20" s="2" t="s">
        <v>21</v>
      </c>
      <c r="C20" s="23">
        <v>0.414</v>
      </c>
      <c r="D20" s="11"/>
      <c r="E20" s="18"/>
      <c r="F20" s="7"/>
      <c r="G20" s="8"/>
    </row>
    <row r="21">
      <c r="B21" s="2" t="s">
        <v>22</v>
      </c>
      <c r="C21" s="3">
        <v>1.0</v>
      </c>
      <c r="D21" s="11"/>
      <c r="E21" s="9"/>
      <c r="F21" s="24"/>
      <c r="G21" s="2"/>
    </row>
    <row r="22">
      <c r="B22" s="2" t="s">
        <v>23</v>
      </c>
      <c r="C22" s="3">
        <v>1.479</v>
      </c>
      <c r="D22" s="11"/>
      <c r="E22" s="9"/>
      <c r="F22" s="24"/>
      <c r="G22" s="2"/>
    </row>
    <row r="23">
      <c r="B23" s="2" t="s">
        <v>24</v>
      </c>
      <c r="C23" s="3">
        <v>1.0</v>
      </c>
      <c r="D23" s="11"/>
      <c r="E23" s="9"/>
      <c r="F23" s="24"/>
      <c r="G23" s="2"/>
    </row>
    <row r="24">
      <c r="B24" s="2" t="s">
        <v>25</v>
      </c>
      <c r="C24" s="3">
        <v>0.3</v>
      </c>
      <c r="D24" s="11"/>
      <c r="E24" s="9" t="s">
        <v>26</v>
      </c>
      <c r="F24" s="10">
        <f>C20*C21*C22/(C23/C24)</f>
        <v>0.1836918</v>
      </c>
      <c r="G24" s="2" t="s">
        <v>7</v>
      </c>
    </row>
    <row r="25">
      <c r="B25" s="25" t="s">
        <v>27</v>
      </c>
      <c r="C25" s="26">
        <v>0.908</v>
      </c>
      <c r="D25" s="27"/>
      <c r="E25" s="28"/>
      <c r="F25" s="29"/>
      <c r="G25" s="25"/>
    </row>
    <row r="26">
      <c r="B26" s="2" t="s">
        <v>28</v>
      </c>
      <c r="C26" s="3">
        <v>3.0</v>
      </c>
      <c r="D26" s="11"/>
      <c r="E26" s="9"/>
      <c r="F26" s="24"/>
      <c r="G26" s="2"/>
    </row>
    <row r="27">
      <c r="B27" s="2" t="s">
        <v>29</v>
      </c>
      <c r="C27" s="3">
        <v>1.72</v>
      </c>
      <c r="D27" s="11"/>
      <c r="E27" s="9"/>
      <c r="F27" s="24"/>
      <c r="G27" s="2"/>
    </row>
    <row r="28">
      <c r="B28" s="30" t="s">
        <v>30</v>
      </c>
      <c r="C28" s="31">
        <v>4.6</v>
      </c>
      <c r="D28" s="32"/>
      <c r="E28" s="33" t="s">
        <v>31</v>
      </c>
      <c r="F28" s="34">
        <f>C25*C26*C27/(C28/5)</f>
        <v>5.092695652</v>
      </c>
      <c r="G28" s="30" t="s">
        <v>7</v>
      </c>
    </row>
    <row r="29">
      <c r="B29" s="2" t="s">
        <v>32</v>
      </c>
      <c r="C29" s="3">
        <v>33.0</v>
      </c>
      <c r="D29" s="11"/>
      <c r="F29" s="10"/>
      <c r="G29" s="2"/>
    </row>
    <row r="30">
      <c r="B30" s="2" t="s">
        <v>33</v>
      </c>
      <c r="C30" s="3">
        <v>18.0</v>
      </c>
      <c r="D30" s="11"/>
      <c r="E30" s="9"/>
      <c r="F30" s="10"/>
      <c r="G30" s="2"/>
    </row>
    <row r="31">
      <c r="B31" s="2" t="s">
        <v>4</v>
      </c>
      <c r="C31" s="3">
        <v>46.5</v>
      </c>
      <c r="D31" s="11"/>
      <c r="E31" s="9"/>
      <c r="F31" s="10"/>
      <c r="G31" s="2"/>
    </row>
    <row r="32">
      <c r="B32" s="2" t="s">
        <v>8</v>
      </c>
      <c r="C32" s="3">
        <v>2.0</v>
      </c>
      <c r="D32" s="11"/>
      <c r="E32" s="9" t="s">
        <v>34</v>
      </c>
      <c r="F32" s="10">
        <f>(C30/(F1) *C31 * Mototaxi!E5)/C32/1000</f>
        <v>0.3546910755</v>
      </c>
      <c r="G32" s="2" t="s">
        <v>7</v>
      </c>
    </row>
    <row r="33">
      <c r="B33" s="25" t="s">
        <v>35</v>
      </c>
      <c r="C33" s="35">
        <v>20.0</v>
      </c>
      <c r="D33" s="27"/>
      <c r="E33" s="28" t="s">
        <v>36</v>
      </c>
      <c r="F33" s="36">
        <f>SUM(F24:F32)</f>
        <v>5.631078528</v>
      </c>
      <c r="G33" s="25" t="s">
        <v>7</v>
      </c>
    </row>
    <row r="34" ht="3.75" customHeight="1">
      <c r="A34" s="13"/>
      <c r="B34" s="13"/>
      <c r="C34" s="13"/>
      <c r="D34" s="14"/>
      <c r="E34" s="15"/>
      <c r="F34" s="16"/>
      <c r="G34" s="13"/>
    </row>
    <row r="35">
      <c r="A35" s="1" t="s">
        <v>37</v>
      </c>
      <c r="B35" s="2" t="s">
        <v>38</v>
      </c>
      <c r="C35" s="3">
        <v>17.0</v>
      </c>
      <c r="D35" s="11"/>
      <c r="E35" s="18"/>
      <c r="F35" s="7"/>
      <c r="G35" s="8"/>
    </row>
    <row r="36">
      <c r="B36" s="2" t="s">
        <v>16</v>
      </c>
      <c r="C36" s="3">
        <v>46.0</v>
      </c>
      <c r="D36" s="11"/>
      <c r="E36" s="18"/>
      <c r="F36" s="7"/>
      <c r="G36" s="8"/>
    </row>
    <row r="37">
      <c r="B37" s="2" t="s">
        <v>39</v>
      </c>
      <c r="C37" s="3">
        <v>39.67</v>
      </c>
      <c r="D37" s="11"/>
      <c r="E37" s="9"/>
      <c r="F37" s="37"/>
      <c r="G37" s="2"/>
    </row>
    <row r="38">
      <c r="B38" s="30" t="s">
        <v>5</v>
      </c>
      <c r="C38" s="31">
        <v>17.78</v>
      </c>
      <c r="D38" s="32"/>
      <c r="E38" s="33" t="s">
        <v>40</v>
      </c>
      <c r="F38" s="34">
        <f>(C36/(C$35+C$36+C$39+C$42) * C37 * Mototaxi!E5)/$C45/1000</f>
        <v>0.1933235867</v>
      </c>
      <c r="G38" s="30" t="s">
        <v>7</v>
      </c>
    </row>
    <row r="39">
      <c r="B39" s="2" t="s">
        <v>41</v>
      </c>
      <c r="C39" s="3">
        <v>4.0</v>
      </c>
      <c r="D39" s="11"/>
      <c r="E39" s="9"/>
      <c r="F39" s="37"/>
      <c r="G39" s="2"/>
    </row>
    <row r="40">
      <c r="B40" s="2" t="s">
        <v>42</v>
      </c>
      <c r="C40" s="3">
        <v>45.0</v>
      </c>
      <c r="D40" s="11"/>
      <c r="E40" s="9"/>
      <c r="F40" s="37"/>
      <c r="G40" s="2"/>
    </row>
    <row r="41">
      <c r="B41" s="30" t="s">
        <v>5</v>
      </c>
      <c r="C41" s="31">
        <v>0.0</v>
      </c>
      <c r="D41" s="32"/>
      <c r="E41" s="33" t="s">
        <v>43</v>
      </c>
      <c r="F41" s="34">
        <f>(C39/(C$35+C$36+C$39+C$42) * C40 * 'Average Bus'!E5)/C$45/1000</f>
        <v>0.02108695652</v>
      </c>
      <c r="G41" s="30" t="s">
        <v>7</v>
      </c>
    </row>
    <row r="42">
      <c r="B42" s="2" t="s">
        <v>44</v>
      </c>
      <c r="C42" s="3">
        <v>2.0</v>
      </c>
      <c r="D42" s="11"/>
      <c r="E42" s="9"/>
      <c r="F42" s="37"/>
      <c r="G42" s="2"/>
    </row>
    <row r="43">
      <c r="B43" s="2" t="s">
        <v>45</v>
      </c>
      <c r="C43" s="3">
        <v>30.0</v>
      </c>
      <c r="D43" s="11"/>
      <c r="E43" s="9"/>
      <c r="F43" s="37"/>
      <c r="G43" s="2"/>
    </row>
    <row r="44">
      <c r="B44" s="30" t="s">
        <v>5</v>
      </c>
      <c r="C44" s="31">
        <v>0.0</v>
      </c>
      <c r="D44" s="32"/>
      <c r="E44" s="33" t="s">
        <v>46</v>
      </c>
      <c r="F44" s="34">
        <f>(C42/(C$35+C$36+C$39+C$42) * C43 * Taxi!E5)/C$45/1000</f>
        <v>0.01539855072</v>
      </c>
      <c r="G44" s="30" t="s">
        <v>7</v>
      </c>
    </row>
    <row r="45">
      <c r="B45" s="2" t="s">
        <v>47</v>
      </c>
      <c r="C45" s="3">
        <v>8.0</v>
      </c>
      <c r="D45" s="11"/>
      <c r="E45" s="9" t="s">
        <v>48</v>
      </c>
      <c r="F45" s="10">
        <f>SUM(F38,F41,F44)</f>
        <v>0.229809094</v>
      </c>
      <c r="G45" s="2" t="s">
        <v>7</v>
      </c>
    </row>
    <row r="46" ht="3.75" customHeight="1">
      <c r="A46" s="13"/>
      <c r="B46" s="13"/>
      <c r="C46" s="13"/>
      <c r="D46" s="14"/>
      <c r="E46" s="15"/>
      <c r="F46" s="16"/>
      <c r="G46" s="13"/>
    </row>
    <row r="47">
      <c r="A47" s="1" t="s">
        <v>49</v>
      </c>
      <c r="B47" s="2" t="s">
        <v>50</v>
      </c>
      <c r="C47" s="3">
        <v>0.94</v>
      </c>
      <c r="D47" s="11"/>
      <c r="E47" s="18"/>
      <c r="F47" s="7"/>
      <c r="G47" s="8"/>
    </row>
    <row r="48">
      <c r="B48" s="2" t="s">
        <v>51</v>
      </c>
      <c r="C48" s="3">
        <v>0.65</v>
      </c>
      <c r="D48" s="11"/>
    </row>
    <row r="49">
      <c r="B49" s="2" t="s">
        <v>52</v>
      </c>
      <c r="C49" s="3">
        <v>15.0</v>
      </c>
      <c r="D49" s="11"/>
      <c r="E49" s="9" t="s">
        <v>53</v>
      </c>
      <c r="F49" s="10">
        <f>C47*C48/C49</f>
        <v>0.04073333333</v>
      </c>
      <c r="G49" s="2" t="s">
        <v>7</v>
      </c>
    </row>
    <row r="50" ht="3.75" customHeight="1">
      <c r="A50" s="38"/>
      <c r="B50" s="38" t="s">
        <v>54</v>
      </c>
      <c r="C50" s="16"/>
      <c r="D50" s="14"/>
      <c r="E50" s="15"/>
      <c r="F50" s="39" t="s">
        <v>55</v>
      </c>
      <c r="G50" s="13"/>
    </row>
    <row r="51">
      <c r="A51" s="1" t="s">
        <v>56</v>
      </c>
      <c r="B51" s="2" t="s">
        <v>57</v>
      </c>
      <c r="C51" s="40">
        <v>30.0</v>
      </c>
      <c r="D51" s="11"/>
      <c r="E51" s="18"/>
      <c r="F51" s="7"/>
      <c r="G51" s="8"/>
    </row>
    <row r="52">
      <c r="B52" s="2" t="s">
        <v>58</v>
      </c>
      <c r="C52" s="3">
        <v>1.629</v>
      </c>
      <c r="D52" s="11"/>
    </row>
    <row r="53">
      <c r="B53" s="2" t="s">
        <v>59</v>
      </c>
      <c r="C53" s="3">
        <v>2.3</v>
      </c>
      <c r="D53" s="11"/>
      <c r="E53" s="9"/>
      <c r="F53" s="3"/>
      <c r="G53" s="2"/>
    </row>
    <row r="54">
      <c r="B54" s="2" t="s">
        <v>47</v>
      </c>
      <c r="C54" s="3">
        <v>100.0</v>
      </c>
      <c r="D54" s="11"/>
      <c r="E54" s="9" t="s">
        <v>60</v>
      </c>
      <c r="F54" s="10">
        <f>C51/C52 * C53 / C54</f>
        <v>0.423572744</v>
      </c>
      <c r="G54" s="2" t="s">
        <v>7</v>
      </c>
    </row>
    <row r="55" ht="3.75" customHeight="1">
      <c r="A55" s="13"/>
      <c r="B55" s="13"/>
      <c r="C55" s="16"/>
      <c r="D55" s="14"/>
      <c r="E55" s="15"/>
      <c r="F55" s="16"/>
      <c r="G55" s="13"/>
    </row>
    <row r="56">
      <c r="A56" s="41" t="s">
        <v>61</v>
      </c>
      <c r="B56" s="42" t="s">
        <v>62</v>
      </c>
      <c r="C56" s="7"/>
      <c r="D56" s="11"/>
      <c r="E56" s="18"/>
      <c r="F56" s="7"/>
      <c r="G56" s="8"/>
    </row>
    <row r="57">
      <c r="B57" s="2" t="s">
        <v>63</v>
      </c>
      <c r="C57" s="7"/>
      <c r="D57" s="11"/>
    </row>
    <row r="58">
      <c r="B58" s="2" t="s">
        <v>64</v>
      </c>
      <c r="C58" s="7"/>
      <c r="D58" s="11"/>
      <c r="E58" s="9" t="s">
        <v>65</v>
      </c>
      <c r="F58" s="10">
        <v>4.1067</v>
      </c>
      <c r="G58" s="2" t="s">
        <v>7</v>
      </c>
    </row>
    <row r="59">
      <c r="B59" s="43" t="s">
        <v>62</v>
      </c>
      <c r="C59" s="44"/>
      <c r="D59" s="27"/>
      <c r="E59" s="28"/>
      <c r="F59" s="35"/>
      <c r="G59" s="25"/>
    </row>
    <row r="60">
      <c r="B60" s="2" t="s">
        <v>66</v>
      </c>
      <c r="C60" s="7"/>
      <c r="D60" s="11"/>
      <c r="E60" s="9"/>
      <c r="F60" s="3"/>
      <c r="G60" s="2"/>
    </row>
    <row r="61">
      <c r="B61" s="2" t="s">
        <v>67</v>
      </c>
      <c r="C61" s="7"/>
      <c r="D61" s="11"/>
      <c r="E61" s="9" t="s">
        <v>68</v>
      </c>
      <c r="F61" s="10">
        <f>0.32/105</f>
        <v>0.003047619048</v>
      </c>
      <c r="G61" s="2" t="s">
        <v>7</v>
      </c>
    </row>
    <row r="62">
      <c r="B62" s="25" t="s">
        <v>69</v>
      </c>
      <c r="C62" s="44"/>
      <c r="D62" s="27"/>
      <c r="E62" s="28" t="s">
        <v>70</v>
      </c>
      <c r="F62" s="36">
        <f>F58+F61</f>
        <v>4.109747619</v>
      </c>
      <c r="G62" s="25" t="s">
        <v>7</v>
      </c>
    </row>
    <row r="63" ht="3.75" customHeight="1">
      <c r="A63" s="13"/>
      <c r="B63" s="13"/>
      <c r="C63" s="13"/>
      <c r="D63" s="45"/>
      <c r="E63" s="13"/>
      <c r="F63" s="16"/>
      <c r="G63" s="13"/>
    </row>
    <row r="64">
      <c r="A64" s="8"/>
      <c r="B64" s="8"/>
      <c r="C64" s="8"/>
      <c r="D64" s="45"/>
      <c r="E64" s="46" t="s">
        <v>71</v>
      </c>
      <c r="F64" s="47">
        <f>F18+F33+F45+F49+F54+F62</f>
        <v>10.80950696</v>
      </c>
      <c r="G64" s="46" t="s">
        <v>7</v>
      </c>
    </row>
    <row r="65">
      <c r="A65" s="8"/>
      <c r="B65" s="2" t="s">
        <v>72</v>
      </c>
      <c r="C65" s="2">
        <v>668.0</v>
      </c>
      <c r="D65" s="11"/>
      <c r="E65" s="46" t="s">
        <v>73</v>
      </c>
      <c r="F65" s="47">
        <f>C65*F64</f>
        <v>7220.750649</v>
      </c>
      <c r="G65" s="46" t="s">
        <v>7</v>
      </c>
    </row>
    <row r="66">
      <c r="A66" s="8"/>
      <c r="B66" s="2" t="s">
        <v>74</v>
      </c>
      <c r="C66" s="2">
        <v>9.03</v>
      </c>
      <c r="D66" s="11"/>
      <c r="E66" s="46" t="s">
        <v>75</v>
      </c>
      <c r="F66" s="47">
        <f>C66*365</f>
        <v>3295.95</v>
      </c>
      <c r="G66" s="46" t="s">
        <v>7</v>
      </c>
    </row>
    <row r="67">
      <c r="A67" s="8"/>
      <c r="B67" s="2"/>
      <c r="C67" s="2"/>
      <c r="D67" s="11"/>
      <c r="E67" s="46" t="s">
        <v>76</v>
      </c>
      <c r="F67" s="47">
        <f>F65/F66</f>
        <v>2.19079496</v>
      </c>
      <c r="G67" s="46"/>
    </row>
  </sheetData>
  <mergeCells count="9">
    <mergeCell ref="A51:A54"/>
    <mergeCell ref="A56:A62"/>
    <mergeCell ref="A1:A5"/>
    <mergeCell ref="F1:G1"/>
    <mergeCell ref="A7:A11"/>
    <mergeCell ref="A13:A18"/>
    <mergeCell ref="A20:A33"/>
    <mergeCell ref="A35:A45"/>
    <mergeCell ref="A47:A49"/>
  </mergeCells>
  <hyperlinks>
    <hyperlink r:id="rId2" ref="B56"/>
    <hyperlink r:id="rId3" ref="B59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12.75"/>
    <col customWidth="1" min="3" max="3" width="0.75"/>
    <col customWidth="1" min="4" max="4" width="24.63"/>
    <col customWidth="1" min="5" max="5" width="5.88"/>
    <col customWidth="1" min="6" max="6" width="1.88"/>
  </cols>
  <sheetData>
    <row r="1">
      <c r="A1" s="2" t="s">
        <v>77</v>
      </c>
      <c r="B1" s="3" t="s">
        <v>78</v>
      </c>
      <c r="C1" s="4"/>
      <c r="D1" s="2"/>
      <c r="E1" s="2"/>
      <c r="F1" s="2"/>
    </row>
    <row r="2">
      <c r="A2" s="2" t="s">
        <v>79</v>
      </c>
      <c r="B2" s="3" t="s">
        <v>80</v>
      </c>
      <c r="C2" s="4"/>
      <c r="D2" s="2"/>
      <c r="E2" s="2"/>
      <c r="F2" s="2"/>
    </row>
    <row r="3">
      <c r="A3" s="2" t="s">
        <v>81</v>
      </c>
      <c r="B3" s="3">
        <v>30.0</v>
      </c>
      <c r="C3" s="4"/>
      <c r="D3" s="8"/>
      <c r="E3" s="8"/>
      <c r="F3" s="8"/>
    </row>
    <row r="4">
      <c r="A4" s="2" t="s">
        <v>8</v>
      </c>
      <c r="B4" s="3">
        <v>2.0</v>
      </c>
      <c r="C4" s="11"/>
      <c r="D4" s="9" t="s">
        <v>82</v>
      </c>
      <c r="E4" s="48">
        <f>IF(B2="Mototaxi", B3*'Mototaxi (Old)'!E5/B4, 0)</f>
        <v>347.2222222</v>
      </c>
      <c r="F4" s="2" t="s">
        <v>83</v>
      </c>
    </row>
    <row r="5" ht="7.5" customHeight="1">
      <c r="A5" s="13"/>
      <c r="B5" s="13"/>
      <c r="C5" s="14"/>
      <c r="D5" s="15"/>
      <c r="E5" s="13"/>
      <c r="F5" s="13"/>
    </row>
    <row r="6">
      <c r="A6" s="3" t="s">
        <v>84</v>
      </c>
      <c r="C6" s="11"/>
      <c r="D6" s="18"/>
      <c r="E6" s="8"/>
      <c r="F6" s="8"/>
    </row>
    <row r="7">
      <c r="A7" s="2" t="s">
        <v>85</v>
      </c>
      <c r="B7" s="3" t="s">
        <v>78</v>
      </c>
      <c r="C7" s="4"/>
      <c r="D7" s="9"/>
      <c r="E7" s="2"/>
      <c r="F7" s="2"/>
    </row>
    <row r="8">
      <c r="A8" s="2" t="s">
        <v>79</v>
      </c>
      <c r="B8" s="3" t="s">
        <v>80</v>
      </c>
      <c r="C8" s="4"/>
      <c r="D8" s="9"/>
      <c r="E8" s="2"/>
      <c r="F8" s="2"/>
    </row>
    <row r="9">
      <c r="A9" s="2" t="s">
        <v>81</v>
      </c>
      <c r="B9" s="3">
        <v>30.0</v>
      </c>
      <c r="C9" s="4"/>
      <c r="D9" s="18"/>
      <c r="E9" s="8"/>
      <c r="F9" s="8"/>
    </row>
    <row r="10">
      <c r="A10" s="2" t="s">
        <v>8</v>
      </c>
      <c r="B10" s="3">
        <v>2.0</v>
      </c>
      <c r="C10" s="4"/>
      <c r="D10" s="9" t="s">
        <v>86</v>
      </c>
      <c r="E10" s="48">
        <f>IF(B8="Mototaxi", B9*'Mototaxi (Old)'!E5/B10, 0)</f>
        <v>347.2222222</v>
      </c>
      <c r="F10" s="2" t="s">
        <v>83</v>
      </c>
    </row>
    <row r="11" ht="7.5" customHeight="1">
      <c r="A11" s="13"/>
      <c r="B11" s="13"/>
      <c r="C11" s="14"/>
      <c r="D11" s="15"/>
      <c r="E11" s="13"/>
      <c r="F11" s="13"/>
    </row>
    <row r="12">
      <c r="A12" s="2" t="s">
        <v>87</v>
      </c>
      <c r="B12" s="8"/>
      <c r="C12" s="11"/>
      <c r="D12" s="18"/>
      <c r="E12" s="8"/>
      <c r="F12" s="8"/>
    </row>
    <row r="13">
      <c r="A13" s="8"/>
      <c r="B13" s="8"/>
      <c r="C13" s="11"/>
      <c r="D13" s="9" t="s">
        <v>88</v>
      </c>
      <c r="E13" s="2">
        <v>0.0</v>
      </c>
      <c r="F13" s="2" t="s">
        <v>83</v>
      </c>
    </row>
    <row r="14" ht="7.5" customHeight="1">
      <c r="A14" s="13"/>
      <c r="B14" s="13"/>
      <c r="C14" s="14"/>
      <c r="D14" s="15"/>
      <c r="E14" s="13"/>
      <c r="F14" s="13"/>
    </row>
    <row r="15">
      <c r="A15" s="2" t="s">
        <v>89</v>
      </c>
      <c r="B15" s="3" t="s">
        <v>80</v>
      </c>
      <c r="C15" s="11"/>
      <c r="D15" s="18"/>
      <c r="E15" s="8"/>
      <c r="F15" s="8"/>
    </row>
    <row r="16">
      <c r="A16" s="2" t="s">
        <v>81</v>
      </c>
      <c r="B16" s="3">
        <v>30.0</v>
      </c>
      <c r="C16" s="11"/>
      <c r="D16" s="18"/>
      <c r="E16" s="8"/>
      <c r="F16" s="8"/>
    </row>
    <row r="17">
      <c r="A17" s="2" t="s">
        <v>90</v>
      </c>
      <c r="B17" s="3">
        <v>2.0</v>
      </c>
      <c r="C17" s="11"/>
      <c r="D17" s="9" t="s">
        <v>91</v>
      </c>
      <c r="E17" s="48">
        <f>IF(B15="Mototaxi", B16*'Mototaxi (Old)'!E5/B17, 0)</f>
        <v>347.2222222</v>
      </c>
      <c r="F17" s="2" t="s">
        <v>83</v>
      </c>
    </row>
    <row r="18" ht="7.5" customHeight="1">
      <c r="A18" s="13"/>
      <c r="B18" s="13"/>
      <c r="C18" s="14"/>
      <c r="D18" s="15"/>
      <c r="E18" s="13"/>
      <c r="F18" s="13"/>
    </row>
    <row r="19">
      <c r="A19" s="2" t="s">
        <v>92</v>
      </c>
      <c r="B19" s="8"/>
      <c r="C19" s="11"/>
      <c r="D19" s="18"/>
      <c r="E19" s="8"/>
      <c r="F19" s="8"/>
    </row>
    <row r="20">
      <c r="A20" s="8"/>
      <c r="B20" s="8"/>
      <c r="C20" s="11"/>
      <c r="D20" s="9" t="s">
        <v>93</v>
      </c>
      <c r="E20" s="2">
        <v>40.0</v>
      </c>
      <c r="F20" s="2" t="s">
        <v>83</v>
      </c>
    </row>
    <row r="21" ht="7.5" customHeight="1">
      <c r="A21" s="38" t="s">
        <v>54</v>
      </c>
      <c r="B21" s="13"/>
      <c r="C21" s="14"/>
      <c r="D21" s="15"/>
      <c r="E21" s="13"/>
      <c r="F21" s="13"/>
    </row>
    <row r="22">
      <c r="A22" s="2" t="s">
        <v>94</v>
      </c>
      <c r="B22" s="8"/>
      <c r="C22" s="11"/>
      <c r="D22" s="18"/>
      <c r="E22" s="8"/>
      <c r="F22" s="8"/>
    </row>
    <row r="23">
      <c r="A23" s="8"/>
      <c r="B23" s="8"/>
      <c r="C23" s="11"/>
      <c r="D23" s="9" t="s">
        <v>95</v>
      </c>
      <c r="E23" s="2">
        <v>0.0</v>
      </c>
      <c r="F23" s="2" t="s">
        <v>83</v>
      </c>
    </row>
    <row r="24" ht="7.5" customHeight="1">
      <c r="A24" s="13"/>
      <c r="B24" s="13"/>
      <c r="C24" s="14"/>
      <c r="D24" s="15"/>
      <c r="E24" s="13"/>
      <c r="F24" s="13"/>
    </row>
    <row r="25">
      <c r="A25" s="2" t="s">
        <v>96</v>
      </c>
      <c r="B25" s="8"/>
      <c r="C25" s="11"/>
      <c r="D25" s="18"/>
      <c r="E25" s="8"/>
      <c r="F25" s="8"/>
    </row>
    <row r="26">
      <c r="A26" s="8"/>
      <c r="B26" s="8"/>
      <c r="C26" s="11"/>
      <c r="D26" s="9" t="s">
        <v>97</v>
      </c>
      <c r="E26" s="2">
        <v>0.0</v>
      </c>
      <c r="F26" s="2" t="s">
        <v>83</v>
      </c>
    </row>
    <row r="27" ht="7.5" customHeight="1">
      <c r="A27" s="13"/>
      <c r="B27" s="13"/>
      <c r="C27" s="14"/>
      <c r="D27" s="13"/>
      <c r="E27" s="13"/>
      <c r="F27" s="13"/>
    </row>
    <row r="28">
      <c r="A28" s="8"/>
      <c r="B28" s="8"/>
      <c r="C28" s="11"/>
      <c r="D28" s="46" t="s">
        <v>98</v>
      </c>
      <c r="E28" s="49">
        <f>SUM(E1:E26)</f>
        <v>1081.666667</v>
      </c>
      <c r="F28" s="46" t="s">
        <v>83</v>
      </c>
    </row>
  </sheetData>
  <mergeCells count="1">
    <mergeCell ref="A6:B6"/>
  </mergeCells>
  <dataValidations>
    <dataValidation type="list" allowBlank="1" showErrorMessage="1" sqref="B2 B8">
      <formula1>"Walking,Mototaxi,N/A"</formula1>
    </dataValidation>
    <dataValidation type="list" allowBlank="1" showErrorMessage="1" sqref="B1 B7">
      <formula1>"Buying,Collecting"</formula1>
    </dataValidation>
    <dataValidation type="list" allowBlank="1" showErrorMessage="1" sqref="B15">
      <formula1>"Walking,Mototaxi"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.38"/>
    <col customWidth="1" min="3" max="3" width="6.13"/>
    <col customWidth="1" min="4" max="4" width="18.75"/>
    <col customWidth="1" min="5" max="5" width="6.13"/>
    <col customWidth="1" min="6" max="6" width="7.0"/>
  </cols>
  <sheetData>
    <row r="1">
      <c r="A1" s="50" t="s">
        <v>99</v>
      </c>
      <c r="B1" s="51">
        <v>5.2</v>
      </c>
      <c r="C1" s="52" t="s">
        <v>100</v>
      </c>
      <c r="D1" s="53"/>
      <c r="E1" s="54"/>
      <c r="F1" s="55"/>
    </row>
    <row r="2">
      <c r="A2" s="56" t="s">
        <v>101</v>
      </c>
      <c r="B2" s="57">
        <v>6.0</v>
      </c>
      <c r="C2" s="58" t="s">
        <v>100</v>
      </c>
      <c r="D2" s="59" t="s">
        <v>102</v>
      </c>
      <c r="E2" s="60"/>
      <c r="F2" s="61"/>
    </row>
    <row r="3">
      <c r="A3" s="56" t="s">
        <v>103</v>
      </c>
      <c r="B3" s="57">
        <v>190.0</v>
      </c>
      <c r="D3" s="62" t="s">
        <v>104</v>
      </c>
      <c r="E3" s="63">
        <v>40.0</v>
      </c>
      <c r="F3" s="64" t="s">
        <v>105</v>
      </c>
    </row>
    <row r="4">
      <c r="A4" s="56" t="s">
        <v>106</v>
      </c>
      <c r="B4" s="65">
        <f>B3*B2*52</f>
        <v>59280</v>
      </c>
      <c r="C4" s="66" t="s">
        <v>107</v>
      </c>
      <c r="D4" s="67" t="s">
        <v>108</v>
      </c>
      <c r="E4" s="65">
        <f>60/E3</f>
        <v>1.5</v>
      </c>
      <c r="F4" s="66" t="s">
        <v>107</v>
      </c>
    </row>
    <row r="5">
      <c r="A5" s="68" t="s">
        <v>109</v>
      </c>
      <c r="B5" s="69">
        <f>B1/B4 * 10^6</f>
        <v>87.71929825</v>
      </c>
      <c r="C5" s="70" t="s">
        <v>107</v>
      </c>
      <c r="D5" s="71" t="s">
        <v>110</v>
      </c>
      <c r="E5" s="69">
        <f>B5/E4</f>
        <v>58.47953216</v>
      </c>
      <c r="F5" s="70" t="s">
        <v>107</v>
      </c>
    </row>
    <row r="6">
      <c r="A6" s="56" t="s">
        <v>111</v>
      </c>
      <c r="B6" s="72"/>
      <c r="C6" s="66"/>
      <c r="D6" s="56"/>
      <c r="E6" s="72"/>
      <c r="F6" s="66"/>
    </row>
  </sheetData>
  <mergeCells count="1">
    <mergeCell ref="C2:C3"/>
  </mergeCells>
  <hyperlinks>
    <hyperlink r:id="rId1" ref="C1"/>
    <hyperlink r:id="rId2" ref="C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.38"/>
    <col customWidth="1" min="3" max="3" width="6.13"/>
    <col customWidth="1" min="4" max="4" width="18.75"/>
    <col customWidth="1" min="5" max="5" width="6.13"/>
    <col customWidth="1" min="6" max="6" width="7.0"/>
  </cols>
  <sheetData>
    <row r="1">
      <c r="A1" s="50" t="s">
        <v>99</v>
      </c>
      <c r="B1" s="51">
        <v>5.2</v>
      </c>
      <c r="C1" s="52" t="s">
        <v>100</v>
      </c>
      <c r="D1" s="53"/>
      <c r="E1" s="54"/>
      <c r="F1" s="55"/>
    </row>
    <row r="2">
      <c r="A2" s="56" t="s">
        <v>101</v>
      </c>
      <c r="B2" s="57">
        <v>6.0</v>
      </c>
      <c r="C2" s="58" t="s">
        <v>100</v>
      </c>
      <c r="D2" s="59" t="s">
        <v>102</v>
      </c>
      <c r="E2" s="60"/>
      <c r="F2" s="61"/>
    </row>
    <row r="3">
      <c r="A3" s="56" t="s">
        <v>103</v>
      </c>
      <c r="B3" s="57">
        <v>190.0</v>
      </c>
      <c r="D3" s="62" t="s">
        <v>112</v>
      </c>
      <c r="E3" s="63">
        <v>12.0</v>
      </c>
      <c r="F3" s="64" t="s">
        <v>105</v>
      </c>
    </row>
    <row r="4">
      <c r="A4" s="56" t="s">
        <v>106</v>
      </c>
      <c r="B4" s="65">
        <f>B3*B2*52</f>
        <v>59280</v>
      </c>
      <c r="C4" s="66" t="s">
        <v>107</v>
      </c>
      <c r="D4" s="67" t="s">
        <v>113</v>
      </c>
      <c r="E4" s="65">
        <f>E3*60*B2*52</f>
        <v>224640</v>
      </c>
      <c r="F4" s="66" t="s">
        <v>107</v>
      </c>
    </row>
    <row r="5">
      <c r="A5" s="68" t="s">
        <v>109</v>
      </c>
      <c r="B5" s="73">
        <f>B1/B4 * 10^6</f>
        <v>87.71929825</v>
      </c>
      <c r="C5" s="70" t="s">
        <v>107</v>
      </c>
      <c r="D5" s="71" t="s">
        <v>110</v>
      </c>
      <c r="E5" s="73">
        <f>B1/E4 * 10^6</f>
        <v>23.14814815</v>
      </c>
      <c r="F5" s="70" t="s">
        <v>107</v>
      </c>
    </row>
    <row r="6">
      <c r="A6" s="56" t="s">
        <v>111</v>
      </c>
      <c r="B6" s="72"/>
      <c r="C6" s="66"/>
      <c r="D6" s="56"/>
      <c r="E6" s="72"/>
      <c r="F6" s="66"/>
    </row>
  </sheetData>
  <mergeCells count="1">
    <mergeCell ref="C2:C3"/>
  </mergeCells>
  <hyperlinks>
    <hyperlink r:id="rId1" ref="C1"/>
    <hyperlink r:id="rId2" ref="C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>
        <v>14.0</v>
      </c>
    </row>
    <row r="2">
      <c r="A2" s="74">
        <v>11.0</v>
      </c>
    </row>
    <row r="3">
      <c r="A3" s="74">
        <v>4.0</v>
      </c>
    </row>
    <row r="4">
      <c r="A4" s="74">
        <v>1.0</v>
      </c>
    </row>
    <row r="5">
      <c r="A5" s="74">
        <v>17.0</v>
      </c>
    </row>
    <row r="6">
      <c r="A6" s="74">
        <v>2.0</v>
      </c>
    </row>
    <row r="7">
      <c r="A7" s="74">
        <v>11.0</v>
      </c>
    </row>
    <row r="8">
      <c r="A8" s="74">
        <v>7.0</v>
      </c>
    </row>
    <row r="9">
      <c r="A9" s="74">
        <v>3.0</v>
      </c>
    </row>
    <row r="10">
      <c r="A10" s="74">
        <v>9.0</v>
      </c>
    </row>
    <row r="11">
      <c r="A11" s="74">
        <v>4.0</v>
      </c>
    </row>
    <row r="12">
      <c r="A12" s="74">
        <v>6.0</v>
      </c>
    </row>
    <row r="13">
      <c r="A13" s="74">
        <v>1.0</v>
      </c>
    </row>
    <row r="14">
      <c r="A14" s="74">
        <v>4.0</v>
      </c>
    </row>
    <row r="15">
      <c r="A15" s="74">
        <v>13.0</v>
      </c>
    </row>
    <row r="16">
      <c r="A16" s="74">
        <v>1.0</v>
      </c>
    </row>
    <row r="17">
      <c r="A17" s="74">
        <v>2.0</v>
      </c>
    </row>
    <row r="18">
      <c r="A18" s="74">
        <v>18.0</v>
      </c>
    </row>
    <row r="19">
      <c r="A19" s="74">
        <v>12.0</v>
      </c>
    </row>
    <row r="20">
      <c r="A20" s="74">
        <v>4.0</v>
      </c>
    </row>
    <row r="21">
      <c r="A21" s="74">
        <v>4.0</v>
      </c>
    </row>
    <row r="22">
      <c r="A22" s="74">
        <v>1.0</v>
      </c>
    </row>
    <row r="23">
      <c r="A23" s="74">
        <v>1.0</v>
      </c>
    </row>
    <row r="24">
      <c r="A24" s="74">
        <v>6.0</v>
      </c>
    </row>
    <row r="25">
      <c r="A25" s="74">
        <v>15.0</v>
      </c>
    </row>
    <row r="26">
      <c r="A26" s="74">
        <v>20.0</v>
      </c>
    </row>
    <row r="27">
      <c r="A27" s="74">
        <v>18.0</v>
      </c>
    </row>
    <row r="28">
      <c r="A28" s="74">
        <v>10.0</v>
      </c>
    </row>
    <row r="29">
      <c r="A29" s="74">
        <v>17.0</v>
      </c>
    </row>
    <row r="30">
      <c r="A30" s="74">
        <v>2.0</v>
      </c>
    </row>
    <row r="31">
      <c r="A31" s="74">
        <v>2.0</v>
      </c>
    </row>
    <row r="32">
      <c r="A32" s="74">
        <v>8.0</v>
      </c>
    </row>
    <row r="33">
      <c r="A33" s="74">
        <v>2.0</v>
      </c>
    </row>
    <row r="34">
      <c r="A34" s="74">
        <v>13.0</v>
      </c>
    </row>
    <row r="35">
      <c r="A35" s="75">
        <f>AVERAGE(A1:A34)</f>
        <v>7.735294118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.38"/>
    <col customWidth="1" min="3" max="3" width="6.13"/>
    <col customWidth="1" min="4" max="4" width="18.75"/>
    <col customWidth="1" min="5" max="5" width="6.13"/>
    <col customWidth="1" min="6" max="6" width="7.0"/>
  </cols>
  <sheetData>
    <row r="1">
      <c r="A1" s="50"/>
      <c r="B1" s="51"/>
      <c r="C1" s="76"/>
      <c r="D1" s="53"/>
      <c r="E1" s="54"/>
      <c r="F1" s="55"/>
    </row>
    <row r="2">
      <c r="A2" s="56"/>
      <c r="B2" s="57"/>
      <c r="C2" s="64"/>
      <c r="D2" s="59"/>
      <c r="E2" s="60"/>
      <c r="F2" s="61"/>
    </row>
    <row r="3">
      <c r="A3" s="56" t="s">
        <v>114</v>
      </c>
      <c r="B3" s="57"/>
      <c r="D3" s="62" t="s">
        <v>115</v>
      </c>
      <c r="E3" s="63">
        <v>40.0</v>
      </c>
      <c r="F3" s="64" t="s">
        <v>105</v>
      </c>
    </row>
    <row r="4">
      <c r="A4" s="56"/>
      <c r="B4" s="65"/>
      <c r="C4" s="66"/>
      <c r="D4" s="67" t="s">
        <v>108</v>
      </c>
      <c r="E4" s="65">
        <f>60/E3</f>
        <v>1.5</v>
      </c>
      <c r="F4" s="66" t="s">
        <v>107</v>
      </c>
    </row>
    <row r="5">
      <c r="A5" s="68" t="s">
        <v>109</v>
      </c>
      <c r="B5" s="77">
        <v>97.0</v>
      </c>
      <c r="C5" s="78" t="s">
        <v>100</v>
      </c>
      <c r="D5" s="71" t="s">
        <v>110</v>
      </c>
      <c r="E5" s="69">
        <f>B5/E4</f>
        <v>64.66666667</v>
      </c>
      <c r="F5" s="70" t="s">
        <v>107</v>
      </c>
    </row>
  </sheetData>
  <mergeCells count="1">
    <mergeCell ref="C2:C3"/>
  </mergeCells>
  <hyperlinks>
    <hyperlink r:id="rId1" ref="C5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.38"/>
    <col customWidth="1" min="3" max="3" width="6.13"/>
    <col customWidth="1" min="4" max="4" width="18.75"/>
    <col customWidth="1" min="5" max="5" width="6.13"/>
    <col customWidth="1" min="6" max="6" width="7.0"/>
  </cols>
  <sheetData>
    <row r="1">
      <c r="A1" s="50"/>
      <c r="B1" s="51"/>
      <c r="C1" s="76"/>
      <c r="D1" s="53"/>
      <c r="E1" s="54"/>
      <c r="F1" s="55"/>
    </row>
    <row r="2">
      <c r="A2" s="56"/>
      <c r="B2" s="57"/>
      <c r="C2" s="64"/>
      <c r="D2" s="59"/>
      <c r="E2" s="60"/>
      <c r="F2" s="61"/>
    </row>
    <row r="3">
      <c r="A3" s="56" t="s">
        <v>114</v>
      </c>
      <c r="B3" s="57"/>
      <c r="D3" s="62" t="s">
        <v>115</v>
      </c>
      <c r="E3" s="63">
        <v>50.0</v>
      </c>
      <c r="F3" s="64" t="s">
        <v>105</v>
      </c>
    </row>
    <row r="4">
      <c r="A4" s="56"/>
      <c r="B4" s="65"/>
      <c r="C4" s="66"/>
      <c r="D4" s="67" t="s">
        <v>108</v>
      </c>
      <c r="E4" s="65">
        <f>60/E3</f>
        <v>1.2</v>
      </c>
      <c r="F4" s="66" t="s">
        <v>107</v>
      </c>
    </row>
    <row r="5">
      <c r="A5" s="68" t="s">
        <v>109</v>
      </c>
      <c r="B5" s="77">
        <v>170.0</v>
      </c>
      <c r="C5" s="78" t="s">
        <v>100</v>
      </c>
      <c r="D5" s="71" t="s">
        <v>110</v>
      </c>
      <c r="E5" s="69">
        <f>B5/E4</f>
        <v>141.6666667</v>
      </c>
      <c r="F5" s="70" t="s">
        <v>107</v>
      </c>
    </row>
  </sheetData>
  <mergeCells count="1">
    <mergeCell ref="C2:C3"/>
  </mergeCells>
  <hyperlinks>
    <hyperlink r:id="rId1" ref="C5"/>
  </hyperlinks>
  <drawing r:id="rId2"/>
</worksheet>
</file>