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5195" windowHeight="8190"/>
  </bookViews>
  <sheets>
    <sheet name="JOGOS" sheetId="1" r:id="rId1"/>
    <sheet name="CLASSIFICAÇÃO" sheetId="2" r:id="rId2"/>
    <sheet name="DIAGRAMA" sheetId="4" r:id="rId3"/>
    <sheet name="ESTATÍSTICAS" sheetId="5" r:id="rId4"/>
    <sheet name="Sorteio&amp;Cálculos" sheetId="3" state="hidden" r:id="rId5"/>
    <sheet name="Bandeiras" sheetId="6" state="hidden" r:id="rId6"/>
  </sheets>
  <definedNames>
    <definedName name="_xlnm._FilterDatabase" localSheetId="0" hidden="1">JOGOS!$C$10:$K$84</definedName>
    <definedName name="BandCamp">INDEX(Bandeiras!$E$4:$E$36,MATCH(JOGOS!$P$88,Bandeiras!$D$4:$D$36,0))</definedName>
    <definedName name="BandDest">INDEX(Bandeiras!$E$4:$E$36,MATCH(JOGOS!$Q$8,Bandeiras!$D$4:$D$36,0))</definedName>
  </definedNames>
  <calcPr calcId="144525"/>
</workbook>
</file>

<file path=xl/calcChain.xml><?xml version="1.0" encoding="utf-8"?>
<calcChain xmlns="http://schemas.openxmlformats.org/spreadsheetml/2006/main">
  <c r="L6" i="1" l="1"/>
  <c r="Q9" i="1" l="1"/>
  <c r="B113" i="3" l="1"/>
  <c r="B101" i="3"/>
  <c r="D58" i="1"/>
  <c r="D57" i="1"/>
  <c r="D56" i="1"/>
  <c r="D55" i="1"/>
  <c r="D54" i="1"/>
  <c r="D53" i="1"/>
  <c r="D52" i="1"/>
  <c r="D51" i="1"/>
  <c r="D50" i="1"/>
  <c r="D49" i="1"/>
  <c r="D48" i="1"/>
  <c r="D47" i="1"/>
  <c r="D46" i="1"/>
  <c r="D45" i="1"/>
  <c r="D44" i="1"/>
  <c r="D43" i="1"/>
  <c r="D40" i="1"/>
  <c r="D41" i="1"/>
  <c r="D42" i="1"/>
  <c r="D38" i="1"/>
  <c r="D39" i="1"/>
  <c r="D37" i="1"/>
  <c r="D36" i="1"/>
  <c r="D35" i="1"/>
  <c r="D34" i="1"/>
  <c r="D33" i="1"/>
  <c r="D31" i="1"/>
  <c r="D32" i="1"/>
  <c r="D29" i="1"/>
  <c r="D28" i="1"/>
  <c r="D30" i="1"/>
  <c r="D27" i="1"/>
  <c r="D25" i="1"/>
  <c r="D26" i="1"/>
  <c r="D24" i="1"/>
  <c r="D23" i="1"/>
  <c r="D22" i="1"/>
  <c r="D21" i="1"/>
  <c r="D20" i="1"/>
  <c r="D19" i="1"/>
  <c r="D17" i="1"/>
  <c r="D18" i="1"/>
  <c r="D16" i="1"/>
  <c r="D15" i="1"/>
  <c r="D14" i="1"/>
  <c r="D13" i="1"/>
  <c r="B114" i="3"/>
  <c r="B112" i="3"/>
  <c r="B111" i="3"/>
  <c r="B110" i="3"/>
  <c r="B109" i="3"/>
  <c r="B108" i="3"/>
  <c r="B107" i="3"/>
  <c r="B106" i="3"/>
  <c r="B105" i="3"/>
  <c r="B104" i="3"/>
  <c r="B103" i="3"/>
  <c r="B102" i="3"/>
  <c r="B100" i="3"/>
  <c r="B99" i="3"/>
  <c r="B98" i="3"/>
  <c r="B97" i="3"/>
  <c r="B96" i="3"/>
  <c r="B95" i="3"/>
  <c r="B94" i="3"/>
  <c r="B93" i="3"/>
  <c r="B92" i="3"/>
  <c r="B91" i="3"/>
  <c r="B90" i="3"/>
  <c r="B89" i="3"/>
  <c r="B88" i="3"/>
  <c r="B87" i="3"/>
  <c r="B86" i="3"/>
  <c r="B85" i="3"/>
  <c r="B84" i="3"/>
  <c r="B83" i="3" l="1"/>
  <c r="D4"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AU6" i="3"/>
  <c r="Q8" i="1"/>
  <c r="N5" i="5" s="1"/>
  <c r="M22" i="4"/>
  <c r="M21" i="4"/>
  <c r="M16" i="4"/>
  <c r="M15" i="4"/>
  <c r="J20" i="4"/>
  <c r="J19" i="4"/>
  <c r="J12" i="4"/>
  <c r="J11" i="4"/>
  <c r="G22" i="4"/>
  <c r="G21" i="4"/>
  <c r="G18" i="4"/>
  <c r="G17" i="4"/>
  <c r="G14" i="4"/>
  <c r="G13" i="4"/>
  <c r="G10" i="4"/>
  <c r="G9" i="4"/>
  <c r="D23" i="4"/>
  <c r="D22" i="4"/>
  <c r="D21" i="4"/>
  <c r="D20" i="4"/>
  <c r="D19" i="4"/>
  <c r="D18" i="4"/>
  <c r="D17" i="4"/>
  <c r="D16" i="4"/>
  <c r="D15" i="4"/>
  <c r="D14" i="4"/>
  <c r="D13" i="4"/>
  <c r="D12" i="4"/>
  <c r="D11" i="4"/>
  <c r="D10" i="4"/>
  <c r="D9" i="4"/>
  <c r="D8" i="4"/>
  <c r="B38" i="3"/>
  <c r="N50" i="3" s="1"/>
  <c r="K25" i="1" s="1"/>
  <c r="B37" i="3"/>
  <c r="N54" i="3" s="1"/>
  <c r="K56" i="1" s="1"/>
  <c r="B36" i="3"/>
  <c r="B35" i="3"/>
  <c r="Y35" i="3" s="1"/>
  <c r="Y25" i="2" s="1"/>
  <c r="B34" i="3"/>
  <c r="N44" i="3" s="1"/>
  <c r="K24" i="1" s="1"/>
  <c r="B33" i="3"/>
  <c r="N48" i="3" s="1"/>
  <c r="K58" i="1" s="1"/>
  <c r="B32" i="3"/>
  <c r="B31" i="3"/>
  <c r="B30" i="3"/>
  <c r="Y30" i="3" s="1"/>
  <c r="Y22" i="2" s="1"/>
  <c r="B29" i="3"/>
  <c r="N42" i="3" s="1"/>
  <c r="K52" i="1" s="1"/>
  <c r="B28" i="3"/>
  <c r="B27" i="3"/>
  <c r="J37" i="3" s="1"/>
  <c r="G20" i="1" s="1"/>
  <c r="B26" i="3"/>
  <c r="Y26" i="3" s="1"/>
  <c r="L22" i="2" s="1"/>
  <c r="B25" i="3"/>
  <c r="N36" i="3" s="1"/>
  <c r="K54" i="1" s="1"/>
  <c r="B24" i="3"/>
  <c r="B23" i="3"/>
  <c r="B22" i="3"/>
  <c r="Y22" i="3" s="1"/>
  <c r="Y16" i="2" s="1"/>
  <c r="B21" i="3"/>
  <c r="N30" i="3" s="1"/>
  <c r="K50" i="1" s="1"/>
  <c r="B20" i="3"/>
  <c r="B19" i="3"/>
  <c r="J25" i="3" s="1"/>
  <c r="B18" i="3"/>
  <c r="Y18" i="3" s="1"/>
  <c r="L16" i="2" s="1"/>
  <c r="B17" i="3"/>
  <c r="N24" i="3" s="1"/>
  <c r="K48" i="1" s="1"/>
  <c r="B16" i="3"/>
  <c r="B15" i="3"/>
  <c r="B14" i="3"/>
  <c r="N14" i="3" s="1"/>
  <c r="B13" i="3"/>
  <c r="N18" i="3" s="1"/>
  <c r="K46" i="1" s="1"/>
  <c r="B12" i="3"/>
  <c r="N16" i="3" s="1"/>
  <c r="K30" i="1" s="1"/>
  <c r="B11" i="3"/>
  <c r="J13" i="3" s="1"/>
  <c r="B10" i="3"/>
  <c r="N8" i="3" s="1"/>
  <c r="B9" i="3"/>
  <c r="N12" i="3" s="1"/>
  <c r="K44" i="1" s="1"/>
  <c r="B8" i="3"/>
  <c r="N10" i="3" s="1"/>
  <c r="K29" i="1" s="1"/>
  <c r="B7" i="3"/>
  <c r="J7" i="3" s="1"/>
  <c r="AH38" i="3"/>
  <c r="AH37" i="3"/>
  <c r="AH36" i="3"/>
  <c r="AH35" i="3"/>
  <c r="AH34" i="3"/>
  <c r="AH33" i="3"/>
  <c r="AH32" i="3"/>
  <c r="AH31" i="3"/>
  <c r="M54" i="3"/>
  <c r="M53" i="3"/>
  <c r="M52" i="3"/>
  <c r="M51" i="3"/>
  <c r="M50" i="3"/>
  <c r="M49" i="3"/>
  <c r="M48" i="3"/>
  <c r="M47" i="3"/>
  <c r="M46" i="3"/>
  <c r="M45" i="3"/>
  <c r="M44" i="3"/>
  <c r="M43" i="3"/>
  <c r="K54" i="3"/>
  <c r="K53" i="3"/>
  <c r="K52" i="3"/>
  <c r="K51" i="3"/>
  <c r="K50" i="3"/>
  <c r="K49" i="3"/>
  <c r="K48" i="3"/>
  <c r="K47" i="3"/>
  <c r="K46" i="3"/>
  <c r="K45" i="3"/>
  <c r="K44" i="3"/>
  <c r="K43" i="3"/>
  <c r="F56" i="1"/>
  <c r="E56" i="1"/>
  <c r="C56" i="1"/>
  <c r="F55" i="1"/>
  <c r="E55" i="1"/>
  <c r="C55" i="1"/>
  <c r="F58" i="1"/>
  <c r="E58" i="1"/>
  <c r="C58" i="1"/>
  <c r="F57" i="1"/>
  <c r="E57" i="1"/>
  <c r="C57" i="1"/>
  <c r="F52" i="1"/>
  <c r="E52" i="1"/>
  <c r="C52" i="1"/>
  <c r="F51" i="1"/>
  <c r="E51" i="1"/>
  <c r="C51" i="1"/>
  <c r="F54" i="1"/>
  <c r="E54" i="1"/>
  <c r="C54" i="1"/>
  <c r="F53" i="1"/>
  <c r="E53" i="1"/>
  <c r="C53" i="1"/>
  <c r="F50" i="1"/>
  <c r="E50" i="1"/>
  <c r="C50" i="1"/>
  <c r="F49" i="1"/>
  <c r="E49" i="1"/>
  <c r="C49" i="1"/>
  <c r="F48" i="1"/>
  <c r="E48" i="1"/>
  <c r="C48" i="1"/>
  <c r="F47" i="1"/>
  <c r="E47" i="1"/>
  <c r="C47" i="1"/>
  <c r="N52" i="3"/>
  <c r="K41" i="1" s="1"/>
  <c r="N46" i="3"/>
  <c r="K40" i="1" s="1"/>
  <c r="Y31" i="3"/>
  <c r="L25" i="2" s="1"/>
  <c r="N40" i="3"/>
  <c r="K38" i="1" s="1"/>
  <c r="N34" i="3"/>
  <c r="K36" i="1" s="1"/>
  <c r="J31" i="3"/>
  <c r="G21" i="1" s="1"/>
  <c r="N28" i="3"/>
  <c r="K35" i="1" s="1"/>
  <c r="N22" i="3"/>
  <c r="K31" i="1" s="1"/>
  <c r="J19" i="3"/>
  <c r="G15" i="1" s="1"/>
  <c r="F81" i="1"/>
  <c r="F78" i="1"/>
  <c r="F77" i="1"/>
  <c r="F73" i="1"/>
  <c r="F74" i="1"/>
  <c r="F72" i="1"/>
  <c r="F71" i="1"/>
  <c r="F68" i="1"/>
  <c r="F67" i="1"/>
  <c r="F66" i="1"/>
  <c r="F65" i="1"/>
  <c r="F64" i="1"/>
  <c r="F63" i="1"/>
  <c r="F61" i="1"/>
  <c r="F62" i="1"/>
  <c r="AH10" i="3"/>
  <c r="AH30" i="3"/>
  <c r="AH29" i="3"/>
  <c r="AH28" i="3"/>
  <c r="AH27" i="3"/>
  <c r="AH26" i="3"/>
  <c r="AH25" i="3"/>
  <c r="AH24" i="3"/>
  <c r="AH23" i="3"/>
  <c r="AH22" i="3"/>
  <c r="AH21" i="3"/>
  <c r="AH20" i="3"/>
  <c r="AH19" i="3"/>
  <c r="AH18" i="3"/>
  <c r="AH17" i="3"/>
  <c r="AH16" i="3"/>
  <c r="AH15" i="3"/>
  <c r="AH14" i="3"/>
  <c r="AH13" i="3"/>
  <c r="AH12" i="3"/>
  <c r="AH11" i="3"/>
  <c r="AH9" i="3"/>
  <c r="AH8" i="3"/>
  <c r="AH7" i="3"/>
  <c r="F46" i="1"/>
  <c r="F45" i="1"/>
  <c r="F44" i="1"/>
  <c r="F43" i="1"/>
  <c r="F41" i="1"/>
  <c r="F42" i="1"/>
  <c r="F40" i="1"/>
  <c r="F37" i="1"/>
  <c r="F38" i="1"/>
  <c r="F39" i="1"/>
  <c r="F36" i="1"/>
  <c r="F34" i="1"/>
  <c r="F35" i="1"/>
  <c r="F33" i="1"/>
  <c r="F31" i="1"/>
  <c r="F32" i="1"/>
  <c r="F30" i="1"/>
  <c r="F28" i="1"/>
  <c r="F29" i="1"/>
  <c r="F27" i="1"/>
  <c r="F25" i="1"/>
  <c r="F26" i="1"/>
  <c r="F24" i="1"/>
  <c r="F23" i="1"/>
  <c r="F22" i="1"/>
  <c r="F20" i="1"/>
  <c r="F19" i="1"/>
  <c r="F21" i="1"/>
  <c r="F18" i="1"/>
  <c r="F16" i="1"/>
  <c r="F17" i="1"/>
  <c r="F15" i="1"/>
  <c r="F13" i="1"/>
  <c r="F14" i="1"/>
  <c r="F12" i="1"/>
  <c r="F11" i="1"/>
  <c r="E84" i="1"/>
  <c r="E81" i="1"/>
  <c r="E78" i="1"/>
  <c r="E77" i="1"/>
  <c r="E73" i="1"/>
  <c r="E74" i="1"/>
  <c r="E72" i="1"/>
  <c r="E71" i="1"/>
  <c r="E68" i="1"/>
  <c r="E67" i="1"/>
  <c r="E66" i="1"/>
  <c r="E65" i="1"/>
  <c r="E64" i="1"/>
  <c r="E63" i="1"/>
  <c r="E61" i="1"/>
  <c r="E62" i="1"/>
  <c r="E46" i="1"/>
  <c r="E45" i="1"/>
  <c r="E44" i="1"/>
  <c r="E43" i="1"/>
  <c r="E41" i="1"/>
  <c r="E42" i="1"/>
  <c r="E40" i="1"/>
  <c r="E37" i="1"/>
  <c r="E38" i="1"/>
  <c r="E39" i="1"/>
  <c r="E36" i="1"/>
  <c r="E34" i="1"/>
  <c r="E35" i="1"/>
  <c r="E33" i="1"/>
  <c r="E31" i="1"/>
  <c r="E32" i="1"/>
  <c r="E30" i="1"/>
  <c r="E28" i="1"/>
  <c r="E29" i="1"/>
  <c r="E27" i="1"/>
  <c r="E25" i="1"/>
  <c r="E26" i="1"/>
  <c r="E24" i="1"/>
  <c r="E23" i="1"/>
  <c r="E22" i="1"/>
  <c r="E20" i="1"/>
  <c r="E19" i="1"/>
  <c r="E21" i="1"/>
  <c r="E18" i="1"/>
  <c r="E16" i="1"/>
  <c r="E17" i="1"/>
  <c r="E15" i="1"/>
  <c r="E13" i="1"/>
  <c r="E14" i="1"/>
  <c r="E12" i="1"/>
  <c r="E11" i="1"/>
  <c r="D84" i="1"/>
  <c r="D81" i="1"/>
  <c r="D78" i="1"/>
  <c r="D77" i="1"/>
  <c r="D73" i="1"/>
  <c r="D74" i="1"/>
  <c r="D72" i="1"/>
  <c r="D71" i="1"/>
  <c r="D68" i="1"/>
  <c r="D67" i="1"/>
  <c r="D66" i="1"/>
  <c r="D65" i="1"/>
  <c r="D64" i="1"/>
  <c r="D63" i="1"/>
  <c r="D61" i="1"/>
  <c r="D62" i="1"/>
  <c r="D12" i="1"/>
  <c r="D11" i="1"/>
  <c r="C84" i="1"/>
  <c r="C81" i="1"/>
  <c r="C78" i="1"/>
  <c r="C77" i="1"/>
  <c r="C73" i="1"/>
  <c r="C74" i="1"/>
  <c r="C72" i="1"/>
  <c r="C71" i="1"/>
  <c r="C68" i="1"/>
  <c r="C67" i="1"/>
  <c r="C66" i="1"/>
  <c r="C65" i="1"/>
  <c r="C64" i="1"/>
  <c r="C63" i="1"/>
  <c r="C61" i="1"/>
  <c r="C62" i="1"/>
  <c r="C46" i="1"/>
  <c r="C45" i="1"/>
  <c r="C44" i="1"/>
  <c r="C43" i="1"/>
  <c r="C41" i="1"/>
  <c r="C42" i="1"/>
  <c r="C40" i="1"/>
  <c r="C37" i="1"/>
  <c r="C38" i="1"/>
  <c r="C39" i="1"/>
  <c r="C36" i="1"/>
  <c r="C34" i="1"/>
  <c r="C35" i="1"/>
  <c r="C33" i="1"/>
  <c r="C31" i="1"/>
  <c r="C32" i="1"/>
  <c r="C30" i="1"/>
  <c r="C28" i="1"/>
  <c r="C29" i="1"/>
  <c r="C27" i="1"/>
  <c r="C25" i="1"/>
  <c r="C26" i="1"/>
  <c r="C24" i="1"/>
  <c r="C23" i="1"/>
  <c r="C22" i="1"/>
  <c r="C20" i="1"/>
  <c r="C19" i="1"/>
  <c r="C21" i="1"/>
  <c r="C18" i="1"/>
  <c r="C16" i="1"/>
  <c r="C17" i="1"/>
  <c r="C15" i="1"/>
  <c r="C13" i="1"/>
  <c r="C14" i="1"/>
  <c r="C12" i="1"/>
  <c r="C11" i="1"/>
  <c r="M42" i="3"/>
  <c r="M41" i="3"/>
  <c r="M40" i="3"/>
  <c r="M39" i="3"/>
  <c r="M38" i="3"/>
  <c r="M37" i="3"/>
  <c r="M36" i="3"/>
  <c r="M35" i="3"/>
  <c r="M34" i="3"/>
  <c r="M33" i="3"/>
  <c r="M32" i="3"/>
  <c r="M31" i="3"/>
  <c r="M30" i="3"/>
  <c r="M29" i="3"/>
  <c r="M28" i="3"/>
  <c r="M27" i="3"/>
  <c r="M26" i="3"/>
  <c r="M23" i="3"/>
  <c r="M24" i="3"/>
  <c r="M25" i="3"/>
  <c r="M22" i="3"/>
  <c r="M19" i="3"/>
  <c r="M20" i="3"/>
  <c r="M21" i="3"/>
  <c r="M18" i="3"/>
  <c r="M17" i="3"/>
  <c r="M16" i="3"/>
  <c r="M15" i="3"/>
  <c r="M14" i="3"/>
  <c r="M11" i="3"/>
  <c r="M12" i="3"/>
  <c r="M13" i="3"/>
  <c r="M7" i="3"/>
  <c r="M10" i="3"/>
  <c r="M9" i="3"/>
  <c r="K42" i="3"/>
  <c r="K41" i="3"/>
  <c r="K40" i="3"/>
  <c r="K39" i="3"/>
  <c r="K38" i="3"/>
  <c r="K37" i="3"/>
  <c r="K36" i="3"/>
  <c r="K35" i="3"/>
  <c r="K34" i="3"/>
  <c r="K33" i="3"/>
  <c r="K32" i="3"/>
  <c r="K31" i="3"/>
  <c r="K30" i="3"/>
  <c r="K29" i="3"/>
  <c r="K28" i="3"/>
  <c r="K27" i="3"/>
  <c r="K26" i="3"/>
  <c r="K23" i="3"/>
  <c r="K24" i="3"/>
  <c r="K25" i="3"/>
  <c r="K22" i="3"/>
  <c r="K19" i="3"/>
  <c r="K20" i="3"/>
  <c r="K21" i="3"/>
  <c r="K18" i="3"/>
  <c r="K17" i="3"/>
  <c r="K16" i="3"/>
  <c r="K15" i="3"/>
  <c r="K14" i="3"/>
  <c r="K11" i="3"/>
  <c r="K12" i="3"/>
  <c r="K13" i="3"/>
  <c r="K7" i="3"/>
  <c r="K10" i="3"/>
  <c r="K9" i="3"/>
  <c r="Y28" i="3"/>
  <c r="Y20" i="2" s="1"/>
  <c r="Y27" i="3"/>
  <c r="Y19" i="2" s="1"/>
  <c r="Y24" i="3"/>
  <c r="L20" i="2" s="1"/>
  <c r="Y23" i="3"/>
  <c r="L19" i="2" s="1"/>
  <c r="Y20" i="3"/>
  <c r="Y14" i="2" s="1"/>
  <c r="Y19" i="3"/>
  <c r="Y13" i="2" s="1"/>
  <c r="Y16" i="3"/>
  <c r="L14" i="2" s="1"/>
  <c r="Y15" i="3"/>
  <c r="L13" i="2" s="1"/>
  <c r="M8" i="3"/>
  <c r="K8" i="3"/>
  <c r="Y14" i="3"/>
  <c r="Y10" i="2" s="1"/>
  <c r="Y12" i="3"/>
  <c r="Y8" i="2" s="1"/>
  <c r="Y11" i="3"/>
  <c r="Y7" i="2" s="1"/>
  <c r="Y10" i="3"/>
  <c r="Y8" i="3"/>
  <c r="Y7" i="3"/>
  <c r="S50" i="3" l="1"/>
  <c r="T48" i="3"/>
  <c r="U45" i="3"/>
  <c r="U53" i="3"/>
  <c r="S43" i="3"/>
  <c r="S51" i="3"/>
  <c r="S46" i="3"/>
  <c r="S54" i="3"/>
  <c r="S47" i="3"/>
  <c r="N32" i="3"/>
  <c r="K19" i="1" s="1"/>
  <c r="T44" i="3"/>
  <c r="T52" i="3"/>
  <c r="N38" i="3"/>
  <c r="K22" i="1" s="1"/>
  <c r="N20" i="3"/>
  <c r="K17" i="1" s="1"/>
  <c r="N26" i="3"/>
  <c r="K18" i="1" s="1"/>
  <c r="Y21" i="3"/>
  <c r="Y15" i="2" s="1"/>
  <c r="Y9" i="3"/>
  <c r="L9" i="2" s="1"/>
  <c r="Y13" i="3"/>
  <c r="Y9" i="2" s="1"/>
  <c r="Y25" i="3"/>
  <c r="L21" i="2" s="1"/>
  <c r="Y29" i="3"/>
  <c r="Y21" i="2" s="1"/>
  <c r="Y17" i="3"/>
  <c r="L15" i="2" s="1"/>
  <c r="N17" i="3"/>
  <c r="K45" i="1" s="1"/>
  <c r="N41" i="3"/>
  <c r="K51" i="1" s="1"/>
  <c r="N53" i="3"/>
  <c r="K55" i="1" s="1"/>
  <c r="N11" i="3"/>
  <c r="K43" i="1" s="1"/>
  <c r="N35" i="3"/>
  <c r="K53" i="1" s="1"/>
  <c r="J51" i="3"/>
  <c r="G42" i="1" s="1"/>
  <c r="N29" i="3"/>
  <c r="K49" i="1" s="1"/>
  <c r="N47" i="3"/>
  <c r="K57" i="1" s="1"/>
  <c r="N23" i="3"/>
  <c r="K47" i="1" s="1"/>
  <c r="J45" i="3"/>
  <c r="G37" i="1" s="1"/>
  <c r="N7" i="3"/>
  <c r="K11" i="1" s="1"/>
  <c r="N9" i="3"/>
  <c r="K27" i="1" s="1"/>
  <c r="J11" i="3"/>
  <c r="G43" i="1" s="1"/>
  <c r="N13" i="3"/>
  <c r="K14" i="1" s="1"/>
  <c r="N15" i="3"/>
  <c r="K28" i="1" s="1"/>
  <c r="J17" i="3"/>
  <c r="G45" i="1" s="1"/>
  <c r="N19" i="3"/>
  <c r="K15" i="1" s="1"/>
  <c r="N21" i="3"/>
  <c r="K32" i="1" s="1"/>
  <c r="J23" i="3"/>
  <c r="G47" i="1" s="1"/>
  <c r="N25" i="3"/>
  <c r="K16" i="1" s="1"/>
  <c r="N27" i="3"/>
  <c r="K33" i="1" s="1"/>
  <c r="J29" i="3"/>
  <c r="G49" i="1" s="1"/>
  <c r="N31" i="3"/>
  <c r="K21" i="1" s="1"/>
  <c r="N33" i="3"/>
  <c r="K34" i="1" s="1"/>
  <c r="J35" i="3"/>
  <c r="G53" i="1" s="1"/>
  <c r="N37" i="3"/>
  <c r="K20" i="1" s="1"/>
  <c r="N39" i="3"/>
  <c r="K39" i="1" s="1"/>
  <c r="J41" i="3"/>
  <c r="G51" i="1" s="1"/>
  <c r="N43" i="3"/>
  <c r="K23" i="1" s="1"/>
  <c r="N45" i="3"/>
  <c r="K37" i="1" s="1"/>
  <c r="J47" i="3"/>
  <c r="G57" i="1" s="1"/>
  <c r="N49" i="3"/>
  <c r="K26" i="1" s="1"/>
  <c r="N51" i="3"/>
  <c r="K42" i="1" s="1"/>
  <c r="J53" i="3"/>
  <c r="G55" i="1" s="1"/>
  <c r="Y34" i="3"/>
  <c r="L28" i="2" s="1"/>
  <c r="Y38" i="3"/>
  <c r="Y28" i="2" s="1"/>
  <c r="J8" i="3"/>
  <c r="G12" i="1" s="1"/>
  <c r="J10" i="3"/>
  <c r="G29" i="1" s="1"/>
  <c r="J14" i="3"/>
  <c r="G13" i="1" s="1"/>
  <c r="J16" i="3"/>
  <c r="G30" i="1" s="1"/>
  <c r="J20" i="3"/>
  <c r="G17" i="1" s="1"/>
  <c r="J22" i="3"/>
  <c r="G31" i="1" s="1"/>
  <c r="J26" i="3"/>
  <c r="G18" i="1" s="1"/>
  <c r="J28" i="3"/>
  <c r="G35" i="1" s="1"/>
  <c r="J32" i="3"/>
  <c r="G19" i="1" s="1"/>
  <c r="J34" i="3"/>
  <c r="G36" i="1" s="1"/>
  <c r="J38" i="3"/>
  <c r="G22" i="1" s="1"/>
  <c r="J40" i="3"/>
  <c r="G38" i="1" s="1"/>
  <c r="J44" i="3"/>
  <c r="G24" i="1" s="1"/>
  <c r="J46" i="3"/>
  <c r="G40" i="1" s="1"/>
  <c r="J50" i="3"/>
  <c r="G25" i="1" s="1"/>
  <c r="J52" i="3"/>
  <c r="G41" i="1" s="1"/>
  <c r="Y33" i="3"/>
  <c r="L27" i="2" s="1"/>
  <c r="Y37" i="3"/>
  <c r="Y27" i="2" s="1"/>
  <c r="J9" i="3"/>
  <c r="G27" i="1" s="1"/>
  <c r="J12" i="3"/>
  <c r="G44" i="1" s="1"/>
  <c r="J15" i="3"/>
  <c r="G28" i="1" s="1"/>
  <c r="J18" i="3"/>
  <c r="G46" i="1" s="1"/>
  <c r="J21" i="3"/>
  <c r="G32" i="1" s="1"/>
  <c r="J24" i="3"/>
  <c r="G48" i="1" s="1"/>
  <c r="J27" i="3"/>
  <c r="G33" i="1" s="1"/>
  <c r="J30" i="3"/>
  <c r="G50" i="1" s="1"/>
  <c r="J33" i="3"/>
  <c r="G34" i="1" s="1"/>
  <c r="J36" i="3"/>
  <c r="G54" i="1" s="1"/>
  <c r="J39" i="3"/>
  <c r="G39" i="1" s="1"/>
  <c r="J42" i="3"/>
  <c r="G52" i="1" s="1"/>
  <c r="J48" i="3"/>
  <c r="G58" i="1" s="1"/>
  <c r="J54" i="3"/>
  <c r="G56" i="1" s="1"/>
  <c r="Y32" i="3"/>
  <c r="L26" i="2" s="1"/>
  <c r="Y36" i="3"/>
  <c r="Y26" i="2" s="1"/>
  <c r="J43" i="3"/>
  <c r="G23" i="1" s="1"/>
  <c r="J49" i="3"/>
  <c r="G26" i="1" s="1"/>
  <c r="U49" i="3"/>
  <c r="S44" i="3"/>
  <c r="T45" i="3"/>
  <c r="U46" i="3"/>
  <c r="S48" i="3"/>
  <c r="T49" i="3"/>
  <c r="U50" i="3"/>
  <c r="S52" i="3"/>
  <c r="T53" i="3"/>
  <c r="U54" i="3"/>
  <c r="U43" i="3"/>
  <c r="S45" i="3"/>
  <c r="T46" i="3"/>
  <c r="U47" i="3"/>
  <c r="S49" i="3"/>
  <c r="T50" i="3"/>
  <c r="U51" i="3"/>
  <c r="S53" i="3"/>
  <c r="T54" i="3"/>
  <c r="T43" i="3"/>
  <c r="U44" i="3"/>
  <c r="T47" i="3"/>
  <c r="U48" i="3"/>
  <c r="T51" i="3"/>
  <c r="U52" i="3"/>
  <c r="G11" i="1"/>
  <c r="G16" i="1"/>
  <c r="K13" i="1"/>
  <c r="K12" i="1"/>
  <c r="G14" i="1"/>
  <c r="T21" i="3"/>
  <c r="T25" i="3"/>
  <c r="T27" i="3"/>
  <c r="T29" i="3"/>
  <c r="T31" i="3"/>
  <c r="T33" i="3"/>
  <c r="T35" i="3"/>
  <c r="T37" i="3"/>
  <c r="S41" i="3"/>
  <c r="U42" i="3"/>
  <c r="T39" i="3"/>
  <c r="T41" i="3"/>
  <c r="T20" i="3"/>
  <c r="T22" i="3"/>
  <c r="T24" i="3"/>
  <c r="T26" i="3"/>
  <c r="T28" i="3"/>
  <c r="T30" i="3"/>
  <c r="U32" i="3"/>
  <c r="U34" i="3"/>
  <c r="U36" i="3"/>
  <c r="U38" i="3"/>
  <c r="U40" i="3"/>
  <c r="T42" i="3"/>
  <c r="U19" i="3"/>
  <c r="U21" i="3"/>
  <c r="U23" i="3"/>
  <c r="T19" i="3"/>
  <c r="T23" i="3"/>
  <c r="U20" i="3"/>
  <c r="S22" i="3"/>
  <c r="U24" i="3"/>
  <c r="S26" i="3"/>
  <c r="U28" i="3"/>
  <c r="S30" i="3"/>
  <c r="T32" i="3"/>
  <c r="T34" i="3"/>
  <c r="T36" i="3"/>
  <c r="T38" i="3"/>
  <c r="T40" i="3"/>
  <c r="U25" i="3"/>
  <c r="U27" i="3"/>
  <c r="U29" i="3"/>
  <c r="U31" i="3"/>
  <c r="U33" i="3"/>
  <c r="U35" i="3"/>
  <c r="U37" i="3"/>
  <c r="U39" i="3"/>
  <c r="U41" i="3"/>
  <c r="S19" i="3"/>
  <c r="S21" i="3"/>
  <c r="S23" i="3"/>
  <c r="S25" i="3"/>
  <c r="S27" i="3"/>
  <c r="S29" i="3"/>
  <c r="S31" i="3"/>
  <c r="S33" i="3"/>
  <c r="S35" i="3"/>
  <c r="S37" i="3"/>
  <c r="S39" i="3"/>
  <c r="S20" i="3"/>
  <c r="U22" i="3"/>
  <c r="S24" i="3"/>
  <c r="U26" i="3"/>
  <c r="S28" i="3"/>
  <c r="U30" i="3"/>
  <c r="S32" i="3"/>
  <c r="S34" i="3"/>
  <c r="S36" i="3"/>
  <c r="S38" i="3"/>
  <c r="S40" i="3"/>
  <c r="S42" i="3"/>
  <c r="Q3" i="4"/>
  <c r="L10" i="2"/>
  <c r="L8" i="2"/>
  <c r="L7" i="2"/>
  <c r="AF11" i="3" l="1"/>
  <c r="AE27" i="3"/>
  <c r="AF27" i="3"/>
  <c r="AE10" i="3"/>
  <c r="AF33" i="3"/>
  <c r="AF18" i="3"/>
  <c r="AE36" i="3"/>
  <c r="AF31" i="3"/>
  <c r="AE32" i="3"/>
  <c r="AE26" i="3"/>
  <c r="AF22" i="3"/>
  <c r="AF34" i="3"/>
  <c r="AF37" i="3"/>
  <c r="AE34" i="3"/>
  <c r="AF20" i="3"/>
  <c r="AE11" i="3"/>
  <c r="AE37" i="3"/>
  <c r="AE17" i="3"/>
  <c r="AF28" i="3"/>
  <c r="AF25" i="3"/>
  <c r="AE19" i="3"/>
  <c r="AE16" i="3"/>
  <c r="AF32" i="3"/>
  <c r="AF35" i="3"/>
  <c r="AF8" i="3"/>
  <c r="AE29" i="3"/>
  <c r="AD36" i="3"/>
  <c r="AE38" i="3"/>
  <c r="AE25" i="3"/>
  <c r="AE20" i="3"/>
  <c r="AF12" i="3"/>
  <c r="AF38" i="3"/>
  <c r="AF17" i="3"/>
  <c r="AE23" i="3"/>
  <c r="AF9" i="3"/>
  <c r="AA37" i="3"/>
  <c r="AA32" i="3"/>
  <c r="AE35" i="3"/>
  <c r="AE7" i="3"/>
  <c r="AE15" i="3"/>
  <c r="AE9" i="3"/>
  <c r="AE12" i="3"/>
  <c r="AF21" i="3"/>
  <c r="AF23" i="3"/>
  <c r="AF24" i="3"/>
  <c r="AF14" i="3"/>
  <c r="AF15" i="3"/>
  <c r="AF26" i="3"/>
  <c r="AE13" i="3"/>
  <c r="AE24" i="3"/>
  <c r="AE14" i="3"/>
  <c r="AA31" i="3"/>
  <c r="AE31" i="3"/>
  <c r="AE33" i="3"/>
  <c r="AE28" i="3"/>
  <c r="AE30" i="3"/>
  <c r="AF7" i="3"/>
  <c r="AE18" i="3"/>
  <c r="AF29" i="3"/>
  <c r="AF13" i="3"/>
  <c r="AF19" i="3"/>
  <c r="AF30" i="3"/>
  <c r="AF16" i="3"/>
  <c r="AF36" i="3"/>
  <c r="AE22" i="3"/>
  <c r="AF10" i="3"/>
  <c r="AE21" i="3"/>
  <c r="AE8" i="3"/>
  <c r="AD35" i="3"/>
  <c r="AA35" i="3"/>
  <c r="AB22" i="3"/>
  <c r="AA27" i="3"/>
  <c r="AB31" i="3"/>
  <c r="AB37" i="3"/>
  <c r="AD21" i="3"/>
  <c r="AB36" i="3"/>
  <c r="AD22" i="3"/>
  <c r="AD17" i="3"/>
  <c r="AD33" i="3"/>
  <c r="AD27" i="3"/>
  <c r="AB33" i="3"/>
  <c r="AD32" i="3"/>
  <c r="AB32" i="3"/>
  <c r="AD31" i="3"/>
  <c r="AD23" i="3"/>
  <c r="AD37" i="3"/>
  <c r="AB21" i="3"/>
  <c r="AB23" i="3"/>
  <c r="AB17" i="3"/>
  <c r="AA21" i="3"/>
  <c r="AB27" i="3"/>
  <c r="AB35" i="3"/>
  <c r="AA22" i="3"/>
  <c r="AA17" i="3"/>
  <c r="AA33" i="3"/>
  <c r="AA36" i="3"/>
  <c r="AA23" i="3"/>
  <c r="AC4" i="2"/>
  <c r="T8" i="1"/>
  <c r="AG28" i="3" l="1"/>
  <c r="AG37" i="3"/>
  <c r="AG18" i="3"/>
  <c r="AG21" i="3"/>
  <c r="AG10" i="3"/>
  <c r="AG22" i="3"/>
  <c r="AG30" i="3"/>
  <c r="AG35" i="3"/>
  <c r="AG9" i="3"/>
  <c r="AG26" i="3"/>
  <c r="AG16" i="3"/>
  <c r="AG17" i="3"/>
  <c r="AG24" i="3"/>
  <c r="AG23" i="3"/>
  <c r="AG29" i="3"/>
  <c r="AG31" i="3"/>
  <c r="AG25" i="3"/>
  <c r="AG14" i="3"/>
  <c r="AG15" i="3"/>
  <c r="AG27" i="3"/>
  <c r="AG13" i="3"/>
  <c r="AG12" i="3"/>
  <c r="AG8" i="3"/>
  <c r="AG19" i="3"/>
  <c r="AG20" i="3"/>
  <c r="AG11" i="3"/>
  <c r="AG32" i="3"/>
  <c r="AG36" i="3"/>
  <c r="AG33" i="3"/>
  <c r="AG34" i="3"/>
  <c r="AG38" i="3"/>
  <c r="AC35" i="3"/>
  <c r="Z35" i="3" s="1"/>
  <c r="AC32" i="3"/>
  <c r="Z32" i="3" s="1"/>
  <c r="AC37" i="3"/>
  <c r="Z37" i="3" s="1"/>
  <c r="W37" i="3" s="1"/>
  <c r="AC31" i="3"/>
  <c r="Z31" i="3" s="1"/>
  <c r="AC33" i="3"/>
  <c r="Z33" i="3" s="1"/>
  <c r="AC36" i="3"/>
  <c r="Z36" i="3" s="1"/>
  <c r="T8" i="3"/>
  <c r="U9" i="3"/>
  <c r="T10" i="3"/>
  <c r="U11" i="3"/>
  <c r="T12" i="3"/>
  <c r="U13" i="3"/>
  <c r="T14" i="3"/>
  <c r="AB38" i="3" s="1"/>
  <c r="U15" i="3"/>
  <c r="T16" i="3"/>
  <c r="U17" i="3"/>
  <c r="T18" i="3"/>
  <c r="S8" i="3"/>
  <c r="U8" i="3"/>
  <c r="T9" i="3"/>
  <c r="S10" i="3"/>
  <c r="U10" i="3"/>
  <c r="T11" i="3"/>
  <c r="S12" i="3"/>
  <c r="U12" i="3"/>
  <c r="T13" i="3"/>
  <c r="S14" i="3"/>
  <c r="U14" i="3"/>
  <c r="T15" i="3"/>
  <c r="S16" i="3"/>
  <c r="U16" i="3"/>
  <c r="T17" i="3"/>
  <c r="S18" i="3"/>
  <c r="U18" i="3"/>
  <c r="S9" i="3"/>
  <c r="S11" i="3"/>
  <c r="S13" i="3"/>
  <c r="S15" i="3"/>
  <c r="S17" i="3"/>
  <c r="T7" i="3"/>
  <c r="AB18" i="3" s="1"/>
  <c r="U7" i="3"/>
  <c r="S7" i="3"/>
  <c r="W33" i="3" l="1"/>
  <c r="AD18" i="3"/>
  <c r="AA18" i="3"/>
  <c r="AA30" i="3"/>
  <c r="AD34" i="3"/>
  <c r="AD30" i="3"/>
  <c r="AB30" i="3"/>
  <c r="AD29" i="3"/>
  <c r="AA19" i="3"/>
  <c r="AA29" i="3"/>
  <c r="AB19" i="3"/>
  <c r="AB29" i="3"/>
  <c r="AD16" i="3"/>
  <c r="AD38" i="3"/>
  <c r="AA20" i="3"/>
  <c r="AA38" i="3"/>
  <c r="AD20" i="3"/>
  <c r="AB20" i="3"/>
  <c r="AD28" i="3"/>
  <c r="AD15" i="3"/>
  <c r="AA28" i="3"/>
  <c r="AA15" i="3"/>
  <c r="AB28" i="3"/>
  <c r="AB15" i="3"/>
  <c r="AU35" i="3"/>
  <c r="AU36" i="3"/>
  <c r="AU37" i="3"/>
  <c r="AU32" i="3"/>
  <c r="AU33" i="3"/>
  <c r="AU31" i="3"/>
  <c r="AB25" i="3"/>
  <c r="AA25" i="3"/>
  <c r="AD25" i="3"/>
  <c r="AA24" i="3"/>
  <c r="AB24" i="3"/>
  <c r="AD26" i="3"/>
  <c r="AD24" i="3"/>
  <c r="AA16" i="3"/>
  <c r="AB16" i="3"/>
  <c r="AA26" i="3"/>
  <c r="AB26" i="3"/>
  <c r="AA34" i="3"/>
  <c r="AI34" i="3" s="1"/>
  <c r="AB34" i="3"/>
  <c r="AD19" i="3"/>
  <c r="W35" i="3"/>
  <c r="W32" i="3"/>
  <c r="W36" i="3"/>
  <c r="W31" i="3"/>
  <c r="AD9" i="3"/>
  <c r="T88" i="3"/>
  <c r="AD14" i="3"/>
  <c r="AB14" i="3"/>
  <c r="AD12" i="3"/>
  <c r="AD10" i="3"/>
  <c r="AD13" i="3"/>
  <c r="AA13" i="3"/>
  <c r="AD11" i="3"/>
  <c r="AD7" i="3"/>
  <c r="AD8" i="3"/>
  <c r="AB13" i="3"/>
  <c r="AB9" i="3"/>
  <c r="AB8" i="3"/>
  <c r="AB12" i="3"/>
  <c r="AB10" i="3"/>
  <c r="AB11" i="3"/>
  <c r="AB7" i="3"/>
  <c r="AA8" i="3"/>
  <c r="AA11" i="3"/>
  <c r="AA12" i="3"/>
  <c r="AA10" i="3"/>
  <c r="AA7" i="3"/>
  <c r="AA14" i="3"/>
  <c r="AA9" i="3"/>
  <c r="AI22" i="3" l="1"/>
  <c r="AZ21" i="3" s="1"/>
  <c r="AI30" i="3"/>
  <c r="AZ30" i="3" s="1"/>
  <c r="AI18" i="3"/>
  <c r="AZ15" i="3" s="1"/>
  <c r="AI38" i="3"/>
  <c r="AC38" i="3"/>
  <c r="Z38" i="3" s="1"/>
  <c r="AZ33" i="3"/>
  <c r="AZ31" i="3"/>
  <c r="AZ34" i="3"/>
  <c r="AZ32" i="3"/>
  <c r="AI26" i="3"/>
  <c r="AI14" i="3"/>
  <c r="AI10" i="3"/>
  <c r="AC34" i="3"/>
  <c r="Z34" i="3" s="1"/>
  <c r="AU34" i="3" s="1"/>
  <c r="AV34" i="3" s="1"/>
  <c r="AE28" i="2" s="1"/>
  <c r="AC21" i="3"/>
  <c r="Z21" i="3" s="1"/>
  <c r="AU21" i="3" s="1"/>
  <c r="AC29" i="3"/>
  <c r="Z29" i="3" s="1"/>
  <c r="AU29" i="3" s="1"/>
  <c r="AC15" i="3"/>
  <c r="Z15" i="3" s="1"/>
  <c r="AU15" i="3" s="1"/>
  <c r="AC25" i="3"/>
  <c r="Z25" i="3" s="1"/>
  <c r="AU25" i="3" s="1"/>
  <c r="AC19" i="3"/>
  <c r="Z19" i="3" s="1"/>
  <c r="AU19" i="3" s="1"/>
  <c r="AC27" i="3"/>
  <c r="Z27" i="3" s="1"/>
  <c r="AU27" i="3" s="1"/>
  <c r="AC17" i="3"/>
  <c r="Z17" i="3" s="1"/>
  <c r="AU17" i="3" s="1"/>
  <c r="AC23" i="3"/>
  <c r="Z23" i="3" s="1"/>
  <c r="AU23" i="3" s="1"/>
  <c r="AC22" i="3"/>
  <c r="Z22" i="3" s="1"/>
  <c r="AU22" i="3" s="1"/>
  <c r="AC30" i="3"/>
  <c r="Z30" i="3" s="1"/>
  <c r="AU30" i="3" s="1"/>
  <c r="AC16" i="3"/>
  <c r="Z16" i="3" s="1"/>
  <c r="AU16" i="3" s="1"/>
  <c r="AC26" i="3"/>
  <c r="Z26" i="3" s="1"/>
  <c r="AU26" i="3" s="1"/>
  <c r="AC20" i="3"/>
  <c r="Z20" i="3" s="1"/>
  <c r="AU20" i="3" s="1"/>
  <c r="AC28" i="3"/>
  <c r="Z28" i="3" s="1"/>
  <c r="AU28" i="3" s="1"/>
  <c r="AC18" i="3"/>
  <c r="Z18" i="3" s="1"/>
  <c r="AU18" i="3" s="1"/>
  <c r="AC24" i="3"/>
  <c r="Z24" i="3" s="1"/>
  <c r="AU24" i="3" s="1"/>
  <c r="AZ19" i="3" l="1"/>
  <c r="AZ20" i="3"/>
  <c r="AZ22" i="3"/>
  <c r="AZ28" i="3"/>
  <c r="AZ29" i="3"/>
  <c r="AZ27" i="3"/>
  <c r="AZ18" i="3"/>
  <c r="AZ16" i="3"/>
  <c r="AZ17" i="3"/>
  <c r="W38" i="3"/>
  <c r="X38" i="3" s="1"/>
  <c r="AU38" i="3"/>
  <c r="AV35" i="3" s="1"/>
  <c r="AF25" i="2" s="1"/>
  <c r="AZ35" i="3"/>
  <c r="AZ37" i="3"/>
  <c r="AZ36" i="3"/>
  <c r="AZ38" i="3"/>
  <c r="AV24" i="3"/>
  <c r="AE20" i="2" s="1"/>
  <c r="AV28" i="3"/>
  <c r="AF20" i="2" s="1"/>
  <c r="AV20" i="3"/>
  <c r="AF14" i="2" s="1"/>
  <c r="AV18" i="3"/>
  <c r="AE16" i="2" s="1"/>
  <c r="AZ9" i="3"/>
  <c r="AZ10" i="3"/>
  <c r="AZ25" i="3"/>
  <c r="AZ23" i="3"/>
  <c r="AZ26" i="3"/>
  <c r="AZ24" i="3"/>
  <c r="AZ13" i="3"/>
  <c r="AZ11" i="3"/>
  <c r="AZ14" i="3"/>
  <c r="AZ12" i="3"/>
  <c r="AZ7" i="3"/>
  <c r="AZ8" i="3"/>
  <c r="AV31" i="3"/>
  <c r="AE25" i="2" s="1"/>
  <c r="AV32" i="3"/>
  <c r="AE26" i="2" s="1"/>
  <c r="AV33" i="3"/>
  <c r="AE27" i="2" s="1"/>
  <c r="AV30" i="3"/>
  <c r="AF22" i="2" s="1"/>
  <c r="AV27" i="3"/>
  <c r="AF19" i="2" s="1"/>
  <c r="AV29" i="3"/>
  <c r="AF21" i="2" s="1"/>
  <c r="AV23" i="3"/>
  <c r="AE19" i="2" s="1"/>
  <c r="AV25" i="3"/>
  <c r="AE21" i="2" s="1"/>
  <c r="AV26" i="3"/>
  <c r="AE22" i="2" s="1"/>
  <c r="AV22" i="3"/>
  <c r="AF16" i="2" s="1"/>
  <c r="AV19" i="3"/>
  <c r="AF13" i="2" s="1"/>
  <c r="AV21" i="3"/>
  <c r="AF15" i="2" s="1"/>
  <c r="AV16" i="3"/>
  <c r="AE14" i="2" s="1"/>
  <c r="AV17" i="3"/>
  <c r="AE15" i="2" s="1"/>
  <c r="AV15" i="3"/>
  <c r="AE13" i="2" s="1"/>
  <c r="W34" i="3"/>
  <c r="W24" i="3"/>
  <c r="W25" i="3"/>
  <c r="W23" i="3"/>
  <c r="W26" i="3"/>
  <c r="W28" i="3"/>
  <c r="W29" i="3"/>
  <c r="W30" i="3"/>
  <c r="W27" i="3"/>
  <c r="W20" i="3"/>
  <c r="W21" i="3"/>
  <c r="W22" i="3"/>
  <c r="W19" i="3"/>
  <c r="W16" i="3"/>
  <c r="W17" i="3"/>
  <c r="W18" i="3"/>
  <c r="W15" i="3"/>
  <c r="AC11" i="3"/>
  <c r="Z11" i="3" s="1"/>
  <c r="AU11" i="3" s="1"/>
  <c r="AC13" i="3"/>
  <c r="Z13" i="3" s="1"/>
  <c r="AU13" i="3" s="1"/>
  <c r="AC12" i="3"/>
  <c r="Z12" i="3" s="1"/>
  <c r="AU12" i="3" s="1"/>
  <c r="AC14" i="3"/>
  <c r="Z14" i="3" s="1"/>
  <c r="AU14" i="3" s="1"/>
  <c r="AC9" i="3"/>
  <c r="Z9" i="3" s="1"/>
  <c r="AU9" i="3" s="1"/>
  <c r="AC10" i="3"/>
  <c r="AC8" i="3"/>
  <c r="AC7" i="3"/>
  <c r="Z7" i="3" s="1"/>
  <c r="X37" i="3" l="1"/>
  <c r="X35" i="3"/>
  <c r="X36" i="3"/>
  <c r="AV37" i="3"/>
  <c r="AF27" i="2" s="1"/>
  <c r="AV36" i="3"/>
  <c r="AF26" i="2" s="1"/>
  <c r="AV38" i="3"/>
  <c r="AF28" i="2" s="1"/>
  <c r="AV14" i="3"/>
  <c r="AF10" i="2" s="1"/>
  <c r="AV12" i="3"/>
  <c r="AF8" i="2" s="1"/>
  <c r="AV11" i="3"/>
  <c r="AF7" i="2" s="1"/>
  <c r="AV13" i="3"/>
  <c r="AF9" i="2" s="1"/>
  <c r="X33" i="3"/>
  <c r="X34" i="3"/>
  <c r="X32" i="3"/>
  <c r="X31" i="3"/>
  <c r="X19" i="3"/>
  <c r="X15" i="3"/>
  <c r="X26" i="3"/>
  <c r="X27" i="3"/>
  <c r="X21" i="3"/>
  <c r="X16" i="3"/>
  <c r="X18" i="3"/>
  <c r="X20" i="3"/>
  <c r="X28" i="3"/>
  <c r="X23" i="3"/>
  <c r="X24" i="3"/>
  <c r="X17" i="3"/>
  <c r="X22" i="3"/>
  <c r="X30" i="3"/>
  <c r="X29" i="3"/>
  <c r="X25" i="3"/>
  <c r="W12" i="3"/>
  <c r="W13" i="3"/>
  <c r="W11" i="3"/>
  <c r="W14" i="3"/>
  <c r="W9" i="3"/>
  <c r="Z10" i="3"/>
  <c r="AU10" i="3" s="1"/>
  <c r="Z8" i="3"/>
  <c r="AU8" i="3" s="1"/>
  <c r="AQ35" i="3" l="1"/>
  <c r="U25" i="2" s="1"/>
  <c r="AP35" i="3"/>
  <c r="T25" i="2" s="1"/>
  <c r="AP37" i="3"/>
  <c r="T27" i="2" s="1"/>
  <c r="AO35" i="3"/>
  <c r="S25" i="2" s="1"/>
  <c r="AL35" i="3"/>
  <c r="P25" i="2" s="1"/>
  <c r="AM35" i="3"/>
  <c r="Q25" i="2" s="1"/>
  <c r="AS35" i="3"/>
  <c r="W25" i="2" s="1"/>
  <c r="AO37" i="3"/>
  <c r="S27" i="2" s="1"/>
  <c r="AT35" i="3"/>
  <c r="X25" i="2" s="1"/>
  <c r="AR35" i="3"/>
  <c r="V25" i="2" s="1"/>
  <c r="AN35" i="3"/>
  <c r="AW35" i="3" s="1"/>
  <c r="AR38" i="3"/>
  <c r="V28" i="2" s="1"/>
  <c r="AP38" i="3"/>
  <c r="T28" i="2" s="1"/>
  <c r="AN38" i="3"/>
  <c r="AW38" i="3" s="1"/>
  <c r="AM38" i="3"/>
  <c r="Q28" i="2" s="1"/>
  <c r="AL36" i="3"/>
  <c r="P26" i="2" s="1"/>
  <c r="AL38" i="3"/>
  <c r="P28" i="2" s="1"/>
  <c r="AN37" i="3"/>
  <c r="AW37" i="3" s="1"/>
  <c r="AQ37" i="3"/>
  <c r="U27" i="2" s="1"/>
  <c r="AQ38" i="3"/>
  <c r="U28" i="2" s="1"/>
  <c r="AP36" i="3"/>
  <c r="T26" i="2" s="1"/>
  <c r="AO36" i="3"/>
  <c r="S26" i="2" s="1"/>
  <c r="AS37" i="3"/>
  <c r="W27" i="2" s="1"/>
  <c r="AM37" i="3"/>
  <c r="Q27" i="2" s="1"/>
  <c r="AL37" i="3"/>
  <c r="AQ36" i="3"/>
  <c r="U26" i="2" s="1"/>
  <c r="AO38" i="3"/>
  <c r="S28" i="2" s="1"/>
  <c r="AT38" i="3"/>
  <c r="X28" i="2" s="1"/>
  <c r="AT37" i="3"/>
  <c r="X27" i="2" s="1"/>
  <c r="AR36" i="3"/>
  <c r="V26" i="2" s="1"/>
  <c r="AR37" i="3"/>
  <c r="V27" i="2" s="1"/>
  <c r="AT36" i="3"/>
  <c r="X26" i="2" s="1"/>
  <c r="AS38" i="3"/>
  <c r="W28" i="2" s="1"/>
  <c r="AN36" i="3"/>
  <c r="AS36" i="3"/>
  <c r="W26" i="2" s="1"/>
  <c r="AM36" i="3"/>
  <c r="Q26" i="2" s="1"/>
  <c r="AL20" i="3"/>
  <c r="AQ15" i="3"/>
  <c r="H13" i="2" s="1"/>
  <c r="AP15" i="3"/>
  <c r="G13" i="2" s="1"/>
  <c r="AS15" i="3"/>
  <c r="J13" i="2" s="1"/>
  <c r="AT15" i="3"/>
  <c r="K13" i="2" s="1"/>
  <c r="AL34" i="3"/>
  <c r="AS32" i="3"/>
  <c r="J26" i="2" s="1"/>
  <c r="AT33" i="3"/>
  <c r="K27" i="2" s="1"/>
  <c r="AQ34" i="3"/>
  <c r="H28" i="2" s="1"/>
  <c r="AL31" i="3"/>
  <c r="AQ32" i="3"/>
  <c r="H26" i="2" s="1"/>
  <c r="AO31" i="3"/>
  <c r="F25" i="2" s="1"/>
  <c r="AM32" i="3"/>
  <c r="AP32" i="3"/>
  <c r="G26" i="2" s="1"/>
  <c r="AM33" i="3"/>
  <c r="AO34" i="3"/>
  <c r="F28" i="2" s="1"/>
  <c r="AR32" i="3"/>
  <c r="I26" i="2" s="1"/>
  <c r="AO33" i="3"/>
  <c r="F27" i="2" s="1"/>
  <c r="AP34" i="3"/>
  <c r="G28" i="2" s="1"/>
  <c r="AR33" i="3"/>
  <c r="I27" i="2" s="1"/>
  <c r="AN31" i="3"/>
  <c r="AW31" i="3" s="1"/>
  <c r="AQ31" i="3"/>
  <c r="H25" i="2" s="1"/>
  <c r="AM34" i="3"/>
  <c r="AP33" i="3"/>
  <c r="G27" i="2" s="1"/>
  <c r="AN34" i="3"/>
  <c r="AL32" i="3"/>
  <c r="AS31" i="3"/>
  <c r="J25" i="2" s="1"/>
  <c r="AT32" i="3"/>
  <c r="K26" i="2" s="1"/>
  <c r="AO32" i="3"/>
  <c r="F26" i="2" s="1"/>
  <c r="AQ33" i="3"/>
  <c r="H27" i="2" s="1"/>
  <c r="AS34" i="3"/>
  <c r="J28" i="2" s="1"/>
  <c r="AN33" i="3"/>
  <c r="AT34" i="3"/>
  <c r="K28" i="2" s="1"/>
  <c r="AT31" i="3"/>
  <c r="K25" i="2" s="1"/>
  <c r="AR31" i="3"/>
  <c r="I25" i="2" s="1"/>
  <c r="AM31" i="3"/>
  <c r="AP31" i="3"/>
  <c r="G25" i="2" s="1"/>
  <c r="AN32" i="3"/>
  <c r="AL33" i="3"/>
  <c r="AR34" i="3"/>
  <c r="I28" i="2" s="1"/>
  <c r="AS33" i="3"/>
  <c r="J27" i="2" s="1"/>
  <c r="AL15" i="3"/>
  <c r="AN27" i="3"/>
  <c r="AM15" i="3"/>
  <c r="AN15" i="3"/>
  <c r="AO15" i="3"/>
  <c r="F13" i="2" s="1"/>
  <c r="AR15" i="3"/>
  <c r="I13" i="2" s="1"/>
  <c r="AO19" i="3"/>
  <c r="S13" i="2" s="1"/>
  <c r="AP19" i="3"/>
  <c r="T13" i="2" s="1"/>
  <c r="AT27" i="3"/>
  <c r="X19" i="2" s="1"/>
  <c r="AM19" i="3"/>
  <c r="AN19" i="3"/>
  <c r="AT29" i="3"/>
  <c r="X21" i="2" s="1"/>
  <c r="AT19" i="3"/>
  <c r="X13" i="2" s="1"/>
  <c r="AR19" i="3"/>
  <c r="V13" i="2" s="1"/>
  <c r="AS19" i="3"/>
  <c r="W13" i="2" s="1"/>
  <c r="AS27" i="3"/>
  <c r="W19" i="2" s="1"/>
  <c r="AP26" i="3"/>
  <c r="G22" i="2" s="1"/>
  <c r="AQ19" i="3"/>
  <c r="U13" i="2" s="1"/>
  <c r="AM27" i="3"/>
  <c r="AL19" i="3"/>
  <c r="AO29" i="3"/>
  <c r="S21" i="2" s="1"/>
  <c r="AL24" i="3"/>
  <c r="AL23" i="3"/>
  <c r="AQ17" i="3"/>
  <c r="H15" i="2" s="1"/>
  <c r="AN29" i="3"/>
  <c r="AM29" i="3"/>
  <c r="AL29" i="3"/>
  <c r="AL27" i="3"/>
  <c r="AP29" i="3"/>
  <c r="T21" i="2" s="1"/>
  <c r="AL22" i="3"/>
  <c r="AO21" i="3"/>
  <c r="S15" i="2" s="1"/>
  <c r="AS29" i="3"/>
  <c r="W21" i="2" s="1"/>
  <c r="AR29" i="3"/>
  <c r="V21" i="2" s="1"/>
  <c r="AQ29" i="3"/>
  <c r="U21" i="2" s="1"/>
  <c r="AO30" i="3"/>
  <c r="S22" i="2" s="1"/>
  <c r="AS23" i="3"/>
  <c r="J19" i="2" s="1"/>
  <c r="AT20" i="3"/>
  <c r="X14" i="2" s="1"/>
  <c r="AN21" i="3"/>
  <c r="AN30" i="3"/>
  <c r="AO22" i="3"/>
  <c r="S16" i="2" s="1"/>
  <c r="AQ24" i="3"/>
  <c r="H20" i="2" s="1"/>
  <c r="AP18" i="3"/>
  <c r="G16" i="2" s="1"/>
  <c r="AN20" i="3"/>
  <c r="AN22" i="3"/>
  <c r="AM22" i="3"/>
  <c r="AT24" i="3"/>
  <c r="K20" i="2" s="1"/>
  <c r="AS24" i="3"/>
  <c r="J20" i="2" s="1"/>
  <c r="AT22" i="3"/>
  <c r="X16" i="2" s="1"/>
  <c r="AM21" i="3"/>
  <c r="AP21" i="3"/>
  <c r="T15" i="2" s="1"/>
  <c r="AN24" i="3"/>
  <c r="AT30" i="3"/>
  <c r="X22" i="2" s="1"/>
  <c r="AS18" i="3"/>
  <c r="J16" i="2" s="1"/>
  <c r="AR22" i="3"/>
  <c r="V16" i="2" s="1"/>
  <c r="AM20" i="3"/>
  <c r="AO20" i="3"/>
  <c r="S14" i="2" s="1"/>
  <c r="AS21" i="3"/>
  <c r="W15" i="2" s="1"/>
  <c r="AQ22" i="3"/>
  <c r="U16" i="2" s="1"/>
  <c r="AR21" i="3"/>
  <c r="V15" i="2" s="1"/>
  <c r="AN26" i="3"/>
  <c r="AP24" i="3"/>
  <c r="G20" i="2" s="1"/>
  <c r="AQ26" i="3"/>
  <c r="H22" i="2" s="1"/>
  <c r="AO24" i="3"/>
  <c r="F20" i="2" s="1"/>
  <c r="AM30" i="3"/>
  <c r="AP22" i="3"/>
  <c r="T16" i="2" s="1"/>
  <c r="AQ21" i="3"/>
  <c r="U15" i="2" s="1"/>
  <c r="AS22" i="3"/>
  <c r="W16" i="2" s="1"/>
  <c r="AT21" i="3"/>
  <c r="X15" i="2" s="1"/>
  <c r="AL21" i="3"/>
  <c r="AR24" i="3"/>
  <c r="I20" i="2" s="1"/>
  <c r="AS26" i="3"/>
  <c r="J22" i="2" s="1"/>
  <c r="AM24" i="3"/>
  <c r="AL30" i="3"/>
  <c r="AO18" i="3"/>
  <c r="F16" i="2" s="1"/>
  <c r="AL18" i="3"/>
  <c r="AT18" i="3"/>
  <c r="K16" i="2" s="1"/>
  <c r="AP20" i="3"/>
  <c r="T14" i="2" s="1"/>
  <c r="AQ20" i="3"/>
  <c r="U14" i="2" s="1"/>
  <c r="AR20" i="3"/>
  <c r="V14" i="2" s="1"/>
  <c r="AS20" i="3"/>
  <c r="W14" i="2" s="1"/>
  <c r="AR30" i="3"/>
  <c r="V22" i="2" s="1"/>
  <c r="AM26" i="3"/>
  <c r="AQ30" i="3"/>
  <c r="U22" i="2" s="1"/>
  <c r="AT26" i="3"/>
  <c r="K22" i="2" s="1"/>
  <c r="AL26" i="3"/>
  <c r="AO26" i="3"/>
  <c r="F22" i="2" s="1"/>
  <c r="AP30" i="3"/>
  <c r="T22" i="2" s="1"/>
  <c r="AS30" i="3"/>
  <c r="W22" i="2" s="1"/>
  <c r="AM18" i="3"/>
  <c r="AQ18" i="3"/>
  <c r="H16" i="2" s="1"/>
  <c r="AO17" i="3"/>
  <c r="F15" i="2" s="1"/>
  <c r="AN18" i="3"/>
  <c r="AR18" i="3"/>
  <c r="I16" i="2" s="1"/>
  <c r="AR26" i="3"/>
  <c r="I22" i="2" s="1"/>
  <c r="AR17" i="3"/>
  <c r="I15" i="2" s="1"/>
  <c r="AO27" i="3"/>
  <c r="S19" i="2" s="1"/>
  <c r="AP27" i="3"/>
  <c r="T19" i="2" s="1"/>
  <c r="AQ27" i="3"/>
  <c r="U19" i="2" s="1"/>
  <c r="AR27" i="3"/>
  <c r="V19" i="2" s="1"/>
  <c r="AM28" i="3"/>
  <c r="AS28" i="3"/>
  <c r="W20" i="2" s="1"/>
  <c r="AM25" i="3"/>
  <c r="AS16" i="3"/>
  <c r="J14" i="2" s="1"/>
  <c r="AP16" i="3"/>
  <c r="G14" i="2" s="1"/>
  <c r="AR23" i="3"/>
  <c r="I19" i="2" s="1"/>
  <c r="AP23" i="3"/>
  <c r="G19" i="2" s="1"/>
  <c r="AO25" i="3"/>
  <c r="F21" i="2" s="1"/>
  <c r="AR25" i="3"/>
  <c r="I21" i="2" s="1"/>
  <c r="AP28" i="3"/>
  <c r="T20" i="2" s="1"/>
  <c r="AP25" i="3"/>
  <c r="G21" i="2" s="1"/>
  <c r="AN28" i="3"/>
  <c r="AW28" i="3" s="1"/>
  <c r="AQ28" i="3"/>
  <c r="U20" i="2" s="1"/>
  <c r="AO16" i="3"/>
  <c r="F14" i="2" s="1"/>
  <c r="AN17" i="3"/>
  <c r="AL16" i="3"/>
  <c r="AT16" i="3"/>
  <c r="K14" i="2" s="1"/>
  <c r="AS17" i="3"/>
  <c r="J15" i="2" s="1"/>
  <c r="AT23" i="3"/>
  <c r="K19" i="2" s="1"/>
  <c r="AS25" i="3"/>
  <c r="J21" i="2" s="1"/>
  <c r="AN25" i="3"/>
  <c r="AT28" i="3"/>
  <c r="X20" i="2" s="1"/>
  <c r="AL28" i="3"/>
  <c r="AO28" i="3"/>
  <c r="S20" i="2" s="1"/>
  <c r="AQ25" i="3"/>
  <c r="H21" i="2" s="1"/>
  <c r="AT25" i="3"/>
  <c r="K21" i="2" s="1"/>
  <c r="AL25" i="3"/>
  <c r="AR28" i="3"/>
  <c r="V20" i="2" s="1"/>
  <c r="AM16" i="3"/>
  <c r="AQ16" i="3"/>
  <c r="H14" i="2" s="1"/>
  <c r="AL17" i="3"/>
  <c r="AP17" i="3"/>
  <c r="G15" i="2" s="1"/>
  <c r="AT17" i="3"/>
  <c r="K15" i="2" s="1"/>
  <c r="AN16" i="3"/>
  <c r="AR16" i="3"/>
  <c r="I14" i="2" s="1"/>
  <c r="AM17" i="3"/>
  <c r="AM23" i="3"/>
  <c r="AN23" i="3"/>
  <c r="AW23" i="3" s="1"/>
  <c r="AO23" i="3"/>
  <c r="F19" i="2" s="1"/>
  <c r="AQ23" i="3"/>
  <c r="H19" i="2" s="1"/>
  <c r="W10" i="3"/>
  <c r="W8" i="3"/>
  <c r="X14" i="3"/>
  <c r="X12" i="3"/>
  <c r="X11" i="3"/>
  <c r="X13" i="3"/>
  <c r="AG7" i="3"/>
  <c r="AU7" i="3" s="1"/>
  <c r="AV10" i="3" s="1"/>
  <c r="AE10" i="2" s="1"/>
  <c r="R25" i="2" l="1"/>
  <c r="R28" i="2"/>
  <c r="AX37" i="3"/>
  <c r="AY37" i="3" s="1"/>
  <c r="BA37" i="3" s="1"/>
  <c r="AD27" i="2" s="1"/>
  <c r="R27" i="2"/>
  <c r="AX35" i="3"/>
  <c r="Y114" i="3"/>
  <c r="AH114" i="3" s="1"/>
  <c r="AX38" i="3"/>
  <c r="AW36" i="3"/>
  <c r="AX36" i="3" s="1"/>
  <c r="R26" i="2"/>
  <c r="P27" i="2"/>
  <c r="Y113" i="3"/>
  <c r="AH113" i="3" s="1"/>
  <c r="C26" i="2"/>
  <c r="Y110" i="3"/>
  <c r="AH110" i="3" s="1"/>
  <c r="Y109" i="3"/>
  <c r="AH109" i="3" s="1"/>
  <c r="C25" i="2"/>
  <c r="P20" i="2"/>
  <c r="Y108" i="3"/>
  <c r="AH108" i="3" s="1"/>
  <c r="C21" i="2"/>
  <c r="P19" i="2"/>
  <c r="C20" i="2"/>
  <c r="P15" i="2"/>
  <c r="C19" i="2"/>
  <c r="Y106" i="3"/>
  <c r="AH106" i="3" s="1"/>
  <c r="P14" i="2"/>
  <c r="Y104" i="3"/>
  <c r="AH104" i="3" s="1"/>
  <c r="C15" i="2"/>
  <c r="P13" i="2"/>
  <c r="C14" i="2"/>
  <c r="C13" i="2"/>
  <c r="AV7" i="3"/>
  <c r="AV9" i="3"/>
  <c r="AE9" i="2" s="1"/>
  <c r="AV8" i="3"/>
  <c r="AE8" i="2" s="1"/>
  <c r="E15" i="2"/>
  <c r="AW17" i="3"/>
  <c r="AX17" i="3" s="1"/>
  <c r="AY17" i="3" s="1"/>
  <c r="BA17" i="3" s="1"/>
  <c r="Q21" i="2"/>
  <c r="Q13" i="2"/>
  <c r="D28" i="2"/>
  <c r="D15" i="2"/>
  <c r="Q14" i="2"/>
  <c r="E20" i="2"/>
  <c r="AW24" i="3"/>
  <c r="AX24" i="3" s="1"/>
  <c r="R14" i="2"/>
  <c r="AW20" i="3"/>
  <c r="AX20" i="3" s="1"/>
  <c r="R22" i="2"/>
  <c r="AW30" i="3"/>
  <c r="AX30" i="3" s="1"/>
  <c r="AY30" i="3" s="1"/>
  <c r="BA30" i="3" s="1"/>
  <c r="Q19" i="2"/>
  <c r="R13" i="2"/>
  <c r="AW19" i="3"/>
  <c r="AX19" i="3" s="1"/>
  <c r="D13" i="2"/>
  <c r="D25" i="2"/>
  <c r="AX31" i="3"/>
  <c r="E27" i="2"/>
  <c r="AW33" i="3"/>
  <c r="AX33" i="3" s="1"/>
  <c r="AY33" i="3" s="1"/>
  <c r="BA33" i="3" s="1"/>
  <c r="E21" i="2"/>
  <c r="AW25" i="3"/>
  <c r="AX25" i="3" s="1"/>
  <c r="E16" i="2"/>
  <c r="AW18" i="3"/>
  <c r="AX18" i="3" s="1"/>
  <c r="AY18" i="3" s="1"/>
  <c r="BA18" i="3" s="1"/>
  <c r="D20" i="2"/>
  <c r="Q22" i="2"/>
  <c r="E22" i="2"/>
  <c r="AW26" i="3"/>
  <c r="AX26" i="3" s="1"/>
  <c r="AY26" i="3" s="1"/>
  <c r="BA26" i="3" s="1"/>
  <c r="R16" i="2"/>
  <c r="AW22" i="3"/>
  <c r="AX22" i="3" s="1"/>
  <c r="AY22" i="3" s="1"/>
  <c r="BA22" i="3" s="1"/>
  <c r="E13" i="2"/>
  <c r="AW15" i="3"/>
  <c r="AX15" i="3" s="1"/>
  <c r="E28" i="2"/>
  <c r="AW34" i="3"/>
  <c r="AX34" i="3" s="1"/>
  <c r="AY34" i="3" s="1"/>
  <c r="BA34" i="3" s="1"/>
  <c r="D26" i="2"/>
  <c r="Q20" i="2"/>
  <c r="AX28" i="3"/>
  <c r="Q15" i="2"/>
  <c r="Q16" i="2"/>
  <c r="R21" i="2"/>
  <c r="AW29" i="3"/>
  <c r="AX29" i="3" s="1"/>
  <c r="AY29" i="3" s="1"/>
  <c r="BA29" i="3" s="1"/>
  <c r="E26" i="2"/>
  <c r="AW32" i="3"/>
  <c r="AX32" i="3" s="1"/>
  <c r="D19" i="2"/>
  <c r="AX23" i="3"/>
  <c r="D14" i="2"/>
  <c r="E14" i="2"/>
  <c r="AW16" i="3"/>
  <c r="AX16" i="3" s="1"/>
  <c r="D16" i="2"/>
  <c r="D21" i="2"/>
  <c r="D22" i="2"/>
  <c r="R15" i="2"/>
  <c r="AW21" i="3"/>
  <c r="AX21" i="3" s="1"/>
  <c r="AY21" i="3" s="1"/>
  <c r="BA21" i="3" s="1"/>
  <c r="R19" i="2"/>
  <c r="AW27" i="3"/>
  <c r="AX27" i="3" s="1"/>
  <c r="D27" i="2"/>
  <c r="E25" i="2"/>
  <c r="C28" i="2"/>
  <c r="Y112" i="3"/>
  <c r="AH112" i="3" s="1"/>
  <c r="C27" i="2"/>
  <c r="Y111" i="3"/>
  <c r="AH111" i="3" s="1"/>
  <c r="P21" i="2"/>
  <c r="Y105" i="3"/>
  <c r="AH105" i="3" s="1"/>
  <c r="P16" i="2"/>
  <c r="Y107" i="3"/>
  <c r="AH107" i="3" s="1"/>
  <c r="Y103" i="3"/>
  <c r="AH103" i="3" s="1"/>
  <c r="C22" i="2"/>
  <c r="C16" i="2"/>
  <c r="R20" i="2"/>
  <c r="P22" i="2"/>
  <c r="E19" i="2"/>
  <c r="W7" i="3"/>
  <c r="X9" i="3" s="1"/>
  <c r="AS14" i="3"/>
  <c r="W10" i="2" s="1"/>
  <c r="AQ14" i="3"/>
  <c r="U10" i="2" s="1"/>
  <c r="AO14" i="3"/>
  <c r="S10" i="2" s="1"/>
  <c r="AM14" i="3"/>
  <c r="AT13" i="3"/>
  <c r="X9" i="2" s="1"/>
  <c r="AR13" i="3"/>
  <c r="V9" i="2" s="1"/>
  <c r="AP13" i="3"/>
  <c r="T9" i="2" s="1"/>
  <c r="AN13" i="3"/>
  <c r="AW13" i="3" s="1"/>
  <c r="AL13" i="3"/>
  <c r="AS12" i="3"/>
  <c r="W8" i="2" s="1"/>
  <c r="AQ12" i="3"/>
  <c r="U8" i="2" s="1"/>
  <c r="AO12" i="3"/>
  <c r="S8" i="2" s="1"/>
  <c r="AM12" i="3"/>
  <c r="AT14" i="3"/>
  <c r="X10" i="2" s="1"/>
  <c r="AR14" i="3"/>
  <c r="V10" i="2" s="1"/>
  <c r="AP14" i="3"/>
  <c r="T10" i="2" s="1"/>
  <c r="AN14" i="3"/>
  <c r="AW14" i="3" s="1"/>
  <c r="AL14" i="3"/>
  <c r="AS13" i="3"/>
  <c r="W9" i="2" s="1"/>
  <c r="AQ13" i="3"/>
  <c r="U9" i="2" s="1"/>
  <c r="AO13" i="3"/>
  <c r="S9" i="2" s="1"/>
  <c r="AM13" i="3"/>
  <c r="AT12" i="3"/>
  <c r="X8" i="2" s="1"/>
  <c r="AR12" i="3"/>
  <c r="V8" i="2" s="1"/>
  <c r="AP12" i="3"/>
  <c r="T8" i="2" s="1"/>
  <c r="AN12" i="3"/>
  <c r="AW12" i="3" s="1"/>
  <c r="AL12" i="3"/>
  <c r="AL11" i="3"/>
  <c r="AS11" i="3"/>
  <c r="W7" i="2" s="1"/>
  <c r="AQ11" i="3"/>
  <c r="U7" i="2" s="1"/>
  <c r="AO11" i="3"/>
  <c r="S7" i="2" s="1"/>
  <c r="AM11" i="3"/>
  <c r="AT11" i="3"/>
  <c r="X7" i="2" s="1"/>
  <c r="AR11" i="3"/>
  <c r="V7" i="2" s="1"/>
  <c r="AP11" i="3"/>
  <c r="T7" i="2" s="1"/>
  <c r="AN11" i="3"/>
  <c r="AW11" i="3" s="1"/>
  <c r="AY36" i="3" l="1"/>
  <c r="BA36" i="3" s="1"/>
  <c r="N62" i="3" s="1"/>
  <c r="AY38" i="3"/>
  <c r="BA38" i="3" s="1"/>
  <c r="AD28" i="2" s="1"/>
  <c r="AY35" i="3"/>
  <c r="BA35" i="3" s="1"/>
  <c r="AD25" i="2" s="1"/>
  <c r="BC6" i="3"/>
  <c r="AE7" i="2"/>
  <c r="P7" i="2"/>
  <c r="Y102" i="3"/>
  <c r="AH102" i="3" s="1"/>
  <c r="P8" i="2"/>
  <c r="AY20" i="3"/>
  <c r="BA20" i="3" s="1"/>
  <c r="AY19" i="3"/>
  <c r="BA19" i="3" s="1"/>
  <c r="AY25" i="3"/>
  <c r="BA25" i="3" s="1"/>
  <c r="AY23" i="3"/>
  <c r="BA23" i="3" s="1"/>
  <c r="AY31" i="3"/>
  <c r="BA31" i="3" s="1"/>
  <c r="Q10" i="2"/>
  <c r="AX14" i="3"/>
  <c r="AY14" i="3" s="1"/>
  <c r="BA14" i="3" s="1"/>
  <c r="Q8" i="2"/>
  <c r="AX12" i="3"/>
  <c r="AY28" i="3"/>
  <c r="BA28" i="3" s="1"/>
  <c r="AY27" i="3"/>
  <c r="BA27" i="3" s="1"/>
  <c r="AY16" i="3"/>
  <c r="BA16" i="3" s="1"/>
  <c r="AY15" i="3"/>
  <c r="BA15" i="3" s="1"/>
  <c r="Q9" i="2"/>
  <c r="AX13" i="3"/>
  <c r="AY13" i="3" s="1"/>
  <c r="BA13" i="3" s="1"/>
  <c r="AY24" i="3"/>
  <c r="BA24" i="3" s="1"/>
  <c r="Q7" i="2"/>
  <c r="AX11" i="3"/>
  <c r="AY32" i="3"/>
  <c r="BA32" i="3" s="1"/>
  <c r="X10" i="3"/>
  <c r="X7" i="3"/>
  <c r="X8" i="3"/>
  <c r="R7" i="2"/>
  <c r="R9" i="2"/>
  <c r="R10" i="2"/>
  <c r="R8" i="2"/>
  <c r="P9" i="2"/>
  <c r="Y101" i="3"/>
  <c r="AH101" i="3" s="1"/>
  <c r="P10" i="2"/>
  <c r="AD26" i="2" l="1"/>
  <c r="J64" i="3"/>
  <c r="G68" i="1" s="1"/>
  <c r="C22" i="4" s="1"/>
  <c r="AC21" i="2"/>
  <c r="AC28" i="2"/>
  <c r="AC13" i="2"/>
  <c r="AC27" i="2"/>
  <c r="AD21" i="2"/>
  <c r="AD22" i="2"/>
  <c r="AD15" i="2"/>
  <c r="AD16" i="2"/>
  <c r="AC22" i="2"/>
  <c r="AC16" i="2"/>
  <c r="AC15" i="2"/>
  <c r="J58" i="3"/>
  <c r="AY12" i="3"/>
  <c r="BA12" i="3" s="1"/>
  <c r="AY11" i="3"/>
  <c r="BA11" i="3" s="1"/>
  <c r="AT9" i="3"/>
  <c r="K9" i="2" s="1"/>
  <c r="AM9" i="3"/>
  <c r="AL9" i="3"/>
  <c r="AP9" i="3"/>
  <c r="G9" i="2" s="1"/>
  <c r="AQ9" i="3"/>
  <c r="H9" i="2" s="1"/>
  <c r="AR9" i="3"/>
  <c r="I9" i="2" s="1"/>
  <c r="AO9" i="3"/>
  <c r="F9" i="2" s="1"/>
  <c r="AS9" i="3"/>
  <c r="J9" i="2" s="1"/>
  <c r="AN9" i="3"/>
  <c r="AO10" i="3"/>
  <c r="F10" i="2" s="1"/>
  <c r="AP10" i="3"/>
  <c r="G10" i="2" s="1"/>
  <c r="AN7" i="3"/>
  <c r="AR8" i="3"/>
  <c r="I8" i="2" s="1"/>
  <c r="AM10" i="3"/>
  <c r="AL7" i="3"/>
  <c r="AM7" i="3"/>
  <c r="AO8" i="3"/>
  <c r="F8" i="2" s="1"/>
  <c r="AT7" i="3"/>
  <c r="K7" i="2" s="1"/>
  <c r="AS7" i="3"/>
  <c r="J7" i="2" s="1"/>
  <c r="AP8" i="3"/>
  <c r="G8" i="2" s="1"/>
  <c r="AN10" i="3"/>
  <c r="AM8" i="3"/>
  <c r="AS10" i="3"/>
  <c r="J10" i="2" s="1"/>
  <c r="AR7" i="3"/>
  <c r="I7" i="2" s="1"/>
  <c r="AQ7" i="3"/>
  <c r="H7" i="2" s="1"/>
  <c r="AN8" i="3"/>
  <c r="AL10" i="3"/>
  <c r="AT10" i="3"/>
  <c r="K10" i="2" s="1"/>
  <c r="AS8" i="3"/>
  <c r="J8" i="2" s="1"/>
  <c r="AQ10" i="3"/>
  <c r="H10" i="2" s="1"/>
  <c r="AP7" i="3"/>
  <c r="G7" i="2" s="1"/>
  <c r="AO7" i="3"/>
  <c r="F7" i="2" s="1"/>
  <c r="AL8" i="3"/>
  <c r="AT8" i="3"/>
  <c r="K8" i="2" s="1"/>
  <c r="AR10" i="3"/>
  <c r="I10" i="2" s="1"/>
  <c r="AQ8" i="3"/>
  <c r="H8" i="2" s="1"/>
  <c r="Y100" i="3" l="1"/>
  <c r="AH100" i="3" s="1"/>
  <c r="Y99" i="3"/>
  <c r="AH99" i="3" s="1"/>
  <c r="C8" i="2"/>
  <c r="C7" i="2"/>
  <c r="AD10" i="2"/>
  <c r="AD9" i="2"/>
  <c r="AC26" i="2"/>
  <c r="N64" i="3"/>
  <c r="K68" i="1" s="1"/>
  <c r="C23" i="4" s="1"/>
  <c r="AD20" i="2"/>
  <c r="N61" i="3"/>
  <c r="AC20" i="2"/>
  <c r="N63" i="3"/>
  <c r="AD14" i="2"/>
  <c r="N58" i="3"/>
  <c r="AC14" i="2"/>
  <c r="N60" i="3"/>
  <c r="K64" i="1" s="1"/>
  <c r="C19" i="4" s="1"/>
  <c r="AC25" i="2"/>
  <c r="J62" i="3"/>
  <c r="G66" i="1" s="1"/>
  <c r="C14" i="4" s="1"/>
  <c r="AD19" i="2"/>
  <c r="J63" i="3"/>
  <c r="G67" i="1" s="1"/>
  <c r="C20" i="4" s="1"/>
  <c r="AC19" i="2"/>
  <c r="J61" i="3"/>
  <c r="G65" i="1" s="1"/>
  <c r="C12" i="4" s="1"/>
  <c r="AD13" i="2"/>
  <c r="J60" i="3"/>
  <c r="E8" i="2"/>
  <c r="AW8" i="3"/>
  <c r="AX8" i="3" s="1"/>
  <c r="D10" i="2"/>
  <c r="D7" i="2"/>
  <c r="E7" i="2"/>
  <c r="AW7" i="3"/>
  <c r="AX7" i="3" s="1"/>
  <c r="E10" i="2"/>
  <c r="AW10" i="3"/>
  <c r="AX10" i="3" s="1"/>
  <c r="AY10" i="3" s="1"/>
  <c r="BA10" i="3" s="1"/>
  <c r="E9" i="2"/>
  <c r="AW9" i="3"/>
  <c r="AX9" i="3" s="1"/>
  <c r="AY9" i="3" s="1"/>
  <c r="BA9" i="3" s="1"/>
  <c r="D9" i="2"/>
  <c r="D8" i="2"/>
  <c r="C9" i="2"/>
  <c r="C10" i="2"/>
  <c r="G61" i="1"/>
  <c r="C10" i="4" s="1"/>
  <c r="AD7" i="2" l="1"/>
  <c r="J59" i="3"/>
  <c r="G63" i="1" s="1"/>
  <c r="C16" i="4" s="1"/>
  <c r="AD8" i="2"/>
  <c r="N57" i="3"/>
  <c r="AY8" i="3"/>
  <c r="BA8" i="3" s="1"/>
  <c r="AY7" i="3"/>
  <c r="BA7" i="3" s="1"/>
  <c r="G64" i="1"/>
  <c r="C18" i="4" s="1"/>
  <c r="BD6" i="3" l="1"/>
  <c r="BB6" i="3" s="1"/>
  <c r="AC10" i="2"/>
  <c r="AC9" i="2"/>
  <c r="AC7" i="2" l="1"/>
  <c r="J57" i="3"/>
  <c r="G62" i="1" s="1"/>
  <c r="C8" i="4" s="1"/>
  <c r="AC8" i="2"/>
  <c r="N59" i="3"/>
  <c r="K67" i="1" l="1"/>
  <c r="C21" i="4" s="1"/>
  <c r="K66" i="1"/>
  <c r="C15" i="4" s="1"/>
  <c r="K63" i="1"/>
  <c r="C17" i="4" s="1"/>
  <c r="K65" i="1"/>
  <c r="C13" i="4" s="1"/>
  <c r="K61" i="1"/>
  <c r="C11" i="4" s="1"/>
  <c r="K62" i="1"/>
  <c r="C9" i="4" s="1"/>
  <c r="AF4" i="2" l="1"/>
  <c r="N5" i="2" s="1"/>
  <c r="P59" i="1"/>
  <c r="B59" i="1" s="1"/>
  <c r="M61" i="3" l="1"/>
  <c r="M64" i="3"/>
  <c r="O74" i="3"/>
  <c r="AA74" i="3" s="1"/>
  <c r="O61" i="3"/>
  <c r="AA61" i="3" s="1"/>
  <c r="O63" i="3"/>
  <c r="AA63" i="3" s="1"/>
  <c r="P74" i="3"/>
  <c r="AB74" i="3" s="1"/>
  <c r="M58" i="3"/>
  <c r="P63" i="3"/>
  <c r="AB63" i="3" s="1"/>
  <c r="P77" i="3"/>
  <c r="AB77" i="3" s="1"/>
  <c r="P68" i="3"/>
  <c r="AB68" i="3" s="1"/>
  <c r="P67" i="3"/>
  <c r="AB67" i="3" s="1"/>
  <c r="M62" i="3"/>
  <c r="O80" i="3"/>
  <c r="AA80" i="3" s="1"/>
  <c r="M63" i="3"/>
  <c r="K70" i="3"/>
  <c r="M80" i="3"/>
  <c r="K60" i="3"/>
  <c r="O59" i="3"/>
  <c r="AA59" i="3" s="1"/>
  <c r="P62" i="3"/>
  <c r="AB62" i="3" s="1"/>
  <c r="K68" i="3"/>
  <c r="P57" i="3"/>
  <c r="AB57" i="3" s="1"/>
  <c r="O57" i="3"/>
  <c r="AA57" i="3" s="1"/>
  <c r="K58" i="3"/>
  <c r="P64" i="3"/>
  <c r="AB64" i="3" s="1"/>
  <c r="O64" i="3"/>
  <c r="AA64" i="3" s="1"/>
  <c r="M73" i="3"/>
  <c r="M69" i="3"/>
  <c r="M70" i="3"/>
  <c r="M60" i="3"/>
  <c r="O62" i="3"/>
  <c r="AA62" i="3" s="1"/>
  <c r="O77" i="3"/>
  <c r="AA77" i="3" s="1"/>
  <c r="O73" i="3"/>
  <c r="AA73" i="3" s="1"/>
  <c r="P59" i="3"/>
  <c r="AB59" i="3" s="1"/>
  <c r="O60" i="3"/>
  <c r="AA60" i="3" s="1"/>
  <c r="O70" i="3"/>
  <c r="AA70" i="3" s="1"/>
  <c r="O67" i="3"/>
  <c r="AA67" i="3" s="1"/>
  <c r="M67" i="3"/>
  <c r="M74" i="3"/>
  <c r="M68" i="3"/>
  <c r="M77" i="3"/>
  <c r="P80" i="3"/>
  <c r="AB80" i="3" s="1"/>
  <c r="K61" i="3"/>
  <c r="K69" i="3"/>
  <c r="K77" i="3"/>
  <c r="P60" i="3"/>
  <c r="AB60" i="3" s="1"/>
  <c r="P73" i="3"/>
  <c r="AB73" i="3" s="1"/>
  <c r="K64" i="3"/>
  <c r="K80" i="3"/>
  <c r="P58" i="3"/>
  <c r="AB58" i="3" s="1"/>
  <c r="O58" i="3"/>
  <c r="AA58" i="3" s="1"/>
  <c r="M59" i="3"/>
  <c r="O69" i="3"/>
  <c r="AA69" i="3" s="1"/>
  <c r="O68" i="3"/>
  <c r="AA68" i="3" s="1"/>
  <c r="K63" i="3"/>
  <c r="P70" i="3"/>
  <c r="AB70" i="3" s="1"/>
  <c r="M57" i="3"/>
  <c r="K73" i="3"/>
  <c r="K59" i="3"/>
  <c r="K74" i="3"/>
  <c r="K57" i="3"/>
  <c r="P61" i="3"/>
  <c r="AB61" i="3" s="1"/>
  <c r="K67" i="3"/>
  <c r="P69" i="3"/>
  <c r="AB69" i="3" s="1"/>
  <c r="K62" i="3"/>
  <c r="AD74" i="3" l="1"/>
  <c r="AD57" i="3"/>
  <c r="AD77" i="3"/>
  <c r="AD59" i="3"/>
  <c r="AD63" i="3"/>
  <c r="AD68" i="3"/>
  <c r="AD67" i="3"/>
  <c r="U57" i="3"/>
  <c r="AC57" i="3"/>
  <c r="T57" i="3"/>
  <c r="S57" i="3"/>
  <c r="U73" i="3"/>
  <c r="AC73" i="3"/>
  <c r="T73" i="3"/>
  <c r="S73" i="3"/>
  <c r="U60" i="3"/>
  <c r="T60" i="3"/>
  <c r="AC60" i="3"/>
  <c r="S60" i="3"/>
  <c r="AD60" i="3"/>
  <c r="AD61" i="3"/>
  <c r="T59" i="3"/>
  <c r="AC59" i="3"/>
  <c r="S59" i="3"/>
  <c r="U59" i="3"/>
  <c r="AC63" i="3"/>
  <c r="U63" i="3"/>
  <c r="S63" i="3"/>
  <c r="T63" i="3"/>
  <c r="U61" i="3"/>
  <c r="AC61" i="3"/>
  <c r="S61" i="3"/>
  <c r="T61" i="3"/>
  <c r="AD73" i="3"/>
  <c r="AD64" i="3"/>
  <c r="T74" i="3"/>
  <c r="U74" i="3"/>
  <c r="AC74" i="3"/>
  <c r="S74" i="3"/>
  <c r="T64" i="3"/>
  <c r="AC64" i="3"/>
  <c r="U64" i="3"/>
  <c r="S64" i="3"/>
  <c r="U69" i="3"/>
  <c r="AC69" i="3"/>
  <c r="S69" i="3"/>
  <c r="T69" i="3"/>
  <c r="U58" i="3"/>
  <c r="S58" i="3"/>
  <c r="AC58" i="3"/>
  <c r="T58" i="3"/>
  <c r="T70" i="3"/>
  <c r="U70" i="3"/>
  <c r="AC70" i="3"/>
  <c r="S70" i="3"/>
  <c r="AD69" i="3"/>
  <c r="AD58" i="3"/>
  <c r="T67" i="3"/>
  <c r="U67" i="3"/>
  <c r="AC67" i="3"/>
  <c r="S67" i="3"/>
  <c r="AC62" i="3"/>
  <c r="U62" i="3"/>
  <c r="T62" i="3"/>
  <c r="S62" i="3"/>
  <c r="AC80" i="3"/>
  <c r="T80" i="3"/>
  <c r="U80" i="3"/>
  <c r="S80" i="3"/>
  <c r="U77" i="3"/>
  <c r="AC77" i="3"/>
  <c r="T77" i="3"/>
  <c r="S77" i="3"/>
  <c r="T68" i="3"/>
  <c r="U68" i="3"/>
  <c r="AC68" i="3"/>
  <c r="S68" i="3"/>
  <c r="AD70" i="3"/>
  <c r="AD80" i="3"/>
  <c r="AD62" i="3"/>
  <c r="V77" i="3" l="1"/>
  <c r="V70" i="3"/>
  <c r="V61" i="3"/>
  <c r="V63" i="3"/>
  <c r="V59" i="3"/>
  <c r="V68" i="3"/>
  <c r="V67" i="3"/>
  <c r="V58" i="3"/>
  <c r="V62" i="3"/>
  <c r="V69" i="3"/>
  <c r="V80" i="3"/>
  <c r="V64" i="3"/>
  <c r="V74" i="3"/>
  <c r="V60" i="3"/>
  <c r="V73" i="3"/>
  <c r="V57" i="3"/>
  <c r="Y58" i="3" l="1"/>
  <c r="X58" i="3"/>
  <c r="P62" i="1"/>
  <c r="M62" i="1" s="1"/>
  <c r="W58" i="3"/>
  <c r="Y68" i="3"/>
  <c r="X68" i="3"/>
  <c r="W68" i="3"/>
  <c r="P71" i="1"/>
  <c r="M71" i="1" s="1"/>
  <c r="W60" i="3"/>
  <c r="P64" i="1"/>
  <c r="M64" i="1" s="1"/>
  <c r="X60" i="3"/>
  <c r="Y73" i="3"/>
  <c r="P77" i="1"/>
  <c r="M77" i="1" s="1"/>
  <c r="W73" i="3"/>
  <c r="X73" i="3"/>
  <c r="P78" i="1"/>
  <c r="M78" i="1" s="1"/>
  <c r="X74" i="3"/>
  <c r="W74" i="3"/>
  <c r="Y80" i="3"/>
  <c r="P84" i="1"/>
  <c r="M84" i="1" s="1"/>
  <c r="W80" i="3"/>
  <c r="X80" i="3"/>
  <c r="Y62" i="3"/>
  <c r="X62" i="3"/>
  <c r="W62" i="3"/>
  <c r="P66" i="1"/>
  <c r="M66" i="1" s="1"/>
  <c r="X67" i="3"/>
  <c r="Y67" i="3"/>
  <c r="W67" i="3"/>
  <c r="P72" i="1"/>
  <c r="M72" i="1" s="1"/>
  <c r="X59" i="3"/>
  <c r="P63" i="1"/>
  <c r="M63" i="1" s="1"/>
  <c r="Y59" i="3"/>
  <c r="W59" i="3"/>
  <c r="P65" i="1"/>
  <c r="M65" i="1" s="1"/>
  <c r="W61" i="3"/>
  <c r="Y61" i="3"/>
  <c r="X61" i="3"/>
  <c r="X77" i="3"/>
  <c r="Y77" i="3"/>
  <c r="P81" i="1"/>
  <c r="M81" i="1" s="1"/>
  <c r="W77" i="3"/>
  <c r="X70" i="3"/>
  <c r="Y70" i="3"/>
  <c r="P73" i="1"/>
  <c r="M73" i="1" s="1"/>
  <c r="W70" i="3"/>
  <c r="W57" i="3"/>
  <c r="X57" i="3"/>
  <c r="P61" i="1"/>
  <c r="M61" i="1" s="1"/>
  <c r="X64" i="3"/>
  <c r="W64" i="3"/>
  <c r="P68" i="1"/>
  <c r="M68" i="1" s="1"/>
  <c r="P74" i="1"/>
  <c r="M74" i="1" s="1"/>
  <c r="W69" i="3"/>
  <c r="X69" i="3"/>
  <c r="X63" i="3"/>
  <c r="W63" i="3"/>
  <c r="P67" i="1"/>
  <c r="M67" i="1" s="1"/>
  <c r="Y63" i="3"/>
  <c r="Y64" i="3" l="1"/>
  <c r="Z64" i="3" s="1"/>
  <c r="Y74" i="3"/>
  <c r="Z74" i="3" s="1"/>
  <c r="Y69" i="3"/>
  <c r="Z69" i="3" s="1"/>
  <c r="Y60" i="3"/>
  <c r="Z60" i="3" s="1"/>
  <c r="AE60" i="3" s="1"/>
  <c r="Y57" i="3"/>
  <c r="Z57" i="3" s="1"/>
  <c r="Z58" i="3"/>
  <c r="Z80" i="3"/>
  <c r="Z73" i="3"/>
  <c r="Z68" i="3"/>
  <c r="Z70" i="3"/>
  <c r="Z77" i="3"/>
  <c r="Z62" i="3"/>
  <c r="Z63" i="3"/>
  <c r="Z67" i="3"/>
  <c r="Z61" i="3"/>
  <c r="Z59" i="3"/>
  <c r="P87" i="1" l="1"/>
  <c r="T84" i="3"/>
  <c r="AE64" i="3"/>
  <c r="N70" i="3" s="1"/>
  <c r="K73" i="1" s="1"/>
  <c r="F22" i="4" s="1"/>
  <c r="AF63" i="3"/>
  <c r="AE63" i="3"/>
  <c r="J70" i="3" s="1"/>
  <c r="G73" i="1" s="1"/>
  <c r="F21" i="4" s="1"/>
  <c r="AF62" i="3"/>
  <c r="AE62" i="3"/>
  <c r="N68" i="3" s="1"/>
  <c r="K72" i="1" s="1"/>
  <c r="F14" i="4" s="1"/>
  <c r="AF61" i="3"/>
  <c r="AE61" i="3"/>
  <c r="J68" i="3" s="1"/>
  <c r="G72" i="1" s="1"/>
  <c r="F13" i="4" s="1"/>
  <c r="AF59" i="3"/>
  <c r="AE59" i="3"/>
  <c r="J69" i="3" s="1"/>
  <c r="G74" i="1" s="1"/>
  <c r="F17" i="4" s="1"/>
  <c r="AE58" i="3"/>
  <c r="N67" i="3" s="1"/>
  <c r="K71" i="1" s="1"/>
  <c r="F10" i="4" s="1"/>
  <c r="AE57" i="3"/>
  <c r="J67" i="3" s="1"/>
  <c r="G71" i="1" s="1"/>
  <c r="F9" i="4" s="1"/>
  <c r="AF58" i="3"/>
  <c r="Q18" i="4"/>
  <c r="AF57" i="3"/>
  <c r="T83" i="3"/>
  <c r="Q21" i="4"/>
  <c r="T87" i="3"/>
  <c r="AF64" i="3"/>
  <c r="T85" i="3"/>
  <c r="T86" i="3"/>
  <c r="AF60" i="3"/>
  <c r="N69" i="3"/>
  <c r="K74" i="1" s="1"/>
  <c r="F18" i="4" s="1"/>
  <c r="Y95" i="3" l="1"/>
  <c r="AF70" i="3"/>
  <c r="Y90" i="3" s="1"/>
  <c r="AE69" i="3"/>
  <c r="J74" i="3" s="1"/>
  <c r="AF74" i="3" s="1"/>
  <c r="AE70" i="3"/>
  <c r="N74" i="3" s="1"/>
  <c r="AE68" i="3"/>
  <c r="N73" i="3" s="1"/>
  <c r="AF67" i="3"/>
  <c r="Y87" i="3" s="1"/>
  <c r="AE67" i="3"/>
  <c r="J73" i="3" s="1"/>
  <c r="AF69" i="3"/>
  <c r="Y89" i="3" s="1"/>
  <c r="AF68" i="3"/>
  <c r="Y88" i="3" s="1"/>
  <c r="Y92" i="3"/>
  <c r="Y96" i="3"/>
  <c r="AH96" i="3" s="1"/>
  <c r="Y91" i="3"/>
  <c r="Y94" i="3"/>
  <c r="Y97" i="3"/>
  <c r="Y98" i="3"/>
  <c r="Y93" i="3"/>
  <c r="AH95" i="3"/>
  <c r="AF73" i="3" l="1"/>
  <c r="J77" i="3" s="1"/>
  <c r="AE77" i="3" s="1"/>
  <c r="K78" i="1"/>
  <c r="I20" i="4" s="1"/>
  <c r="AE74" i="3"/>
  <c r="N80" i="3" s="1"/>
  <c r="G77" i="1"/>
  <c r="I11" i="4" s="1"/>
  <c r="AE73" i="3"/>
  <c r="J80" i="3" s="1"/>
  <c r="G78" i="1"/>
  <c r="I19" i="4" s="1"/>
  <c r="N77" i="3"/>
  <c r="AF77" i="3" s="1"/>
  <c r="Y86" i="3" s="1"/>
  <c r="K77" i="1"/>
  <c r="I12" i="4" s="1"/>
  <c r="AH91" i="3"/>
  <c r="AH98" i="3"/>
  <c r="AH92" i="3"/>
  <c r="AH97" i="3"/>
  <c r="AH94" i="3"/>
  <c r="AH93" i="3"/>
  <c r="AH87" i="3"/>
  <c r="AH89" i="3"/>
  <c r="AH90" i="3"/>
  <c r="AH88" i="3"/>
  <c r="AF80" i="3" l="1"/>
  <c r="G81" i="1"/>
  <c r="L21" i="4" s="1"/>
  <c r="AE80" i="3"/>
  <c r="O15" i="4" s="1"/>
  <c r="AA88" i="3"/>
  <c r="AF87" i="3"/>
  <c r="AE88" i="3"/>
  <c r="AB88" i="3"/>
  <c r="AD88" i="3"/>
  <c r="AF90" i="3"/>
  <c r="AF88" i="3"/>
  <c r="AA90" i="3"/>
  <c r="AB89" i="3"/>
  <c r="AB90" i="3"/>
  <c r="AB86" i="3"/>
  <c r="AE90" i="3"/>
  <c r="AD89" i="3"/>
  <c r="AD87" i="3"/>
  <c r="AD93" i="3"/>
  <c r="AD94" i="3"/>
  <c r="AB97" i="3"/>
  <c r="AE87" i="3"/>
  <c r="AB93" i="3"/>
  <c r="AA97" i="3"/>
  <c r="AD96" i="3"/>
  <c r="AD90" i="3"/>
  <c r="AF89" i="3"/>
  <c r="AB87" i="3"/>
  <c r="AE92" i="3"/>
  <c r="AE89" i="3"/>
  <c r="AD92" i="3"/>
  <c r="AB113" i="3"/>
  <c r="AA94" i="3"/>
  <c r="AE97" i="3"/>
  <c r="AF97" i="3"/>
  <c r="AD110" i="3"/>
  <c r="AA89" i="3"/>
  <c r="AA87" i="3"/>
  <c r="AE94" i="3"/>
  <c r="AA93" i="3"/>
  <c r="AA99" i="3"/>
  <c r="AA101" i="3"/>
  <c r="AD86" i="3"/>
  <c r="AA92" i="3"/>
  <c r="AF98" i="3"/>
  <c r="AE107" i="3"/>
  <c r="AF93" i="3"/>
  <c r="AB94" i="3"/>
  <c r="AF94" i="3"/>
  <c r="AD97" i="3"/>
  <c r="AB92" i="3"/>
  <c r="AD98" i="3"/>
  <c r="AE96" i="3"/>
  <c r="AA113" i="3"/>
  <c r="AB100" i="3"/>
  <c r="AD104" i="3"/>
  <c r="AA100" i="3"/>
  <c r="AE86" i="3"/>
  <c r="AR86" i="3" s="1"/>
  <c r="I11" i="5" s="1"/>
  <c r="AF108" i="3"/>
  <c r="AE104" i="3"/>
  <c r="AF99" i="3"/>
  <c r="AE98" i="3"/>
  <c r="AA110" i="3"/>
  <c r="AB114" i="3"/>
  <c r="AE109" i="3"/>
  <c r="AF95" i="3"/>
  <c r="AF107" i="3"/>
  <c r="AE114" i="3"/>
  <c r="AE111" i="3"/>
  <c r="AD108" i="3"/>
  <c r="AB108" i="3"/>
  <c r="AA86" i="3"/>
  <c r="AB104" i="3"/>
  <c r="AB91" i="3"/>
  <c r="AD100" i="3"/>
  <c r="AE101" i="3"/>
  <c r="AF113" i="3"/>
  <c r="AF92" i="3"/>
  <c r="AA91" i="3"/>
  <c r="AE106" i="3"/>
  <c r="AA103" i="3"/>
  <c r="AA107" i="3"/>
  <c r="AB99" i="3"/>
  <c r="AF91" i="3"/>
  <c r="AD106" i="3"/>
  <c r="AF102" i="3"/>
  <c r="AF96" i="3"/>
  <c r="AD103" i="3"/>
  <c r="AB105" i="3"/>
  <c r="AA95" i="3"/>
  <c r="AD111" i="3"/>
  <c r="AE102" i="3"/>
  <c r="AB109" i="3"/>
  <c r="AE112" i="3"/>
  <c r="AF101" i="3"/>
  <c r="AB102" i="3"/>
  <c r="AD113" i="3"/>
  <c r="AB95" i="3"/>
  <c r="AA111" i="3"/>
  <c r="AF104" i="3"/>
  <c r="AG104" i="3" s="1"/>
  <c r="AF112" i="3"/>
  <c r="AE113" i="3"/>
  <c r="AA112" i="3"/>
  <c r="AD91" i="3"/>
  <c r="AF100" i="3"/>
  <c r="AB110" i="3"/>
  <c r="AE93" i="3"/>
  <c r="F87" i="1"/>
  <c r="P88" i="1" s="1"/>
  <c r="Y83" i="3"/>
  <c r="AF83" i="3" s="1"/>
  <c r="K84" i="1"/>
  <c r="L16" i="4" s="1"/>
  <c r="K81" i="1"/>
  <c r="L22" i="4" s="1"/>
  <c r="AQ86" i="3"/>
  <c r="H11" i="5" s="1"/>
  <c r="AN86" i="3"/>
  <c r="E11" i="5" s="1"/>
  <c r="AH86" i="3"/>
  <c r="AO86" i="3"/>
  <c r="F11" i="5" s="1"/>
  <c r="AL86" i="3"/>
  <c r="C11" i="5" s="1"/>
  <c r="G84" i="1"/>
  <c r="L15" i="4" s="1"/>
  <c r="AB112" i="3"/>
  <c r="AF86" i="3"/>
  <c r="AA108" i="3"/>
  <c r="AA104" i="3"/>
  <c r="AF110" i="3"/>
  <c r="AA98" i="3"/>
  <c r="AB107" i="3"/>
  <c r="AE110" i="3"/>
  <c r="AA106" i="3"/>
  <c r="AF106" i="3"/>
  <c r="AF105" i="3"/>
  <c r="AA96" i="3"/>
  <c r="AD107" i="3"/>
  <c r="AD112" i="3"/>
  <c r="AF114" i="3"/>
  <c r="AB101" i="3"/>
  <c r="AD95" i="3"/>
  <c r="AE99" i="3"/>
  <c r="AA109" i="3"/>
  <c r="AA102" i="3"/>
  <c r="AA114" i="3"/>
  <c r="AD105" i="3"/>
  <c r="AF109" i="3"/>
  <c r="AD114" i="3"/>
  <c r="AD109" i="3"/>
  <c r="AE91" i="3"/>
  <c r="AB98" i="3"/>
  <c r="AD99" i="3"/>
  <c r="AF103" i="3"/>
  <c r="AB103" i="3"/>
  <c r="AE108" i="3"/>
  <c r="AB96" i="3"/>
  <c r="AE105" i="3"/>
  <c r="AB111" i="3"/>
  <c r="AE100" i="3"/>
  <c r="AB106" i="3"/>
  <c r="AF111" i="3"/>
  <c r="AE95" i="3"/>
  <c r="AA105" i="3"/>
  <c r="AD101" i="3"/>
  <c r="AD102" i="3"/>
  <c r="AE103" i="3"/>
  <c r="AG87" i="3" l="1"/>
  <c r="AC89" i="3"/>
  <c r="Z89" i="3" s="1"/>
  <c r="AG109" i="3"/>
  <c r="AG98" i="3"/>
  <c r="AG111" i="3"/>
  <c r="AG99" i="3"/>
  <c r="AG96" i="3"/>
  <c r="AG92" i="3"/>
  <c r="AG95" i="3"/>
  <c r="AG107" i="3"/>
  <c r="AC95" i="3"/>
  <c r="Z95" i="3" s="1"/>
  <c r="AG90" i="3"/>
  <c r="AG86" i="3"/>
  <c r="AT86" i="3" s="1"/>
  <c r="K11" i="5" s="1"/>
  <c r="AG97" i="3"/>
  <c r="AG88" i="3"/>
  <c r="AC93" i="3"/>
  <c r="Z93" i="3" s="1"/>
  <c r="AC99" i="3"/>
  <c r="Z99" i="3" s="1"/>
  <c r="AC94" i="3"/>
  <c r="Z94" i="3" s="1"/>
  <c r="AG113" i="3"/>
  <c r="AC88" i="3"/>
  <c r="Z88" i="3" s="1"/>
  <c r="AC113" i="3"/>
  <c r="Z113" i="3" s="1"/>
  <c r="AC87" i="3"/>
  <c r="Z87" i="3" s="1"/>
  <c r="AC97" i="3"/>
  <c r="Z97" i="3" s="1"/>
  <c r="W97" i="3" s="1"/>
  <c r="AC90" i="3"/>
  <c r="Z90" i="3" s="1"/>
  <c r="W90" i="3" s="1"/>
  <c r="AC92" i="3"/>
  <c r="Z92" i="3" s="1"/>
  <c r="AC104" i="3"/>
  <c r="Z104" i="3" s="1"/>
  <c r="W104" i="3" s="1"/>
  <c r="AG89" i="3"/>
  <c r="AG94" i="3"/>
  <c r="AG93" i="3"/>
  <c r="AC86" i="3"/>
  <c r="Z86" i="3" s="1"/>
  <c r="AM86" i="3" s="1"/>
  <c r="D11" i="5" s="1"/>
  <c r="AC91" i="3"/>
  <c r="Z91" i="3" s="1"/>
  <c r="AG108" i="3"/>
  <c r="AC108" i="3"/>
  <c r="Z108" i="3" s="1"/>
  <c r="AC100" i="3"/>
  <c r="Z100" i="3" s="1"/>
  <c r="AC110" i="3"/>
  <c r="Z110" i="3" s="1"/>
  <c r="AG114" i="3"/>
  <c r="AG101" i="3"/>
  <c r="AP86" i="3"/>
  <c r="G11" i="5" s="1"/>
  <c r="AG102" i="3"/>
  <c r="AC111" i="3"/>
  <c r="Z111" i="3" s="1"/>
  <c r="W111" i="3" s="1"/>
  <c r="AG106" i="3"/>
  <c r="AC103" i="3"/>
  <c r="Z103" i="3" s="1"/>
  <c r="AG100" i="3"/>
  <c r="AG91" i="3"/>
  <c r="AG112" i="3"/>
  <c r="AG105" i="3"/>
  <c r="AG110" i="3"/>
  <c r="AG103" i="3"/>
  <c r="O18" i="4"/>
  <c r="Y84" i="3"/>
  <c r="AH83" i="3"/>
  <c r="AL83" i="3"/>
  <c r="C8" i="5" s="1"/>
  <c r="AS83" i="3"/>
  <c r="J8" i="5" s="1"/>
  <c r="AA83" i="3"/>
  <c r="AE83" i="3"/>
  <c r="AR83" i="3" s="1"/>
  <c r="I8" i="5" s="1"/>
  <c r="AB83" i="3"/>
  <c r="AO83" i="3" s="1"/>
  <c r="F8" i="5" s="1"/>
  <c r="AD83" i="3"/>
  <c r="AQ83" i="3" s="1"/>
  <c r="H8" i="5" s="1"/>
  <c r="AS86" i="3"/>
  <c r="J11" i="5" s="1"/>
  <c r="O19" i="4"/>
  <c r="Y85" i="3"/>
  <c r="W89" i="3"/>
  <c r="W87" i="3"/>
  <c r="AC102" i="3"/>
  <c r="Z102" i="3" s="1"/>
  <c r="W99" i="3"/>
  <c r="AC96" i="3"/>
  <c r="Z96" i="3" s="1"/>
  <c r="AC98" i="3"/>
  <c r="Z98" i="3" s="1"/>
  <c r="W95" i="3"/>
  <c r="AC106" i="3"/>
  <c r="Z106" i="3" s="1"/>
  <c r="AC101" i="3"/>
  <c r="Z101" i="3" s="1"/>
  <c r="AC105" i="3"/>
  <c r="Z105" i="3" s="1"/>
  <c r="AC114" i="3"/>
  <c r="Z114" i="3" s="1"/>
  <c r="AC109" i="3"/>
  <c r="Z109" i="3" s="1"/>
  <c r="AC107" i="3"/>
  <c r="Z107" i="3" s="1"/>
  <c r="W107" i="3" s="1"/>
  <c r="AC112" i="3"/>
  <c r="Z112" i="3" s="1"/>
  <c r="AU86" i="3" l="1"/>
  <c r="L11" i="5" s="1"/>
  <c r="W88" i="3"/>
  <c r="X89" i="3" s="1"/>
  <c r="W109" i="3"/>
  <c r="W96" i="3"/>
  <c r="W92" i="3"/>
  <c r="W93" i="3"/>
  <c r="W98" i="3"/>
  <c r="W91" i="3"/>
  <c r="W94" i="3"/>
  <c r="W101" i="3"/>
  <c r="W113" i="3"/>
  <c r="W108" i="3"/>
  <c r="W110" i="3"/>
  <c r="W100" i="3"/>
  <c r="W114" i="3"/>
  <c r="W102" i="3"/>
  <c r="W112" i="3"/>
  <c r="W106" i="3"/>
  <c r="W103" i="3"/>
  <c r="W105" i="3"/>
  <c r="AH84" i="3"/>
  <c r="AL84" i="3"/>
  <c r="C9" i="5" s="1"/>
  <c r="AA84" i="3"/>
  <c r="AE84" i="3"/>
  <c r="AR84" i="3" s="1"/>
  <c r="I9" i="5" s="1"/>
  <c r="AF84" i="3"/>
  <c r="AD84" i="3"/>
  <c r="AQ84" i="3" s="1"/>
  <c r="H9" i="5" s="1"/>
  <c r="AB84" i="3"/>
  <c r="AO84" i="3" s="1"/>
  <c r="F9" i="5" s="1"/>
  <c r="AG83" i="3"/>
  <c r="AT83" i="3" s="1"/>
  <c r="K8" i="5" s="1"/>
  <c r="AC83" i="3"/>
  <c r="AN83" i="3"/>
  <c r="E8" i="5" s="1"/>
  <c r="AH85" i="3"/>
  <c r="AL85" i="3"/>
  <c r="C10" i="5" s="1"/>
  <c r="AE85" i="3"/>
  <c r="AF85" i="3"/>
  <c r="AS85" i="3" s="1"/>
  <c r="J10" i="5" s="1"/>
  <c r="AA85" i="3"/>
  <c r="AD85" i="3"/>
  <c r="AQ85" i="3" s="1"/>
  <c r="H10" i="5" s="1"/>
  <c r="AB85" i="3"/>
  <c r="AO85" i="3" s="1"/>
  <c r="F10" i="5" s="1"/>
  <c r="X87" i="3" l="1"/>
  <c r="X88" i="3"/>
  <c r="AN87" i="3" s="1"/>
  <c r="E12" i="5" s="1"/>
  <c r="X90" i="3"/>
  <c r="X97" i="3"/>
  <c r="X96" i="3"/>
  <c r="X92" i="3"/>
  <c r="X95" i="3"/>
  <c r="X94" i="3"/>
  <c r="X93" i="3"/>
  <c r="X91" i="3"/>
  <c r="X98" i="3"/>
  <c r="X112" i="3"/>
  <c r="AT87" i="3"/>
  <c r="K12" i="5" s="1"/>
  <c r="AQ87" i="3"/>
  <c r="H12" i="5" s="1"/>
  <c r="AO87" i="3"/>
  <c r="F12" i="5" s="1"/>
  <c r="AP89" i="3"/>
  <c r="G14" i="5" s="1"/>
  <c r="X114" i="3"/>
  <c r="AR89" i="3"/>
  <c r="I14" i="5" s="1"/>
  <c r="X99" i="3"/>
  <c r="X102" i="3"/>
  <c r="AT89" i="3"/>
  <c r="K14" i="5" s="1"/>
  <c r="X103" i="3"/>
  <c r="X107" i="3"/>
  <c r="X106" i="3"/>
  <c r="X111" i="3"/>
  <c r="X109" i="3"/>
  <c r="AO88" i="3"/>
  <c r="F13" i="5" s="1"/>
  <c r="X105" i="3"/>
  <c r="X100" i="3"/>
  <c r="X101" i="3"/>
  <c r="X113" i="3"/>
  <c r="AQ89" i="3"/>
  <c r="H14" i="5" s="1"/>
  <c r="AT88" i="3"/>
  <c r="K13" i="5" s="1"/>
  <c r="AM88" i="3"/>
  <c r="D13" i="5" s="1"/>
  <c r="AL89" i="3"/>
  <c r="C14" i="5" s="1"/>
  <c r="AN88" i="3"/>
  <c r="E13" i="5" s="1"/>
  <c r="AS89" i="3"/>
  <c r="J14" i="5" s="1"/>
  <c r="AO89" i="3"/>
  <c r="F14" i="5" s="1"/>
  <c r="AQ88" i="3"/>
  <c r="H13" i="5" s="1"/>
  <c r="AL88" i="3"/>
  <c r="C13" i="5" s="1"/>
  <c r="X108" i="3"/>
  <c r="X110" i="3"/>
  <c r="X104" i="3"/>
  <c r="AR88" i="3"/>
  <c r="I13" i="5" s="1"/>
  <c r="AP88" i="3"/>
  <c r="G13" i="5" s="1"/>
  <c r="AS87" i="3"/>
  <c r="J12" i="5" s="1"/>
  <c r="AS88" i="3"/>
  <c r="J13" i="5" s="1"/>
  <c r="AM89" i="3"/>
  <c r="D14" i="5" s="1"/>
  <c r="AS91" i="3"/>
  <c r="J16" i="5" s="1"/>
  <c r="AL91" i="3"/>
  <c r="C16" i="5" s="1"/>
  <c r="AP91" i="3"/>
  <c r="G16" i="5" s="1"/>
  <c r="AO91" i="3"/>
  <c r="F16" i="5" s="1"/>
  <c r="AQ91" i="3"/>
  <c r="H16" i="5" s="1"/>
  <c r="AM91" i="3"/>
  <c r="D16" i="5" s="1"/>
  <c r="AT91" i="3"/>
  <c r="K16" i="5" s="1"/>
  <c r="AN91" i="3"/>
  <c r="E16" i="5" s="1"/>
  <c r="AR91" i="3"/>
  <c r="I16" i="5" s="1"/>
  <c r="AG84" i="3"/>
  <c r="AT84" i="3" s="1"/>
  <c r="K9" i="5" s="1"/>
  <c r="AG85" i="3"/>
  <c r="AT85" i="3" s="1"/>
  <c r="K10" i="5" s="1"/>
  <c r="AS84" i="3"/>
  <c r="J9" i="5" s="1"/>
  <c r="Z83" i="3"/>
  <c r="AM83" i="3" s="1"/>
  <c r="AP83" i="3"/>
  <c r="G8" i="5" s="1"/>
  <c r="AC84" i="3"/>
  <c r="AN84" i="3"/>
  <c r="E9" i="5" s="1"/>
  <c r="AR85" i="3"/>
  <c r="I10" i="5" s="1"/>
  <c r="AC85" i="3"/>
  <c r="AN85" i="3"/>
  <c r="E10" i="5" s="1"/>
  <c r="AN89" i="3" l="1"/>
  <c r="E14" i="5" s="1"/>
  <c r="AL97" i="3"/>
  <c r="C22" i="5" s="1"/>
  <c r="AQ90" i="3"/>
  <c r="H15" i="5" s="1"/>
  <c r="AM87" i="3"/>
  <c r="AR90" i="3"/>
  <c r="I15" i="5" s="1"/>
  <c r="AL87" i="3"/>
  <c r="C12" i="5" s="1"/>
  <c r="AR95" i="3"/>
  <c r="I20" i="5" s="1"/>
  <c r="AO90" i="3"/>
  <c r="F15" i="5" s="1"/>
  <c r="AQ97" i="3"/>
  <c r="H22" i="5" s="1"/>
  <c r="AM90" i="3"/>
  <c r="D15" i="5" s="1"/>
  <c r="AL90" i="3"/>
  <c r="C15" i="5" s="1"/>
  <c r="AS90" i="3"/>
  <c r="J15" i="5" s="1"/>
  <c r="AP90" i="3"/>
  <c r="G15" i="5" s="1"/>
  <c r="AT94" i="3"/>
  <c r="K19" i="5" s="1"/>
  <c r="AP97" i="3"/>
  <c r="G22" i="5" s="1"/>
  <c r="AT90" i="3"/>
  <c r="K15" i="5" s="1"/>
  <c r="AN90" i="3"/>
  <c r="E15" i="5" s="1"/>
  <c r="AP87" i="3"/>
  <c r="G12" i="5" s="1"/>
  <c r="AR87" i="3"/>
  <c r="I12" i="5" s="1"/>
  <c r="AS94" i="3"/>
  <c r="J19" i="5" s="1"/>
  <c r="AO94" i="3"/>
  <c r="F19" i="5" s="1"/>
  <c r="AP94" i="3"/>
  <c r="G19" i="5" s="1"/>
  <c r="AM97" i="3"/>
  <c r="D22" i="5" s="1"/>
  <c r="AQ94" i="3"/>
  <c r="H19" i="5" s="1"/>
  <c r="AN97" i="3"/>
  <c r="E22" i="5" s="1"/>
  <c r="AR97" i="3"/>
  <c r="I22" i="5" s="1"/>
  <c r="AT97" i="3"/>
  <c r="K22" i="5" s="1"/>
  <c r="AL94" i="3"/>
  <c r="C19" i="5" s="1"/>
  <c r="AM94" i="3"/>
  <c r="D19" i="5" s="1"/>
  <c r="AS97" i="3"/>
  <c r="J22" i="5" s="1"/>
  <c r="AO97" i="3"/>
  <c r="F22" i="5" s="1"/>
  <c r="AQ92" i="3"/>
  <c r="H17" i="5" s="1"/>
  <c r="AR94" i="3"/>
  <c r="I19" i="5" s="1"/>
  <c r="AN94" i="3"/>
  <c r="E19" i="5" s="1"/>
  <c r="AP92" i="3"/>
  <c r="G17" i="5" s="1"/>
  <c r="AO96" i="3"/>
  <c r="F21" i="5" s="1"/>
  <c r="AT95" i="3"/>
  <c r="K20" i="5" s="1"/>
  <c r="AS95" i="3"/>
  <c r="J20" i="5" s="1"/>
  <c r="AP93" i="3"/>
  <c r="G18" i="5" s="1"/>
  <c r="AO95" i="3"/>
  <c r="F20" i="5" s="1"/>
  <c r="AS93" i="3"/>
  <c r="J18" i="5" s="1"/>
  <c r="AN98" i="3"/>
  <c r="E23" i="5" s="1"/>
  <c r="AM95" i="3"/>
  <c r="D20" i="5" s="1"/>
  <c r="AT92" i="3"/>
  <c r="K17" i="5" s="1"/>
  <c r="AR101" i="3"/>
  <c r="I26" i="5" s="1"/>
  <c r="AN93" i="3"/>
  <c r="E18" i="5" s="1"/>
  <c r="AO92" i="3"/>
  <c r="F17" i="5" s="1"/>
  <c r="AO98" i="3"/>
  <c r="F23" i="5" s="1"/>
  <c r="AL92" i="3"/>
  <c r="C17" i="5" s="1"/>
  <c r="AL98" i="3"/>
  <c r="C23" i="5" s="1"/>
  <c r="AS96" i="3"/>
  <c r="J21" i="5" s="1"/>
  <c r="AT93" i="3"/>
  <c r="K18" i="5" s="1"/>
  <c r="AS92" i="3"/>
  <c r="J17" i="5" s="1"/>
  <c r="AR98" i="3"/>
  <c r="I23" i="5" s="1"/>
  <c r="AQ96" i="3"/>
  <c r="H21" i="5" s="1"/>
  <c r="AQ95" i="3"/>
  <c r="H20" i="5" s="1"/>
  <c r="AQ98" i="3"/>
  <c r="H23" i="5" s="1"/>
  <c r="AT98" i="3"/>
  <c r="K23" i="5" s="1"/>
  <c r="AQ93" i="3"/>
  <c r="H18" i="5" s="1"/>
  <c r="AL93" i="3"/>
  <c r="C18" i="5" s="1"/>
  <c r="AM96" i="3"/>
  <c r="D21" i="5" s="1"/>
  <c r="AM92" i="3"/>
  <c r="D17" i="5" s="1"/>
  <c r="AR96" i="3"/>
  <c r="I21" i="5" s="1"/>
  <c r="AN95" i="3"/>
  <c r="E20" i="5" s="1"/>
  <c r="AP96" i="3"/>
  <c r="G21" i="5" s="1"/>
  <c r="AM93" i="3"/>
  <c r="D18" i="5" s="1"/>
  <c r="AP98" i="3"/>
  <c r="G23" i="5" s="1"/>
  <c r="AS98" i="3"/>
  <c r="J23" i="5" s="1"/>
  <c r="AL95" i="3"/>
  <c r="C20" i="5" s="1"/>
  <c r="AR92" i="3"/>
  <c r="I17" i="5" s="1"/>
  <c r="AO93" i="3"/>
  <c r="F18" i="5" s="1"/>
  <c r="AN92" i="3"/>
  <c r="E17" i="5" s="1"/>
  <c r="AM98" i="3"/>
  <c r="D23" i="5" s="1"/>
  <c r="AL96" i="3"/>
  <c r="C21" i="5" s="1"/>
  <c r="AN96" i="3"/>
  <c r="E21" i="5" s="1"/>
  <c r="AT96" i="3"/>
  <c r="K21" i="5" s="1"/>
  <c r="AR93" i="3"/>
  <c r="I18" i="5" s="1"/>
  <c r="AP95" i="3"/>
  <c r="G20" i="5" s="1"/>
  <c r="AL114" i="3"/>
  <c r="C39" i="5" s="1"/>
  <c r="AQ101" i="3"/>
  <c r="H26" i="5" s="1"/>
  <c r="AP101" i="3"/>
  <c r="G26" i="5" s="1"/>
  <c r="AL101" i="3"/>
  <c r="C26" i="5" s="1"/>
  <c r="AS101" i="3"/>
  <c r="J26" i="5" s="1"/>
  <c r="AT101" i="3"/>
  <c r="K26" i="5" s="1"/>
  <c r="AO101" i="3"/>
  <c r="F26" i="5" s="1"/>
  <c r="AN101" i="3"/>
  <c r="E26" i="5" s="1"/>
  <c r="AM101" i="3"/>
  <c r="D26" i="5" s="1"/>
  <c r="AP114" i="3"/>
  <c r="G39" i="5" s="1"/>
  <c r="AM114" i="3"/>
  <c r="D39" i="5" s="1"/>
  <c r="AN114" i="3"/>
  <c r="E39" i="5" s="1"/>
  <c r="AS114" i="3"/>
  <c r="J39" i="5" s="1"/>
  <c r="AO114" i="3"/>
  <c r="F39" i="5" s="1"/>
  <c r="AU89" i="3"/>
  <c r="L14" i="5" s="1"/>
  <c r="AQ114" i="3"/>
  <c r="H39" i="5" s="1"/>
  <c r="AL102" i="3"/>
  <c r="C27" i="5" s="1"/>
  <c r="AR114" i="3"/>
  <c r="I39" i="5" s="1"/>
  <c r="AM106" i="3"/>
  <c r="D31" i="5" s="1"/>
  <c r="AS106" i="3"/>
  <c r="J31" i="5" s="1"/>
  <c r="AP107" i="3"/>
  <c r="G32" i="5" s="1"/>
  <c r="AM112" i="3"/>
  <c r="D37" i="5" s="1"/>
  <c r="AN100" i="3"/>
  <c r="E25" i="5" s="1"/>
  <c r="AM105" i="3"/>
  <c r="D30" i="5" s="1"/>
  <c r="AU90" i="3"/>
  <c r="L15" i="5" s="1"/>
  <c r="AU88" i="3"/>
  <c r="L13" i="5" s="1"/>
  <c r="AN102" i="3"/>
  <c r="E27" i="5" s="1"/>
  <c r="AT103" i="3"/>
  <c r="K28" i="5" s="1"/>
  <c r="AT114" i="3"/>
  <c r="K39" i="5" s="1"/>
  <c r="AQ100" i="3"/>
  <c r="H25" i="5" s="1"/>
  <c r="AM107" i="3"/>
  <c r="D32" i="5" s="1"/>
  <c r="AT113" i="3"/>
  <c r="K38" i="5" s="1"/>
  <c r="AQ105" i="3"/>
  <c r="H30" i="5" s="1"/>
  <c r="AM110" i="3"/>
  <c r="D35" i="5" s="1"/>
  <c r="AT104" i="3"/>
  <c r="K29" i="5" s="1"/>
  <c r="AL105" i="3"/>
  <c r="C30" i="5" s="1"/>
  <c r="AN104" i="3"/>
  <c r="E29" i="5" s="1"/>
  <c r="AO110" i="3"/>
  <c r="F35" i="5" s="1"/>
  <c r="AS100" i="3"/>
  <c r="J25" i="5" s="1"/>
  <c r="AP106" i="3"/>
  <c r="G31" i="5" s="1"/>
  <c r="AP103" i="3"/>
  <c r="G28" i="5" s="1"/>
  <c r="AS99" i="3"/>
  <c r="J24" i="5" s="1"/>
  <c r="AR107" i="3"/>
  <c r="I32" i="5" s="1"/>
  <c r="AL113" i="3"/>
  <c r="C38" i="5" s="1"/>
  <c r="AR104" i="3"/>
  <c r="I29" i="5" s="1"/>
  <c r="AP100" i="3"/>
  <c r="G25" i="5" s="1"/>
  <c r="AO104" i="3"/>
  <c r="F29" i="5" s="1"/>
  <c r="AL106" i="3"/>
  <c r="C31" i="5" s="1"/>
  <c r="AR103" i="3"/>
  <c r="I28" i="5" s="1"/>
  <c r="AQ113" i="3"/>
  <c r="H38" i="5" s="1"/>
  <c r="AN110" i="3"/>
  <c r="E35" i="5" s="1"/>
  <c r="AO107" i="3"/>
  <c r="F32" i="5" s="1"/>
  <c r="AO108" i="3"/>
  <c r="F33" i="5" s="1"/>
  <c r="AS108" i="3"/>
  <c r="J33" i="5" s="1"/>
  <c r="AS102" i="3"/>
  <c r="J27" i="5" s="1"/>
  <c r="AR102" i="3"/>
  <c r="I27" i="5" s="1"/>
  <c r="AR113" i="3"/>
  <c r="I38" i="5" s="1"/>
  <c r="AT102" i="3"/>
  <c r="K27" i="5" s="1"/>
  <c r="AR100" i="3"/>
  <c r="I25" i="5" s="1"/>
  <c r="AS105" i="3"/>
  <c r="J30" i="5" s="1"/>
  <c r="AQ99" i="3"/>
  <c r="H24" i="5" s="1"/>
  <c r="AS112" i="3"/>
  <c r="J37" i="5" s="1"/>
  <c r="AS110" i="3"/>
  <c r="J35" i="5" s="1"/>
  <c r="AO103" i="3"/>
  <c r="F28" i="5" s="1"/>
  <c r="AO100" i="3"/>
  <c r="F25" i="5" s="1"/>
  <c r="AS111" i="3"/>
  <c r="J36" i="5" s="1"/>
  <c r="AQ104" i="3"/>
  <c r="H29" i="5" s="1"/>
  <c r="AQ108" i="3"/>
  <c r="H33" i="5" s="1"/>
  <c r="AL103" i="3"/>
  <c r="C28" i="5" s="1"/>
  <c r="AQ112" i="3"/>
  <c r="H37" i="5" s="1"/>
  <c r="AO112" i="3"/>
  <c r="F37" i="5" s="1"/>
  <c r="AO111" i="3"/>
  <c r="F36" i="5" s="1"/>
  <c r="AM104" i="3"/>
  <c r="D29" i="5" s="1"/>
  <c r="AQ102" i="3"/>
  <c r="H27" i="5" s="1"/>
  <c r="AS113" i="3"/>
  <c r="J38" i="5" s="1"/>
  <c r="AT108" i="3"/>
  <c r="K33" i="5" s="1"/>
  <c r="AP99" i="3"/>
  <c r="G24" i="5" s="1"/>
  <c r="AM103" i="3"/>
  <c r="AT100" i="3"/>
  <c r="K25" i="5" s="1"/>
  <c r="AM113" i="3"/>
  <c r="D38" i="5" s="1"/>
  <c r="AM108" i="3"/>
  <c r="D33" i="5" s="1"/>
  <c r="AN105" i="3"/>
  <c r="E30" i="5" s="1"/>
  <c r="AP109" i="3"/>
  <c r="G34" i="5" s="1"/>
  <c r="AO102" i="3"/>
  <c r="F27" i="5" s="1"/>
  <c r="AP112" i="3"/>
  <c r="G37" i="5" s="1"/>
  <c r="AQ109" i="3"/>
  <c r="H34" i="5" s="1"/>
  <c r="AM102" i="3"/>
  <c r="D27" i="5" s="1"/>
  <c r="AQ111" i="3"/>
  <c r="H36" i="5" s="1"/>
  <c r="AT107" i="3"/>
  <c r="K32" i="5" s="1"/>
  <c r="AL109" i="3"/>
  <c r="C34" i="5" s="1"/>
  <c r="AP104" i="3"/>
  <c r="G29" i="5" s="1"/>
  <c r="AS107" i="3"/>
  <c r="J32" i="5" s="1"/>
  <c r="AO99" i="3"/>
  <c r="F24" i="5" s="1"/>
  <c r="AL107" i="3"/>
  <c r="C32" i="5" s="1"/>
  <c r="AT110" i="3"/>
  <c r="K35" i="5" s="1"/>
  <c r="AL111" i="3"/>
  <c r="C36" i="5" s="1"/>
  <c r="AQ103" i="3"/>
  <c r="H28" i="5" s="1"/>
  <c r="AM111" i="3"/>
  <c r="D36" i="5" s="1"/>
  <c r="AO106" i="3"/>
  <c r="F31" i="5" s="1"/>
  <c r="AN103" i="3"/>
  <c r="E28" i="5" s="1"/>
  <c r="AR111" i="3"/>
  <c r="I36" i="5" s="1"/>
  <c r="AS103" i="3"/>
  <c r="J28" i="5" s="1"/>
  <c r="AO113" i="3"/>
  <c r="F38" i="5" s="1"/>
  <c r="AQ106" i="3"/>
  <c r="H31" i="5" s="1"/>
  <c r="AT109" i="3"/>
  <c r="K34" i="5" s="1"/>
  <c r="AM109" i="3"/>
  <c r="AM99" i="3"/>
  <c r="D24" i="5" s="1"/>
  <c r="AN113" i="3"/>
  <c r="E38" i="5" s="1"/>
  <c r="AP102" i="3"/>
  <c r="G27" i="5" s="1"/>
  <c r="AT99" i="3"/>
  <c r="K24" i="5" s="1"/>
  <c r="AO105" i="3"/>
  <c r="F30" i="5" s="1"/>
  <c r="AT105" i="3"/>
  <c r="K30" i="5" s="1"/>
  <c r="AT111" i="3"/>
  <c r="K36" i="5" s="1"/>
  <c r="AN107" i="3"/>
  <c r="E32" i="5" s="1"/>
  <c r="AL112" i="3"/>
  <c r="C37" i="5" s="1"/>
  <c r="AM100" i="3"/>
  <c r="AO109" i="3"/>
  <c r="F34" i="5" s="1"/>
  <c r="AL104" i="3"/>
  <c r="C29" i="5" s="1"/>
  <c r="AN108" i="3"/>
  <c r="E33" i="5" s="1"/>
  <c r="AR110" i="3"/>
  <c r="I35" i="5" s="1"/>
  <c r="AS104" i="3"/>
  <c r="J29" i="5" s="1"/>
  <c r="AN99" i="3"/>
  <c r="E24" i="5" s="1"/>
  <c r="AL110" i="3"/>
  <c r="C35" i="5" s="1"/>
  <c r="AR112" i="3"/>
  <c r="I37" i="5" s="1"/>
  <c r="AT112" i="3"/>
  <c r="K37" i="5" s="1"/>
  <c r="AN111" i="3"/>
  <c r="E36" i="5" s="1"/>
  <c r="AP108" i="3"/>
  <c r="G33" i="5" s="1"/>
  <c r="AR99" i="3"/>
  <c r="I24" i="5" s="1"/>
  <c r="AN106" i="3"/>
  <c r="E31" i="5" s="1"/>
  <c r="AQ110" i="3"/>
  <c r="H35" i="5" s="1"/>
  <c r="AP105" i="3"/>
  <c r="G30" i="5" s="1"/>
  <c r="AP110" i="3"/>
  <c r="G35" i="5" s="1"/>
  <c r="AN112" i="3"/>
  <c r="E37" i="5" s="1"/>
  <c r="AR109" i="3"/>
  <c r="I34" i="5" s="1"/>
  <c r="AL99" i="3"/>
  <c r="C24" i="5" s="1"/>
  <c r="AQ107" i="3"/>
  <c r="H32" i="5" s="1"/>
  <c r="AT106" i="3"/>
  <c r="K31" i="5" s="1"/>
  <c r="AS109" i="3"/>
  <c r="J34" i="5" s="1"/>
  <c r="AN109" i="3"/>
  <c r="E34" i="5" s="1"/>
  <c r="AL100" i="3"/>
  <c r="C25" i="5" s="1"/>
  <c r="AL108" i="3"/>
  <c r="C33" i="5" s="1"/>
  <c r="AR105" i="3"/>
  <c r="I30" i="5" s="1"/>
  <c r="AP111" i="3"/>
  <c r="G36" i="5" s="1"/>
  <c r="AR108" i="3"/>
  <c r="I33" i="5" s="1"/>
  <c r="AR106" i="3"/>
  <c r="I31" i="5" s="1"/>
  <c r="AP113" i="3"/>
  <c r="G38" i="5" s="1"/>
  <c r="AU91" i="3"/>
  <c r="L16" i="5" s="1"/>
  <c r="AU96" i="3"/>
  <c r="L21" i="5" s="1"/>
  <c r="Z84" i="3"/>
  <c r="AM84" i="3" s="1"/>
  <c r="AP84" i="3"/>
  <c r="G9" i="5" s="1"/>
  <c r="D8" i="5"/>
  <c r="AU83" i="3"/>
  <c r="L8" i="5" s="1"/>
  <c r="Z85" i="3"/>
  <c r="AM85" i="3" s="1"/>
  <c r="AP85" i="3"/>
  <c r="G10" i="5" s="1"/>
  <c r="AU94" i="3" l="1"/>
  <c r="L19" i="5" s="1"/>
  <c r="AU95" i="3"/>
  <c r="L20" i="5" s="1"/>
  <c r="AU92" i="3"/>
  <c r="L17" i="5" s="1"/>
  <c r="AU97" i="3"/>
  <c r="L22" i="5" s="1"/>
  <c r="AU93" i="3"/>
  <c r="L18" i="5" s="1"/>
  <c r="AU87" i="3"/>
  <c r="L12" i="5" s="1"/>
  <c r="D12" i="5"/>
  <c r="AU98" i="3"/>
  <c r="L23" i="5" s="1"/>
  <c r="AU101" i="3"/>
  <c r="L26" i="5" s="1"/>
  <c r="AU107" i="3"/>
  <c r="L32" i="5" s="1"/>
  <c r="AU114" i="3"/>
  <c r="L39" i="5" s="1"/>
  <c r="AU113" i="3"/>
  <c r="L38" i="5" s="1"/>
  <c r="AU99" i="3"/>
  <c r="L24" i="5" s="1"/>
  <c r="AU102" i="3"/>
  <c r="L27" i="5" s="1"/>
  <c r="AU108" i="3"/>
  <c r="L33" i="5" s="1"/>
  <c r="AU110" i="3"/>
  <c r="L35" i="5" s="1"/>
  <c r="AU106" i="3"/>
  <c r="L31" i="5" s="1"/>
  <c r="AU104" i="3"/>
  <c r="L29" i="5" s="1"/>
  <c r="AU111" i="3"/>
  <c r="L36" i="5" s="1"/>
  <c r="D34" i="5"/>
  <c r="AU109" i="3"/>
  <c r="L34" i="5" s="1"/>
  <c r="D25" i="5"/>
  <c r="AU100" i="3"/>
  <c r="L25" i="5" s="1"/>
  <c r="AU105" i="3"/>
  <c r="L30" i="5" s="1"/>
  <c r="D28" i="5"/>
  <c r="AU103" i="3"/>
  <c r="L28" i="5" s="1"/>
  <c r="AU112" i="3"/>
  <c r="L37" i="5" s="1"/>
  <c r="D9" i="5"/>
  <c r="AU84" i="3"/>
  <c r="L9" i="5" s="1"/>
  <c r="D10" i="5"/>
  <c r="AU85" i="3"/>
  <c r="L10" i="5" s="1"/>
</calcChain>
</file>

<file path=xl/comments1.xml><?xml version="1.0" encoding="utf-8"?>
<comments xmlns="http://schemas.openxmlformats.org/spreadsheetml/2006/main">
  <authors>
    <author>Mauricio</author>
    <author>X259595</author>
  </authors>
  <commentList>
    <comment ref="K7" authorId="0">
      <text>
        <r>
          <rPr>
            <b/>
            <sz val="9"/>
            <color indexed="81"/>
            <rFont val="Tahoma"/>
            <charset val="1"/>
          </rPr>
          <t>Clique no logo para
ir ao Site Oficial.</t>
        </r>
      </text>
    </comment>
    <comment ref="D10" authorId="1">
      <text>
        <r>
          <rPr>
            <b/>
            <sz val="8"/>
            <color indexed="81"/>
            <rFont val="Tahoma"/>
            <family val="2"/>
          </rPr>
          <t xml:space="preserve">HORÁRIO DE BRASÍLIA.
Cuiabá e Manaus: uma hora a menos do que Brasília. </t>
        </r>
      </text>
    </comment>
    <comment ref="F10" authorId="1">
      <text>
        <r>
          <rPr>
            <b/>
            <sz val="8"/>
            <color indexed="81"/>
            <rFont val="Tahoma"/>
            <family val="2"/>
          </rPr>
          <t>GRUPO</t>
        </r>
      </text>
    </comment>
  </commentList>
</comments>
</file>

<file path=xl/comments2.xml><?xml version="1.0" encoding="utf-8"?>
<comments xmlns="http://schemas.openxmlformats.org/spreadsheetml/2006/main">
  <authors>
    <author>X259595</author>
  </authors>
  <commentList>
    <comment ref="L6"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Y6"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L12"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Y12"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L18"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Y18"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L24"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 ref="Y24" authorId="0">
      <text>
        <r>
          <rPr>
            <b/>
            <sz val="8"/>
            <color indexed="81"/>
            <rFont val="Tahoma"/>
            <family val="2"/>
          </rPr>
          <t>Se célula ao lado da seleção ficar azul, colocar "1" ou mais na respectiva célula para efeito de desempate no confronto direto entre as seleções que estão empatadas nos critérios de classificação ou após sorteio. Quanto maior o número colocado, melhor classificada será a seleção.</t>
        </r>
      </text>
    </comment>
  </commentList>
</comments>
</file>

<file path=xl/comments3.xml><?xml version="1.0" encoding="utf-8"?>
<comments xmlns="http://schemas.openxmlformats.org/spreadsheetml/2006/main">
  <authors>
    <author>Mauricio</author>
  </authors>
  <commentList>
    <comment ref="A83" authorId="0">
      <text>
        <r>
          <rPr>
            <sz val="9"/>
            <color indexed="81"/>
            <rFont val="Tahoma"/>
            <family val="2"/>
          </rPr>
          <t xml:space="preserve">Colocar a letra e o número atribuídos no sorteio para a seleção ao lado. Ex.: A2, B4, E3, H1, etc. A Rússia já está definida como A1. 
</t>
        </r>
      </text>
    </comment>
    <comment ref="A84" authorId="0">
      <text>
        <r>
          <rPr>
            <sz val="9"/>
            <color indexed="81"/>
            <rFont val="Tahoma"/>
            <family val="2"/>
          </rPr>
          <t xml:space="preserve">Colocar a letra e o número atribuídos no sorteio para a seleção ao lado. Ex.: A2, B4, E3, H1, etc. A Rússia já está definida como A1. 
</t>
        </r>
      </text>
    </comment>
    <comment ref="A85" authorId="0">
      <text>
        <r>
          <rPr>
            <sz val="9"/>
            <color indexed="81"/>
            <rFont val="Tahoma"/>
            <family val="2"/>
          </rPr>
          <t xml:space="preserve">Colocar a letra e o número atribuídos no sorteio para a seleção ao lado. Ex.: A2, B4, E3, H1, etc. A Rússia já está definida como A1. 
</t>
        </r>
      </text>
    </comment>
    <comment ref="A86" authorId="0">
      <text>
        <r>
          <rPr>
            <sz val="9"/>
            <color indexed="81"/>
            <rFont val="Tahoma"/>
            <family val="2"/>
          </rPr>
          <t xml:space="preserve">Colocar a letra e o número atribuídos no sorteio para a seleção ao lado. Ex.: A2, B4, E3, H1, etc. A Rússia já está definida como A1. 
</t>
        </r>
      </text>
    </comment>
    <comment ref="A87" authorId="0">
      <text>
        <r>
          <rPr>
            <sz val="9"/>
            <color indexed="81"/>
            <rFont val="Tahoma"/>
            <family val="2"/>
          </rPr>
          <t xml:space="preserve">Colocar a letra e o número atribuídos no sorteio para a seleção ao lado. Ex.: A2, B4, E3, H1, etc. A Rússia já está definida como A1. 
</t>
        </r>
      </text>
    </comment>
    <comment ref="A88" authorId="0">
      <text>
        <r>
          <rPr>
            <sz val="9"/>
            <color indexed="81"/>
            <rFont val="Tahoma"/>
            <family val="2"/>
          </rPr>
          <t xml:space="preserve">Colocar a letra e o número atribuídos no sorteio para a seleção ao lado. Ex.: A2, B4, E3, H1, etc. A Rússia já está definida como A1. 
</t>
        </r>
      </text>
    </comment>
    <comment ref="A89" authorId="0">
      <text>
        <r>
          <rPr>
            <sz val="9"/>
            <color indexed="81"/>
            <rFont val="Tahoma"/>
            <family val="2"/>
          </rPr>
          <t xml:space="preserve">Colocar a letra e o número atribuídos no sorteio para a seleção ao lado. Ex.: A2, B4, E3, H1, etc. A Rússia já está definida como A1. 
</t>
        </r>
      </text>
    </comment>
    <comment ref="A90" authorId="0">
      <text>
        <r>
          <rPr>
            <sz val="9"/>
            <color indexed="81"/>
            <rFont val="Tahoma"/>
            <family val="2"/>
          </rPr>
          <t xml:space="preserve">Colocar a letra e o número atribuídos no sorteio para a seleção ao lado. Ex.: A2, B4, E3, H1, etc. A Rússia já está definida como A1. 
</t>
        </r>
      </text>
    </comment>
    <comment ref="A91" authorId="0">
      <text>
        <r>
          <rPr>
            <sz val="9"/>
            <color indexed="81"/>
            <rFont val="Tahoma"/>
            <family val="2"/>
          </rPr>
          <t xml:space="preserve">Colocar a letra e o número atribuídos no sorteio para a seleção ao lado. Ex.: A2, B4, E3, H1, etc. A Rússia já está definida como A1. 
</t>
        </r>
      </text>
    </comment>
    <comment ref="A92" authorId="0">
      <text>
        <r>
          <rPr>
            <sz val="9"/>
            <color indexed="81"/>
            <rFont val="Tahoma"/>
            <family val="2"/>
          </rPr>
          <t xml:space="preserve">Colocar a letra e o número atribuídos no sorteio para a seleção ao lado. Ex.: A2, B4, E3, H1, etc. A Rússia já está definida como A1. 
</t>
        </r>
      </text>
    </comment>
    <comment ref="A93" authorId="0">
      <text>
        <r>
          <rPr>
            <sz val="9"/>
            <color indexed="81"/>
            <rFont val="Tahoma"/>
            <family val="2"/>
          </rPr>
          <t xml:space="preserve">Colocar a letra e o número atribuídos no sorteio para a seleção ao lado. Ex.: A2, B4, E3, H1, etc. A Rússia já está definida como A1. 
</t>
        </r>
      </text>
    </comment>
    <comment ref="A94" authorId="0">
      <text>
        <r>
          <rPr>
            <sz val="9"/>
            <color indexed="81"/>
            <rFont val="Tahoma"/>
            <family val="2"/>
          </rPr>
          <t xml:space="preserve">Colocar a letra e o número atribuídos no sorteio para a seleção ao lado. Ex.: A2, B4, E3, H1, etc. A Rússia já está definida como A1. 
</t>
        </r>
      </text>
    </comment>
    <comment ref="A95" authorId="0">
      <text>
        <r>
          <rPr>
            <sz val="9"/>
            <color indexed="81"/>
            <rFont val="Tahoma"/>
            <family val="2"/>
          </rPr>
          <t xml:space="preserve">Colocar a letra e o número atribuídos no sorteio para a seleção ao lado. Ex.: A2, B4, E3, H1, etc. A Rússia já está definida como A1. 
</t>
        </r>
      </text>
    </comment>
    <comment ref="A96" authorId="0">
      <text>
        <r>
          <rPr>
            <sz val="9"/>
            <color indexed="81"/>
            <rFont val="Tahoma"/>
            <family val="2"/>
          </rPr>
          <t xml:space="preserve">Colocar a letra e o número atribuídos no sorteio para a seleção ao lado. Ex.: A2, B4, E3, H1, etc. A Rússia já está definida como A1. 
</t>
        </r>
      </text>
    </comment>
    <comment ref="A97" authorId="0">
      <text>
        <r>
          <rPr>
            <sz val="9"/>
            <color indexed="81"/>
            <rFont val="Tahoma"/>
            <family val="2"/>
          </rPr>
          <t xml:space="preserve">Colocar a letra e o número atribuídos no sorteio para a seleção ao lado. Ex.: A2, B4, E3, H1, etc. A Rússia já está definida como A1. 
</t>
        </r>
      </text>
    </comment>
    <comment ref="A98" authorId="0">
      <text>
        <r>
          <rPr>
            <sz val="9"/>
            <color indexed="81"/>
            <rFont val="Tahoma"/>
            <family val="2"/>
          </rPr>
          <t xml:space="preserve">Colocar a letra e o número atribuídos no sorteio para a seleção ao lado. Ex.: A2, B4, E3, H1, etc. A Rússia já está definida como A1. 
</t>
        </r>
      </text>
    </comment>
    <comment ref="A99" authorId="0">
      <text>
        <r>
          <rPr>
            <sz val="9"/>
            <color indexed="81"/>
            <rFont val="Tahoma"/>
            <family val="2"/>
          </rPr>
          <t xml:space="preserve">Colocar a letra e o número atribuídos no sorteio para a seleção ao lado. Ex.: A2, B4, E3, H1, etc. A Rússia já está definida como A1. 
</t>
        </r>
      </text>
    </comment>
    <comment ref="A100" authorId="0">
      <text>
        <r>
          <rPr>
            <sz val="9"/>
            <color indexed="81"/>
            <rFont val="Tahoma"/>
            <family val="2"/>
          </rPr>
          <t xml:space="preserve">Colocar a letra e o número atribuídos no sorteio para a seleção ao lado. Ex.: A2, B4, E3, H1, etc. A Rússia já está definida como A1. 
</t>
        </r>
      </text>
    </comment>
    <comment ref="A101" authorId="0">
      <text>
        <r>
          <rPr>
            <sz val="9"/>
            <color indexed="81"/>
            <rFont val="Tahoma"/>
            <family val="2"/>
          </rPr>
          <t xml:space="preserve">Colocar a letra e o número atribuídos no sorteio para a seleção ao lado. Ex.: A2, B4, E3, H1, etc. A Rússia já está definida como A1. 
</t>
        </r>
      </text>
    </comment>
    <comment ref="A102" authorId="0">
      <text>
        <r>
          <rPr>
            <sz val="9"/>
            <color indexed="81"/>
            <rFont val="Tahoma"/>
            <family val="2"/>
          </rPr>
          <t xml:space="preserve">Colocar a letra e o número atribuídos no sorteio para a seleção ao lado. Ex.: A2, B4, E3, H1, etc. A Rússia já está definida como A1. 
</t>
        </r>
      </text>
    </comment>
    <comment ref="A103" authorId="0">
      <text>
        <r>
          <rPr>
            <sz val="9"/>
            <color indexed="81"/>
            <rFont val="Tahoma"/>
            <family val="2"/>
          </rPr>
          <t xml:space="preserve">Colocar a letra e o número atribuídos no sorteio para a seleção ao lado. Ex.: A2, B4, E3, H1, etc. A Rússia já está definida como A1. 
</t>
        </r>
      </text>
    </comment>
    <comment ref="A104" authorId="0">
      <text>
        <r>
          <rPr>
            <sz val="9"/>
            <color indexed="81"/>
            <rFont val="Tahoma"/>
            <family val="2"/>
          </rPr>
          <t xml:space="preserve">Colocar a letra e o número atribuídos no sorteio para a seleção ao lado. Ex.: A2, B4, E3, H1, etc. A Rússia já está definida como A1. 
</t>
        </r>
      </text>
    </comment>
    <comment ref="A105" authorId="0">
      <text>
        <r>
          <rPr>
            <sz val="9"/>
            <color indexed="81"/>
            <rFont val="Tahoma"/>
            <family val="2"/>
          </rPr>
          <t xml:space="preserve">Colocar a letra e o número atribuídos no sorteio para a seleção ao lado. Ex.: A2, B4, E3, H1, etc. A Rússia já está definida como A1. 
</t>
        </r>
      </text>
    </comment>
    <comment ref="A106" authorId="0">
      <text>
        <r>
          <rPr>
            <sz val="9"/>
            <color indexed="81"/>
            <rFont val="Tahoma"/>
            <family val="2"/>
          </rPr>
          <t xml:space="preserve">Colocar a letra e o número atribuídos no sorteio para a seleção ao lado. Ex.: A2, B4, E3, H1, etc. A Rússia já está definida como A1. 
</t>
        </r>
      </text>
    </comment>
    <comment ref="A107" authorId="0">
      <text>
        <r>
          <rPr>
            <sz val="9"/>
            <color indexed="81"/>
            <rFont val="Tahoma"/>
            <family val="2"/>
          </rPr>
          <t xml:space="preserve">Colocar a letra e o número atribuídos no sorteio para a seleção ao lado. Ex.: A2, B4, E3, H1, etc. A Rússia já está definida como A1. 
</t>
        </r>
      </text>
    </comment>
    <comment ref="A108" authorId="0">
      <text>
        <r>
          <rPr>
            <sz val="9"/>
            <color indexed="81"/>
            <rFont val="Tahoma"/>
            <family val="2"/>
          </rPr>
          <t xml:space="preserve">Colocar a letra e o número atribuídos no sorteio para a seleção ao lado. Ex.: A2, B4, E3, H1, etc. A Rússia já está definida como A1. 
</t>
        </r>
      </text>
    </comment>
    <comment ref="A109" authorId="0">
      <text>
        <r>
          <rPr>
            <sz val="9"/>
            <color indexed="81"/>
            <rFont val="Tahoma"/>
            <family val="2"/>
          </rPr>
          <t xml:space="preserve">Colocar a letra e o número atribuídos no sorteio para a seleção ao lado. Ex.: A2, B4, E3, H1, etc. A Rússia já está definida como A1. 
</t>
        </r>
      </text>
    </comment>
    <comment ref="A110" authorId="0">
      <text>
        <r>
          <rPr>
            <sz val="9"/>
            <color indexed="81"/>
            <rFont val="Tahoma"/>
            <family val="2"/>
          </rPr>
          <t xml:space="preserve">Colocar a letra e o número atribuídos no sorteio para a seleção ao lado. Ex.: A2, B4, E3, H1, etc. A Rússia já está definida como A1. 
</t>
        </r>
      </text>
    </comment>
    <comment ref="A111" authorId="0">
      <text>
        <r>
          <rPr>
            <sz val="9"/>
            <color indexed="81"/>
            <rFont val="Tahoma"/>
            <family val="2"/>
          </rPr>
          <t xml:space="preserve">Colocar a letra e o número atribuídos no sorteio para a seleção ao lado. Ex.: A2, B4, E3, H1, etc. A Rússia já está definida como A1. 
</t>
        </r>
      </text>
    </comment>
    <comment ref="A112" authorId="0">
      <text>
        <r>
          <rPr>
            <sz val="9"/>
            <color indexed="81"/>
            <rFont val="Tahoma"/>
            <family val="2"/>
          </rPr>
          <t xml:space="preserve">Colocar a letra e o número atribuídos no sorteio para a seleção ao lado. Ex.: A2, B4, E3, H1, etc. A Rússia já está definida como A1. 
</t>
        </r>
      </text>
    </comment>
    <comment ref="A113" authorId="0">
      <text>
        <r>
          <rPr>
            <sz val="9"/>
            <color indexed="81"/>
            <rFont val="Tahoma"/>
            <family val="2"/>
          </rPr>
          <t xml:space="preserve">Colocar a letra e o número atribuídos no sorteio para a seleção ao lado. Ex.: A2, B4, E3, H1, etc. A Rússia já está definida como A1. 
</t>
        </r>
      </text>
    </comment>
    <comment ref="A114" authorId="0">
      <text>
        <r>
          <rPr>
            <sz val="9"/>
            <color indexed="81"/>
            <rFont val="Tahoma"/>
            <family val="2"/>
          </rPr>
          <t xml:space="preserve">Colocar a letra e o número atribuídos no sorteio para a seleção ao lado. Ex.: A2, B4, E3, H1, etc. A Rússia já está definida como A1. 
</t>
        </r>
      </text>
    </comment>
  </commentList>
</comments>
</file>

<file path=xl/sharedStrings.xml><?xml version="1.0" encoding="utf-8"?>
<sst xmlns="http://schemas.openxmlformats.org/spreadsheetml/2006/main" count="708" uniqueCount="203">
  <si>
    <t>DATA</t>
  </si>
  <si>
    <t>JOGOS</t>
  </si>
  <si>
    <t>x</t>
  </si>
  <si>
    <t>Destacar:</t>
  </si>
  <si>
    <t>CLASSIFICAÇÃO</t>
  </si>
  <si>
    <t>C</t>
  </si>
  <si>
    <t>PG</t>
  </si>
  <si>
    <t>J</t>
  </si>
  <si>
    <t>V</t>
  </si>
  <si>
    <t>E</t>
  </si>
  <si>
    <t>D</t>
  </si>
  <si>
    <t>GP</t>
  </si>
  <si>
    <t>GC</t>
  </si>
  <si>
    <t>SG</t>
  </si>
  <si>
    <t>VM</t>
  </si>
  <si>
    <t>VV</t>
  </si>
  <si>
    <t>X</t>
  </si>
  <si>
    <t>JOGO</t>
  </si>
  <si>
    <t>JG</t>
  </si>
  <si>
    <t>G</t>
  </si>
  <si>
    <t>A</t>
  </si>
  <si>
    <t>VT</t>
  </si>
  <si>
    <t>EM</t>
  </si>
  <si>
    <t>DE</t>
  </si>
  <si>
    <t>A1</t>
  </si>
  <si>
    <t>A2</t>
  </si>
  <si>
    <t>A3</t>
  </si>
  <si>
    <t>A4</t>
  </si>
  <si>
    <t>B1</t>
  </si>
  <si>
    <t>B2</t>
  </si>
  <si>
    <t>B3</t>
  </si>
  <si>
    <t>B4</t>
  </si>
  <si>
    <t>B</t>
  </si>
  <si>
    <t>Q</t>
  </si>
  <si>
    <t>PT</t>
  </si>
  <si>
    <t>O</t>
  </si>
  <si>
    <t>GRUPO A</t>
  </si>
  <si>
    <t>GRUPO B</t>
  </si>
  <si>
    <t>Pênaltis</t>
  </si>
  <si>
    <t>PK=""?</t>
  </si>
  <si>
    <t>VER</t>
  </si>
  <si>
    <t>TIMES</t>
  </si>
  <si>
    <t>JOGOS - 1ª FASE</t>
  </si>
  <si>
    <t>POS</t>
  </si>
  <si>
    <t>Nº</t>
  </si>
  <si>
    <t>TIMES (ORDEM)</t>
  </si>
  <si>
    <t>PENALTIS</t>
  </si>
  <si>
    <t>PK?</t>
  </si>
  <si>
    <t>PK&lt;&gt;0/</t>
  </si>
  <si>
    <t>PK OK?</t>
  </si>
  <si>
    <t>PKM</t>
  </si>
  <si>
    <t>PKV</t>
  </si>
  <si>
    <t>TGM</t>
  </si>
  <si>
    <t>TGV</t>
  </si>
  <si>
    <t>VENCEDOR</t>
  </si>
  <si>
    <t>F   I   N   A   L</t>
  </si>
  <si>
    <t>C   A   M   P   E   Ã   O</t>
  </si>
  <si>
    <t>DIAGRAMA</t>
  </si>
  <si>
    <t>CAMPEÃO:</t>
  </si>
  <si>
    <t>AJ</t>
  </si>
  <si>
    <t>PERDEDOR</t>
  </si>
  <si>
    <t>Disputa 3º Lugar</t>
  </si>
  <si>
    <t>DISPUTA DO 3º LUGAR</t>
  </si>
  <si>
    <t>2º</t>
  </si>
  <si>
    <t>3º</t>
  </si>
  <si>
    <t>nenhum</t>
  </si>
  <si>
    <t>NR.</t>
  </si>
  <si>
    <t>LOCAL</t>
  </si>
  <si>
    <t>HORA</t>
  </si>
  <si>
    <t>F</t>
  </si>
  <si>
    <t>C1</t>
  </si>
  <si>
    <t>C2</t>
  </si>
  <si>
    <t>C3</t>
  </si>
  <si>
    <t>C4</t>
  </si>
  <si>
    <t>D1</t>
  </si>
  <si>
    <t>D2</t>
  </si>
  <si>
    <t>D3</t>
  </si>
  <si>
    <t>D4</t>
  </si>
  <si>
    <t>E1</t>
  </si>
  <si>
    <t>E2</t>
  </si>
  <si>
    <t>E3</t>
  </si>
  <si>
    <t>E4</t>
  </si>
  <si>
    <t>F1</t>
  </si>
  <si>
    <t>F2</t>
  </si>
  <si>
    <t>F3</t>
  </si>
  <si>
    <t>F4</t>
  </si>
  <si>
    <t/>
  </si>
  <si>
    <t>OITAVAS-DE-FINAL</t>
  </si>
  <si>
    <t>GRUPO C</t>
  </si>
  <si>
    <t>GRUPO D</t>
  </si>
  <si>
    <t>GRUPO E</t>
  </si>
  <si>
    <t>GRUPO F</t>
  </si>
  <si>
    <t>Oitavas-de-Final</t>
  </si>
  <si>
    <t>Quartas-de-Final</t>
  </si>
  <si>
    <t>Semifinais</t>
  </si>
  <si>
    <t>F  i  n  a  i  s</t>
  </si>
  <si>
    <t>GERAL</t>
  </si>
  <si>
    <t>T</t>
  </si>
  <si>
    <t>S</t>
  </si>
  <si>
    <t>1F</t>
  </si>
  <si>
    <t>AP</t>
  </si>
  <si>
    <t>APROV</t>
  </si>
  <si>
    <t>SELEÇÃO</t>
  </si>
  <si>
    <t>CLASSIFICAÇÃO FINAL</t>
  </si>
  <si>
    <t>ESTATÍSTICAS</t>
  </si>
  <si>
    <t>O1</t>
  </si>
  <si>
    <t>O2</t>
  </si>
  <si>
    <t>O3</t>
  </si>
  <si>
    <t>O4</t>
  </si>
  <si>
    <t>O5</t>
  </si>
  <si>
    <t>O6</t>
  </si>
  <si>
    <t>O7</t>
  </si>
  <si>
    <t>O8</t>
  </si>
  <si>
    <t>S1</t>
  </si>
  <si>
    <t>S2</t>
  </si>
  <si>
    <t>Argentina</t>
  </si>
  <si>
    <t>BRASIL</t>
  </si>
  <si>
    <t>Croácia</t>
  </si>
  <si>
    <t>Irã</t>
  </si>
  <si>
    <t>Japão</t>
  </si>
  <si>
    <t>México</t>
  </si>
  <si>
    <t>Nigéria</t>
  </si>
  <si>
    <t>Rússia</t>
  </si>
  <si>
    <t>Uruguai</t>
  </si>
  <si>
    <t>QUARTAS-DE-FINAL</t>
  </si>
  <si>
    <t>S E M I F I N A I S</t>
  </si>
  <si>
    <t>Alemanha</t>
  </si>
  <si>
    <t>Austrália</t>
  </si>
  <si>
    <t>Bélgica</t>
  </si>
  <si>
    <t>Colômbia</t>
  </si>
  <si>
    <t>Coreia do Sul</t>
  </si>
  <si>
    <t>Costa Rica</t>
  </si>
  <si>
    <t>Espanha</t>
  </si>
  <si>
    <t>França</t>
  </si>
  <si>
    <t>Inglaterra</t>
  </si>
  <si>
    <t>Portugal</t>
  </si>
  <si>
    <t>Suíça</t>
  </si>
  <si>
    <t>G1</t>
  </si>
  <si>
    <t>G2</t>
  </si>
  <si>
    <t>G3</t>
  </si>
  <si>
    <t>G4</t>
  </si>
  <si>
    <t>H1</t>
  </si>
  <si>
    <t>H2</t>
  </si>
  <si>
    <t>H3</t>
  </si>
  <si>
    <t>H4</t>
  </si>
  <si>
    <t>POTE 1</t>
  </si>
  <si>
    <t>POTE 2</t>
  </si>
  <si>
    <t>POTE 3</t>
  </si>
  <si>
    <t>POTE 4</t>
  </si>
  <si>
    <t>H</t>
  </si>
  <si>
    <t>GRUPO G</t>
  </si>
  <si>
    <t>GRUPO H</t>
  </si>
  <si>
    <t>QA</t>
  </si>
  <si>
    <t>QC</t>
  </si>
  <si>
    <t>QB</t>
  </si>
  <si>
    <t>QD</t>
  </si>
  <si>
    <t>COPA DO MUNDO FIFA</t>
  </si>
  <si>
    <t>Ajustes / Sorteio</t>
  </si>
  <si>
    <t>FN</t>
  </si>
  <si>
    <t>futuro</t>
  </si>
  <si>
    <t>soma</t>
  </si>
  <si>
    <t>atrib.</t>
  </si>
  <si>
    <t>final</t>
  </si>
  <si>
    <t>&lt;&gt;</t>
  </si>
  <si>
    <t>d=?</t>
  </si>
  <si>
    <t>=&gt;0?</t>
  </si>
  <si>
    <t>t8?</t>
  </si>
  <si>
    <t>1/2ok?</t>
  </si>
  <si>
    <t>Arábia Saudita</t>
  </si>
  <si>
    <t>Dinamarca</t>
  </si>
  <si>
    <t>Egito</t>
  </si>
  <si>
    <t>Islândia</t>
  </si>
  <si>
    <t>Marrocos</t>
  </si>
  <si>
    <t>Panamá</t>
  </si>
  <si>
    <t>Peru</t>
  </si>
  <si>
    <t>Polônia</t>
  </si>
  <si>
    <t>Senegal</t>
  </si>
  <si>
    <t>Sérvia</t>
  </si>
  <si>
    <t>Suécia</t>
  </si>
  <si>
    <t>Tunísia</t>
  </si>
  <si>
    <t>Moscou</t>
  </si>
  <si>
    <t>Ecaterimburgo</t>
  </si>
  <si>
    <t>São Petersburgo</t>
  </si>
  <si>
    <t>Rostov do Don</t>
  </si>
  <si>
    <t>Samara</t>
  </si>
  <si>
    <t>Volgogrado</t>
  </si>
  <si>
    <t>Sóchi</t>
  </si>
  <si>
    <t>Kazan</t>
  </si>
  <si>
    <t>Saransk</t>
  </si>
  <si>
    <t>Caliningrado</t>
  </si>
  <si>
    <t>Níjni Novgorod</t>
  </si>
  <si>
    <t>RÚSSIA 2018</t>
  </si>
  <si>
    <t>Destacar Grupo:</t>
  </si>
  <si>
    <t>?</t>
  </si>
  <si>
    <t>Nome completo (sem abreviar):</t>
  </si>
  <si>
    <t>E-mail:</t>
  </si>
  <si>
    <t>Fones (celular / comercial / residencial):</t>
  </si>
  <si>
    <t>CARTELA Nº</t>
  </si>
  <si>
    <t>PONTUAÇÃO</t>
  </si>
  <si>
    <t>Pontos</t>
  </si>
  <si>
    <t>9º BOLÃO COPA DO MUNDO FIFA</t>
  </si>
  <si>
    <t>Bandeiras por Hewerton (www.escudosweb.com). Todos os direitos reservados.</t>
  </si>
  <si>
    <t>Empresa / referência (amigo(a) de):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</si>
</sst>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dd/mmm/yyyy\ ddd"/>
    <numFmt numFmtId="166" formatCode="0.000"/>
    <numFmt numFmtId="167" formatCode="0.0000"/>
    <numFmt numFmtId="168" formatCode="dd/mmm\ ddd"/>
    <numFmt numFmtId="169" formatCode="000"/>
    <numFmt numFmtId="170" formatCode="h:mm"/>
  </numFmts>
  <fonts count="36" x14ac:knownFonts="1">
    <font>
      <sz val="11"/>
      <color theme="1"/>
      <name val="Calibri"/>
      <family val="2"/>
      <scheme val="minor"/>
    </font>
    <font>
      <sz val="11"/>
      <color theme="1"/>
      <name val="Calibri"/>
      <family val="2"/>
      <scheme val="minor"/>
    </font>
    <font>
      <u/>
      <sz val="11"/>
      <color theme="10"/>
      <name val="Calibri"/>
      <family val="2"/>
    </font>
    <font>
      <sz val="9"/>
      <color indexed="81"/>
      <name val="Tahoma"/>
      <family val="2"/>
    </font>
    <font>
      <b/>
      <sz val="8"/>
      <color indexed="81"/>
      <name val="Tahoma"/>
      <family val="2"/>
    </font>
    <font>
      <b/>
      <sz val="9"/>
      <color indexed="81"/>
      <name val="Tahoma"/>
      <charset val="1"/>
    </font>
    <font>
      <b/>
      <sz val="20"/>
      <color rgb="FFFF0000"/>
      <name val="Dusha V5"/>
    </font>
    <font>
      <sz val="11"/>
      <color theme="1"/>
      <name val="Dusha V5"/>
    </font>
    <font>
      <b/>
      <sz val="16"/>
      <color theme="0"/>
      <name val="Dusha V5"/>
    </font>
    <font>
      <b/>
      <sz val="9"/>
      <color theme="0"/>
      <name val="Dusha V5"/>
    </font>
    <font>
      <b/>
      <sz val="12"/>
      <color rgb="FF0070C0"/>
      <name val="Dusha V5"/>
    </font>
    <font>
      <b/>
      <sz val="8"/>
      <color theme="1"/>
      <name val="Dusha V5"/>
    </font>
    <font>
      <b/>
      <sz val="12"/>
      <color theme="1"/>
      <name val="Dusha V5"/>
    </font>
    <font>
      <b/>
      <sz val="10"/>
      <color theme="1"/>
      <name val="Dusha V5"/>
    </font>
    <font>
      <sz val="11"/>
      <color rgb="FF339933"/>
      <name val="Dusha V5"/>
    </font>
    <font>
      <sz val="8"/>
      <color theme="1"/>
      <name val="Dusha V5"/>
    </font>
    <font>
      <b/>
      <sz val="9"/>
      <color theme="1"/>
      <name val="Dusha V5"/>
    </font>
    <font>
      <sz val="8.3000000000000007"/>
      <color theme="1"/>
      <name val="Dusha V5"/>
    </font>
    <font>
      <sz val="9"/>
      <color theme="1"/>
      <name val="Dusha V5"/>
    </font>
    <font>
      <b/>
      <sz val="20"/>
      <color theme="1"/>
      <name val="Dusha V5"/>
    </font>
    <font>
      <b/>
      <sz val="11"/>
      <color theme="1"/>
      <name val="Dusha V5"/>
    </font>
    <font>
      <sz val="10"/>
      <color theme="1"/>
      <name val="Dusha V5"/>
    </font>
    <font>
      <sz val="12"/>
      <color theme="0"/>
      <name val="Dusha V5"/>
    </font>
    <font>
      <sz val="12"/>
      <color theme="1"/>
      <name val="Dusha V5"/>
    </font>
    <font>
      <sz val="11"/>
      <color theme="0"/>
      <name val="Dusha V5"/>
    </font>
    <font>
      <sz val="11"/>
      <name val="Dusha V5"/>
    </font>
    <font>
      <sz val="8"/>
      <color rgb="FFFF0000"/>
      <name val="Dusha V5"/>
    </font>
    <font>
      <sz val="8"/>
      <color theme="0"/>
      <name val="Dusha V5"/>
    </font>
    <font>
      <b/>
      <sz val="8"/>
      <color rgb="FF00B050"/>
      <name val="Dusha V5"/>
    </font>
    <font>
      <b/>
      <sz val="8"/>
      <color rgb="FFFF0000"/>
      <name val="Dusha V5"/>
    </font>
    <font>
      <sz val="20"/>
      <color theme="1"/>
      <name val="Dusha V5"/>
    </font>
    <font>
      <b/>
      <sz val="14"/>
      <color theme="1"/>
      <name val="Dusha V5"/>
    </font>
    <font>
      <b/>
      <sz val="16"/>
      <color theme="1"/>
      <name val="Dusha V5"/>
    </font>
    <font>
      <sz val="14"/>
      <color theme="1"/>
      <name val="Dusha V5"/>
    </font>
    <font>
      <b/>
      <sz val="12"/>
      <color theme="0"/>
      <name val="Dusha V5"/>
    </font>
    <font>
      <sz val="7.5"/>
      <color theme="1"/>
      <name val="Dusha V5"/>
    </font>
  </fonts>
  <fills count="1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gradientFill degree="90">
        <stop position="0">
          <color rgb="FFFF9900"/>
        </stop>
        <stop position="1">
          <color rgb="FFFFFF00"/>
        </stop>
      </gradientFill>
    </fill>
    <fill>
      <patternFill patternType="solid">
        <fgColor theme="0" tint="-0.24994659260841701"/>
        <bgColor indexed="64"/>
      </patternFill>
    </fill>
    <fill>
      <patternFill patternType="solid">
        <fgColor rgb="FF0070C0"/>
        <bgColor indexed="64"/>
      </patternFill>
    </fill>
    <fill>
      <patternFill patternType="solid">
        <fgColor theme="0"/>
        <bgColor auto="1"/>
      </patternFill>
    </fill>
    <fill>
      <patternFill patternType="solid">
        <fgColor theme="0"/>
        <bgColor theme="0"/>
      </patternFill>
    </fill>
    <fill>
      <patternFill patternType="solid">
        <fgColor rgb="FFFF0000"/>
        <bgColor indexed="64"/>
      </patternFill>
    </fill>
    <fill>
      <gradientFill degree="90">
        <stop position="0">
          <color theme="0" tint="-5.0965910824915313E-2"/>
        </stop>
        <stop position="1">
          <color theme="0"/>
        </stop>
      </gradientFill>
    </fill>
    <fill>
      <gradientFill degree="90">
        <stop position="0">
          <color rgb="FF0070C0"/>
        </stop>
        <stop position="1">
          <color rgb="FF00B0F0"/>
        </stop>
      </gradientFill>
    </fill>
    <fill>
      <gradientFill degree="90">
        <stop position="0">
          <color rgb="FFC00000"/>
        </stop>
        <stop position="1">
          <color rgb="FFFF0000"/>
        </stop>
      </gradientFill>
    </fill>
    <fill>
      <gradientFill degree="90">
        <stop position="0">
          <color rgb="FFFF9933"/>
        </stop>
        <stop position="1">
          <color rgb="FFFFFF00"/>
        </stop>
      </gradientFill>
    </fill>
  </fills>
  <borders count="97">
    <border>
      <left/>
      <right/>
      <top/>
      <bottom/>
      <diagonal/>
    </border>
    <border>
      <left style="double">
        <color rgb="FF00B0F0"/>
      </left>
      <right style="double">
        <color rgb="FF00B0F0"/>
      </right>
      <top style="double">
        <color rgb="FF00B0F0"/>
      </top>
      <bottom style="double">
        <color rgb="FF00B0F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double">
        <color rgb="FF00B0F0"/>
      </left>
      <right style="double">
        <color rgb="FF00B0F0"/>
      </right>
      <top/>
      <bottom style="thin">
        <color theme="1"/>
      </bottom>
      <diagonal/>
    </border>
    <border>
      <left style="medium">
        <color auto="1"/>
      </left>
      <right style="medium">
        <color auto="1"/>
      </right>
      <top style="medium">
        <color auto="1"/>
      </top>
      <bottom style="medium">
        <color auto="1"/>
      </bottom>
      <diagonal/>
    </border>
    <border>
      <left/>
      <right/>
      <top style="medium">
        <color auto="1"/>
      </top>
      <bottom/>
      <diagonal/>
    </border>
    <border>
      <left style="thin">
        <color auto="1"/>
      </left>
      <right style="double">
        <color rgb="FF00B0F0"/>
      </right>
      <top style="medium">
        <color auto="1"/>
      </top>
      <bottom style="thin">
        <color auto="1"/>
      </bottom>
      <diagonal/>
    </border>
    <border>
      <left style="double">
        <color rgb="FF00B0F0"/>
      </left>
      <right style="thin">
        <color theme="1"/>
      </right>
      <top style="medium">
        <color auto="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medium">
        <color auto="1"/>
      </top>
      <bottom style="medium">
        <color auto="1"/>
      </bottom>
      <diagonal/>
    </border>
    <border>
      <left style="thick">
        <color auto="1"/>
      </left>
      <right style="medium">
        <color auto="1"/>
      </right>
      <top style="thick">
        <color auto="1"/>
      </top>
      <bottom style="thin">
        <color auto="1"/>
      </bottom>
      <diagonal/>
    </border>
    <border>
      <left style="thick">
        <color auto="1"/>
      </left>
      <right style="medium">
        <color auto="1"/>
      </right>
      <top style="thin">
        <color auto="1"/>
      </top>
      <bottom style="thick">
        <color auto="1"/>
      </bottom>
      <diagonal/>
    </border>
    <border>
      <left/>
      <right/>
      <top style="thick">
        <color auto="1"/>
      </top>
      <bottom style="thick">
        <color auto="1"/>
      </bottom>
      <diagonal/>
    </border>
    <border>
      <left/>
      <right style="thick">
        <color auto="1"/>
      </right>
      <top/>
      <bottom/>
      <diagonal/>
    </border>
    <border>
      <left/>
      <right/>
      <top style="thick">
        <color auto="1"/>
      </top>
      <bottom/>
      <diagonal/>
    </border>
    <border>
      <left/>
      <right/>
      <top/>
      <bottom style="thick">
        <color auto="1"/>
      </bottom>
      <diagonal/>
    </border>
    <border>
      <left/>
      <right style="mediumDashed">
        <color auto="1"/>
      </right>
      <top/>
      <bottom style="mediumDashed">
        <color auto="1"/>
      </bottom>
      <diagonal/>
    </border>
    <border>
      <left/>
      <right style="mediumDashed">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mediumDashDotDot">
        <color auto="1"/>
      </bottom>
      <diagonal/>
    </border>
    <border>
      <left style="double">
        <color auto="1"/>
      </left>
      <right style="double">
        <color auto="1"/>
      </right>
      <top style="double">
        <color auto="1"/>
      </top>
      <bottom/>
      <diagonal/>
    </border>
    <border>
      <left style="double">
        <color auto="1"/>
      </left>
      <right style="double">
        <color auto="1"/>
      </right>
      <top/>
      <bottom style="double">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medium">
        <color auto="1"/>
      </left>
      <right style="thick">
        <color auto="1"/>
      </right>
      <top style="thick">
        <color auto="1"/>
      </top>
      <bottom style="thin">
        <color auto="1"/>
      </bottom>
      <diagonal/>
    </border>
    <border>
      <left style="medium">
        <color auto="1"/>
      </left>
      <right style="thick">
        <color auto="1"/>
      </right>
      <top/>
      <bottom style="thick">
        <color auto="1"/>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mediumDashed">
        <color auto="1"/>
      </right>
      <top style="mediumDashed">
        <color auto="1"/>
      </top>
      <bottom/>
      <diagonal/>
    </border>
    <border>
      <left style="thin">
        <color auto="1"/>
      </left>
      <right style="thin">
        <color auto="1"/>
      </right>
      <top/>
      <bottom style="thin">
        <color auto="1"/>
      </bottom>
      <diagonal/>
    </border>
    <border>
      <left style="thick">
        <color auto="1"/>
      </left>
      <right style="thick">
        <color auto="1"/>
      </right>
      <top style="mediumDashed">
        <color auto="1"/>
      </top>
      <bottom/>
      <diagonal/>
    </border>
    <border>
      <left style="thick">
        <color auto="1"/>
      </left>
      <right style="thick">
        <color auto="1"/>
      </right>
      <top/>
      <bottom style="mediumDashed">
        <color auto="1"/>
      </bottom>
      <diagonal/>
    </border>
    <border>
      <left style="thick">
        <color auto="1"/>
      </left>
      <right style="mediumDashed">
        <color auto="1"/>
      </right>
      <top style="mediumDashed">
        <color auto="1"/>
      </top>
      <bottom/>
      <diagonal/>
    </border>
    <border>
      <left style="thick">
        <color auto="1"/>
      </left>
      <right style="mediumDashed">
        <color auto="1"/>
      </right>
      <top/>
      <bottom style="mediumDashed">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n">
        <color auto="1"/>
      </right>
      <top style="thick">
        <color auto="1"/>
      </top>
      <bottom style="thin">
        <color auto="1"/>
      </bottom>
      <diagonal/>
    </border>
    <border>
      <left style="mediumDashed">
        <color auto="1"/>
      </left>
      <right/>
      <top/>
      <bottom style="thick">
        <color auto="1"/>
      </bottom>
      <diagonal/>
    </border>
    <border>
      <left style="thin">
        <color auto="1"/>
      </left>
      <right style="thick">
        <color auto="1"/>
      </right>
      <top style="thick">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bottom/>
      <diagonal/>
    </border>
    <border>
      <left style="thick">
        <color rgb="FF0070C0"/>
      </left>
      <right style="thick">
        <color rgb="FF0070C0"/>
      </right>
      <top style="thick">
        <color rgb="FF0070C0"/>
      </top>
      <bottom style="thick">
        <color rgb="FF0070C0"/>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0070C0"/>
      </left>
      <right/>
      <top style="thick">
        <color rgb="FF0070C0"/>
      </top>
      <bottom style="thick">
        <color rgb="FFFF0000"/>
      </bottom>
      <diagonal/>
    </border>
    <border>
      <left/>
      <right/>
      <top style="thick">
        <color rgb="FF0070C0"/>
      </top>
      <bottom style="thick">
        <color rgb="FFFF0000"/>
      </bottom>
      <diagonal/>
    </border>
    <border>
      <left/>
      <right style="thick">
        <color rgb="FF0070C0"/>
      </right>
      <top style="thick">
        <color rgb="FF0070C0"/>
      </top>
      <bottom style="thick">
        <color rgb="FFFF0000"/>
      </bottom>
      <diagonal/>
    </border>
    <border>
      <left/>
      <right/>
      <top style="thick">
        <color rgb="FF0070C0"/>
      </top>
      <bottom style="thick">
        <color rgb="FF0070C0"/>
      </bottom>
      <diagonal/>
    </border>
    <border>
      <left/>
      <right/>
      <top style="thick">
        <color rgb="FFFF0000"/>
      </top>
      <bottom/>
      <diagonal/>
    </border>
    <border>
      <left/>
      <right/>
      <top/>
      <bottom style="thick">
        <color rgb="FF0070C0"/>
      </bottom>
      <diagonal/>
    </border>
    <border>
      <left style="thick">
        <color rgb="FF0070C0"/>
      </left>
      <right/>
      <top style="thick">
        <color rgb="FFFF0000"/>
      </top>
      <bottom/>
      <diagonal/>
    </border>
    <border>
      <left/>
      <right style="thick">
        <color rgb="FF0070C0"/>
      </right>
      <top style="thick">
        <color rgb="FFFF0000"/>
      </top>
      <bottom/>
      <diagonal/>
    </border>
    <border>
      <left style="thick">
        <color rgb="FF0070C0"/>
      </left>
      <right/>
      <top/>
      <bottom style="thick">
        <color rgb="FF0070C0"/>
      </bottom>
      <diagonal/>
    </border>
    <border>
      <left/>
      <right style="thick">
        <color rgb="FF0070C0"/>
      </right>
      <top/>
      <bottom style="thick">
        <color rgb="FF0070C0"/>
      </bottom>
      <diagonal/>
    </border>
    <border>
      <left/>
      <right/>
      <top/>
      <bottom style="medium">
        <color auto="1"/>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246">
    <xf numFmtId="0" fontId="0" fillId="0" borderId="0" xfId="0"/>
    <xf numFmtId="0" fontId="0" fillId="0" borderId="0" xfId="0" applyAlignment="1">
      <alignment horizontal="left" vertical="center"/>
    </xf>
    <xf numFmtId="0" fontId="7" fillId="0" borderId="0" xfId="0" applyFont="1" applyAlignment="1" applyProtection="1">
      <alignment horizontal="center"/>
    </xf>
    <xf numFmtId="0" fontId="7" fillId="0" borderId="0" xfId="0" applyFont="1" applyProtection="1"/>
    <xf numFmtId="165" fontId="7" fillId="0" borderId="0" xfId="0" applyNumberFormat="1" applyFont="1" applyAlignment="1" applyProtection="1">
      <alignment horizontal="center"/>
    </xf>
    <xf numFmtId="1" fontId="7" fillId="0" borderId="0" xfId="0" applyNumberFormat="1" applyFont="1" applyAlignment="1" applyProtection="1">
      <alignment horizontal="center"/>
    </xf>
    <xf numFmtId="0" fontId="7" fillId="0" borderId="0" xfId="0" applyFont="1" applyAlignment="1" applyProtection="1">
      <alignment horizontal="right"/>
    </xf>
    <xf numFmtId="0" fontId="7" fillId="0" borderId="0" xfId="0" applyFont="1" applyAlignment="1" applyProtection="1">
      <alignment horizontal="left"/>
    </xf>
    <xf numFmtId="0" fontId="9" fillId="10" borderId="80" xfId="2" applyFont="1" applyFill="1" applyBorder="1" applyAlignment="1" applyProtection="1">
      <alignment horizontal="center" vertical="center"/>
      <protection locked="0"/>
    </xf>
    <xf numFmtId="0" fontId="10" fillId="4" borderId="0" xfId="2" applyFont="1" applyFill="1" applyBorder="1" applyAlignment="1" applyProtection="1">
      <alignment horizontal="center" vertical="center"/>
    </xf>
    <xf numFmtId="0" fontId="11" fillId="3" borderId="0" xfId="0" applyFont="1" applyFill="1" applyAlignment="1" applyProtection="1">
      <alignment horizontal="center"/>
      <protection locked="0"/>
    </xf>
    <xf numFmtId="0" fontId="11" fillId="3" borderId="0" xfId="0" applyFont="1" applyFill="1" applyProtection="1">
      <protection locked="0"/>
    </xf>
    <xf numFmtId="0" fontId="11" fillId="3" borderId="0" xfId="0" applyFont="1" applyFill="1" applyProtection="1"/>
    <xf numFmtId="0" fontId="11" fillId="3" borderId="0" xfId="0" applyFont="1" applyFill="1" applyAlignment="1" applyProtection="1">
      <alignment horizontal="center"/>
    </xf>
    <xf numFmtId="14" fontId="11" fillId="3" borderId="0" xfId="0" applyNumberFormat="1" applyFont="1" applyFill="1" applyAlignment="1" applyProtection="1">
      <alignment horizontal="center"/>
    </xf>
    <xf numFmtId="0" fontId="11" fillId="0" borderId="0" xfId="0" applyFont="1" applyProtection="1"/>
    <xf numFmtId="0" fontId="11" fillId="0" borderId="0" xfId="0" applyFont="1" applyAlignment="1" applyProtection="1">
      <alignment horizontal="center"/>
    </xf>
    <xf numFmtId="1" fontId="12" fillId="2" borderId="6" xfId="0" applyNumberFormat="1" applyFont="1" applyFill="1" applyBorder="1" applyAlignment="1" applyProtection="1">
      <alignment horizontal="center"/>
    </xf>
    <xf numFmtId="165" fontId="12" fillId="2" borderId="6" xfId="0" applyNumberFormat="1" applyFont="1" applyFill="1" applyBorder="1" applyAlignment="1" applyProtection="1">
      <alignment horizontal="center"/>
    </xf>
    <xf numFmtId="165" fontId="12" fillId="2" borderId="13" xfId="0" applyNumberFormat="1" applyFont="1" applyFill="1" applyBorder="1" applyAlignment="1" applyProtection="1"/>
    <xf numFmtId="165" fontId="12" fillId="2" borderId="7" xfId="0" applyNumberFormat="1" applyFont="1" applyFill="1" applyBorder="1" applyAlignment="1" applyProtection="1"/>
    <xf numFmtId="165" fontId="12" fillId="2" borderId="23" xfId="0" applyNumberFormat="1" applyFont="1" applyFill="1" applyBorder="1" applyAlignment="1" applyProtection="1">
      <alignment horizontal="center"/>
    </xf>
    <xf numFmtId="165" fontId="12" fillId="2" borderId="14" xfId="0" applyNumberFormat="1" applyFont="1" applyFill="1" applyBorder="1" applyAlignment="1" applyProtection="1"/>
    <xf numFmtId="0" fontId="11" fillId="0" borderId="0" xfId="0" applyFont="1" applyAlignment="1" applyProtection="1">
      <alignment horizontal="center" vertical="center"/>
    </xf>
    <xf numFmtId="1" fontId="7" fillId="0" borderId="4" xfId="0" applyNumberFormat="1" applyFont="1" applyBorder="1" applyAlignment="1" applyProtection="1">
      <alignment horizontal="center"/>
    </xf>
    <xf numFmtId="168" fontId="7" fillId="0" borderId="4" xfId="0" applyNumberFormat="1" applyFont="1" applyBorder="1" applyAlignment="1" applyProtection="1">
      <alignment horizontal="center"/>
    </xf>
    <xf numFmtId="20" fontId="7" fillId="0" borderId="4" xfId="0" applyNumberFormat="1" applyFont="1" applyBorder="1" applyAlignment="1" applyProtection="1">
      <alignment horizontal="center"/>
    </xf>
    <xf numFmtId="0" fontId="7" fillId="0" borderId="8" xfId="0" applyFont="1" applyBorder="1" applyAlignment="1" applyProtection="1">
      <alignment horizontal="right"/>
    </xf>
    <xf numFmtId="1" fontId="13" fillId="0" borderId="1" xfId="0" applyNumberFormat="1" applyFont="1" applyBorder="1" applyAlignment="1" applyProtection="1">
      <alignment horizontal="center"/>
      <protection locked="0"/>
    </xf>
    <xf numFmtId="0" fontId="7" fillId="0" borderId="5" xfId="0" applyFont="1" applyBorder="1" applyAlignment="1" applyProtection="1">
      <alignment horizontal="center"/>
    </xf>
    <xf numFmtId="0" fontId="7" fillId="0" borderId="9" xfId="0" applyFont="1" applyBorder="1" applyAlignment="1" applyProtection="1">
      <alignment horizontal="left"/>
    </xf>
    <xf numFmtId="0" fontId="7" fillId="0" borderId="0" xfId="0" applyFont="1" applyBorder="1" applyAlignment="1" applyProtection="1">
      <alignment horizontal="left"/>
    </xf>
    <xf numFmtId="1" fontId="7" fillId="0" borderId="2" xfId="0" applyNumberFormat="1" applyFont="1" applyBorder="1" applyAlignment="1" applyProtection="1">
      <alignment horizontal="center"/>
    </xf>
    <xf numFmtId="168" fontId="7" fillId="0" borderId="2" xfId="0" applyNumberFormat="1" applyFont="1" applyBorder="1" applyAlignment="1" applyProtection="1">
      <alignment horizontal="center"/>
    </xf>
    <xf numFmtId="20" fontId="7" fillId="0" borderId="2" xfId="0" applyNumberFormat="1" applyFont="1" applyBorder="1" applyAlignment="1" applyProtection="1">
      <alignment horizontal="center"/>
    </xf>
    <xf numFmtId="0" fontId="7" fillId="0" borderId="3" xfId="0" applyFont="1" applyBorder="1" applyAlignment="1" applyProtection="1">
      <alignment horizontal="right"/>
    </xf>
    <xf numFmtId="0" fontId="7" fillId="0" borderId="10" xfId="0" applyFont="1" applyBorder="1" applyAlignment="1" applyProtection="1">
      <alignment horizontal="center"/>
    </xf>
    <xf numFmtId="0" fontId="7" fillId="0" borderId="11" xfId="0" applyFont="1" applyBorder="1" applyAlignment="1" applyProtection="1">
      <alignment horizontal="left"/>
    </xf>
    <xf numFmtId="0" fontId="14" fillId="0" borderId="0" xfId="0" applyFont="1" applyProtection="1"/>
    <xf numFmtId="0" fontId="7" fillId="0" borderId="2" xfId="0" applyFont="1" applyBorder="1" applyAlignment="1" applyProtection="1">
      <alignment horizontal="center"/>
    </xf>
    <xf numFmtId="165" fontId="12" fillId="2" borderId="23" xfId="0" applyNumberFormat="1" applyFont="1" applyFill="1" applyBorder="1" applyAlignment="1" applyProtection="1"/>
    <xf numFmtId="165" fontId="12" fillId="2" borderId="24" xfId="0" applyNumberFormat="1" applyFont="1" applyFill="1" applyBorder="1" applyAlignment="1" applyProtection="1"/>
    <xf numFmtId="0" fontId="16" fillId="0" borderId="0" xfId="0" applyFont="1" applyBorder="1" applyAlignment="1" applyProtection="1">
      <alignment horizontal="center"/>
    </xf>
    <xf numFmtId="0" fontId="17" fillId="0" borderId="0" xfId="0" applyFont="1" applyProtection="1"/>
    <xf numFmtId="0" fontId="16" fillId="0" borderId="0" xfId="0" applyFont="1" applyBorder="1" applyAlignment="1" applyProtection="1">
      <alignment horizontal="center"/>
      <protection locked="0"/>
    </xf>
    <xf numFmtId="0" fontId="18" fillId="0" borderId="0" xfId="0" applyFont="1" applyBorder="1" applyAlignment="1" applyProtection="1">
      <alignment horizontal="center"/>
    </xf>
    <xf numFmtId="1" fontId="7" fillId="0" borderId="50" xfId="0" applyNumberFormat="1" applyFont="1" applyBorder="1" applyAlignment="1" applyProtection="1">
      <alignment horizontal="center"/>
    </xf>
    <xf numFmtId="1" fontId="7" fillId="0" borderId="0" xfId="0" applyNumberFormat="1" applyFont="1" applyBorder="1" applyAlignment="1" applyProtection="1">
      <alignment horizontal="center"/>
    </xf>
    <xf numFmtId="20" fontId="7" fillId="0" borderId="0" xfId="0" applyNumberFormat="1" applyFont="1" applyBorder="1" applyAlignment="1" applyProtection="1">
      <alignment horizontal="center"/>
    </xf>
    <xf numFmtId="0" fontId="7" fillId="0" borderId="0" xfId="0" applyFont="1" applyBorder="1" applyAlignment="1" applyProtection="1">
      <alignment horizontal="center"/>
    </xf>
    <xf numFmtId="0" fontId="7" fillId="0" borderId="0" xfId="0" applyFont="1" applyBorder="1" applyAlignment="1" applyProtection="1">
      <alignment horizontal="right"/>
    </xf>
    <xf numFmtId="1" fontId="13" fillId="0" borderId="0" xfId="0" applyNumberFormat="1" applyFont="1" applyBorder="1" applyAlignment="1" applyProtection="1">
      <alignment horizontal="center"/>
    </xf>
    <xf numFmtId="1" fontId="13" fillId="0" borderId="1" xfId="0" quotePrefix="1" applyNumberFormat="1" applyFont="1" applyBorder="1" applyAlignment="1" applyProtection="1">
      <alignment horizontal="center"/>
      <protection locked="0"/>
    </xf>
    <xf numFmtId="0" fontId="19" fillId="0" borderId="79" xfId="0" applyFont="1" applyBorder="1" applyAlignment="1" applyProtection="1">
      <alignment vertical="center"/>
    </xf>
    <xf numFmtId="0" fontId="19" fillId="0" borderId="0" xfId="0" applyFont="1" applyBorder="1" applyAlignment="1" applyProtection="1">
      <alignment vertical="center"/>
    </xf>
    <xf numFmtId="0" fontId="11" fillId="0" borderId="0" xfId="0" applyFont="1" applyAlignment="1" applyProtection="1">
      <alignment horizontal="left"/>
    </xf>
    <xf numFmtId="0" fontId="7" fillId="0" borderId="0" xfId="0" applyFont="1" applyAlignment="1" applyProtection="1">
      <alignment horizontal="right" vertical="center"/>
    </xf>
    <xf numFmtId="0" fontId="21" fillId="0" borderId="0" xfId="0" applyFont="1" applyAlignment="1" applyProtection="1">
      <alignment horizontal="center"/>
    </xf>
    <xf numFmtId="0" fontId="21" fillId="0" borderId="0" xfId="0" applyFont="1" applyProtection="1"/>
    <xf numFmtId="0" fontId="22" fillId="0" borderId="0" xfId="0" applyFont="1" applyProtection="1"/>
    <xf numFmtId="0" fontId="12" fillId="2" borderId="15" xfId="0" applyFont="1" applyFill="1" applyBorder="1" applyAlignment="1" applyProtection="1">
      <alignment horizontal="center"/>
    </xf>
    <xf numFmtId="0" fontId="12" fillId="2" borderId="12" xfId="0" applyFont="1" applyFill="1" applyBorder="1" applyAlignment="1" applyProtection="1">
      <alignment horizontal="center"/>
    </xf>
    <xf numFmtId="0" fontId="12" fillId="2" borderId="46" xfId="0" applyFont="1" applyFill="1" applyBorder="1" applyAlignment="1" applyProtection="1">
      <alignment horizontal="center"/>
    </xf>
    <xf numFmtId="0" fontId="23" fillId="0" borderId="0" xfId="0" applyFont="1" applyProtection="1"/>
    <xf numFmtId="0" fontId="24" fillId="0" borderId="0" xfId="0" applyFont="1" applyProtection="1"/>
    <xf numFmtId="0" fontId="25" fillId="8" borderId="16" xfId="0" applyFont="1" applyFill="1" applyBorder="1" applyAlignment="1" applyProtection="1">
      <alignment horizontal="center"/>
    </xf>
    <xf numFmtId="0" fontId="7" fillId="0" borderId="4" xfId="0" applyFont="1" applyBorder="1" applyAlignment="1" applyProtection="1">
      <alignment horizontal="center"/>
    </xf>
    <xf numFmtId="1" fontId="7" fillId="0" borderId="47" xfId="0" applyNumberFormat="1" applyFont="1" applyBorder="1" applyAlignment="1" applyProtection="1">
      <alignment horizontal="center"/>
    </xf>
    <xf numFmtId="1" fontId="21" fillId="0" borderId="16" xfId="0" applyNumberFormat="1" applyFont="1" applyBorder="1" applyAlignment="1" applyProtection="1">
      <alignment horizontal="center"/>
    </xf>
    <xf numFmtId="1" fontId="21" fillId="0" borderId="17" xfId="0" applyNumberFormat="1" applyFont="1" applyBorder="1" applyAlignment="1" applyProtection="1">
      <alignment horizontal="center"/>
      <protection locked="0"/>
    </xf>
    <xf numFmtId="0" fontId="26" fillId="0" borderId="0" xfId="0" applyFont="1" applyAlignment="1" applyProtection="1">
      <alignment horizontal="center"/>
    </xf>
    <xf numFmtId="0" fontId="27" fillId="0" borderId="0" xfId="0" applyFont="1" applyAlignment="1" applyProtection="1">
      <alignment horizontal="center"/>
    </xf>
    <xf numFmtId="1" fontId="28" fillId="0" borderId="0" xfId="0" applyNumberFormat="1" applyFont="1" applyAlignment="1" applyProtection="1">
      <alignment horizontal="center"/>
    </xf>
    <xf numFmtId="0" fontId="28" fillId="0" borderId="0" xfId="0" applyFont="1" applyAlignment="1" applyProtection="1">
      <alignment horizontal="center"/>
    </xf>
    <xf numFmtId="0" fontId="7" fillId="4" borderId="18" xfId="0" applyFont="1" applyFill="1" applyBorder="1" applyAlignment="1" applyProtection="1">
      <alignment horizontal="center"/>
    </xf>
    <xf numFmtId="1" fontId="7" fillId="0" borderId="3" xfId="0" applyNumberFormat="1" applyFont="1" applyBorder="1" applyAlignment="1" applyProtection="1">
      <alignment horizontal="center"/>
    </xf>
    <xf numFmtId="1" fontId="21" fillId="0" borderId="18" xfId="0" applyNumberFormat="1" applyFont="1" applyBorder="1" applyAlignment="1" applyProtection="1">
      <alignment horizontal="center"/>
    </xf>
    <xf numFmtId="1" fontId="21" fillId="0" borderId="19" xfId="0" applyNumberFormat="1" applyFont="1" applyBorder="1" applyAlignment="1" applyProtection="1">
      <alignment horizontal="center"/>
      <protection locked="0"/>
    </xf>
    <xf numFmtId="0" fontId="7" fillId="9" borderId="18" xfId="0" applyFont="1" applyFill="1" applyBorder="1" applyAlignment="1" applyProtection="1">
      <alignment horizontal="center"/>
    </xf>
    <xf numFmtId="0" fontId="29" fillId="0" borderId="0" xfId="0" applyFont="1" applyAlignment="1" applyProtection="1">
      <alignment horizontal="center"/>
    </xf>
    <xf numFmtId="0" fontId="7" fillId="9" borderId="20" xfId="0" applyFont="1" applyFill="1" applyBorder="1" applyAlignment="1" applyProtection="1">
      <alignment horizontal="center"/>
    </xf>
    <xf numFmtId="0" fontId="7" fillId="0" borderId="21" xfId="0" applyFont="1" applyBorder="1" applyAlignment="1" applyProtection="1">
      <alignment horizontal="center"/>
    </xf>
    <xf numFmtId="1" fontId="7" fillId="0" borderId="21" xfId="0" applyNumberFormat="1" applyFont="1" applyBorder="1" applyAlignment="1" applyProtection="1">
      <alignment horizontal="center"/>
    </xf>
    <xf numFmtId="1" fontId="7" fillId="0" borderId="48" xfId="0" applyNumberFormat="1" applyFont="1" applyBorder="1" applyAlignment="1" applyProtection="1">
      <alignment horizontal="center"/>
    </xf>
    <xf numFmtId="1" fontId="21" fillId="0" borderId="20" xfId="0" applyNumberFormat="1" applyFont="1" applyBorder="1" applyAlignment="1" applyProtection="1">
      <alignment horizontal="center"/>
    </xf>
    <xf numFmtId="1" fontId="21" fillId="0" borderId="22" xfId="0" applyNumberFormat="1" applyFont="1" applyBorder="1" applyAlignment="1" applyProtection="1">
      <alignment horizontal="center"/>
      <protection locked="0"/>
    </xf>
    <xf numFmtId="1" fontId="24" fillId="0" borderId="0" xfId="0" applyNumberFormat="1" applyFont="1" applyAlignment="1" applyProtection="1">
      <alignment horizontal="center"/>
    </xf>
    <xf numFmtId="0" fontId="15" fillId="0" borderId="0" xfId="0" applyFont="1" applyAlignment="1">
      <alignment horizontal="center"/>
    </xf>
    <xf numFmtId="0" fontId="21" fillId="0" borderId="0" xfId="0" applyFont="1"/>
    <xf numFmtId="0" fontId="7" fillId="0" borderId="0" xfId="0" applyFont="1"/>
    <xf numFmtId="0" fontId="15" fillId="0" borderId="0" xfId="0" applyFont="1" applyAlignment="1">
      <alignment horizontal="center" vertical="center"/>
    </xf>
    <xf numFmtId="0" fontId="21" fillId="0" borderId="0" xfId="0" applyFont="1" applyAlignment="1">
      <alignment vertical="center"/>
    </xf>
    <xf numFmtId="0" fontId="21" fillId="0" borderId="27" xfId="0" applyFont="1" applyBorder="1" applyAlignment="1">
      <alignment horizontal="center" vertical="center"/>
    </xf>
    <xf numFmtId="1" fontId="13" fillId="0" borderId="44" xfId="0" applyNumberFormat="1" applyFont="1" applyBorder="1" applyAlignment="1">
      <alignment horizontal="center" vertical="center"/>
    </xf>
    <xf numFmtId="0" fontId="7" fillId="0" borderId="0" xfId="0" applyFont="1" applyAlignment="1">
      <alignment vertical="center"/>
    </xf>
    <xf numFmtId="0" fontId="21" fillId="0" borderId="28" xfId="0" applyFont="1" applyBorder="1" applyAlignment="1">
      <alignment horizontal="center" vertical="center"/>
    </xf>
    <xf numFmtId="1" fontId="13" fillId="0" borderId="45" xfId="0" applyNumberFormat="1" applyFont="1" applyBorder="1" applyAlignment="1">
      <alignment horizontal="center" vertical="center"/>
    </xf>
    <xf numFmtId="0" fontId="7" fillId="0" borderId="49" xfId="0" applyFont="1" applyBorder="1" applyAlignment="1">
      <alignment vertical="center"/>
    </xf>
    <xf numFmtId="0" fontId="13" fillId="0" borderId="0" xfId="0" applyFont="1" applyAlignment="1">
      <alignment vertical="center"/>
    </xf>
    <xf numFmtId="0" fontId="21" fillId="0" borderId="53" xfId="0" applyFont="1" applyBorder="1" applyAlignment="1">
      <alignment vertical="center"/>
    </xf>
    <xf numFmtId="0" fontId="7" fillId="0" borderId="33" xfId="0" applyFont="1" applyBorder="1" applyAlignment="1">
      <alignment vertical="center"/>
    </xf>
    <xf numFmtId="0" fontId="7" fillId="0" borderId="0" xfId="0" applyFont="1" applyAlignment="1">
      <alignment horizontal="center" vertical="center"/>
    </xf>
    <xf numFmtId="0" fontId="13" fillId="0" borderId="0" xfId="0" applyFont="1" applyAlignment="1">
      <alignment horizontal="center" vertical="center"/>
    </xf>
    <xf numFmtId="0" fontId="21" fillId="0" borderId="34" xfId="0" applyFont="1" applyBorder="1" applyAlignment="1">
      <alignment vertical="center"/>
    </xf>
    <xf numFmtId="0" fontId="21" fillId="0" borderId="37" xfId="0" applyFont="1" applyBorder="1" applyAlignment="1">
      <alignment vertical="center"/>
    </xf>
    <xf numFmtId="0" fontId="21" fillId="0" borderId="0" xfId="0" applyFont="1" applyAlignment="1">
      <alignment horizontal="center" vertical="center"/>
    </xf>
    <xf numFmtId="0" fontId="13" fillId="0" borderId="0" xfId="0" applyFont="1" applyAlignment="1">
      <alignment horizontal="right" vertical="center"/>
    </xf>
    <xf numFmtId="0" fontId="21" fillId="0" borderId="6" xfId="0" applyFont="1" applyBorder="1" applyAlignment="1">
      <alignment horizontal="center" vertical="center"/>
    </xf>
    <xf numFmtId="0" fontId="21" fillId="0" borderId="54" xfId="0" applyFont="1" applyBorder="1" applyAlignment="1">
      <alignment vertical="center"/>
    </xf>
    <xf numFmtId="0" fontId="7" fillId="3" borderId="0" xfId="0" applyFont="1" applyFill="1" applyProtection="1"/>
    <xf numFmtId="0" fontId="12" fillId="2" borderId="58" xfId="0" applyFont="1" applyFill="1" applyBorder="1" applyAlignment="1" applyProtection="1">
      <alignment horizontal="center"/>
    </xf>
    <xf numFmtId="0" fontId="12" fillId="2" borderId="59" xfId="0" applyFont="1" applyFill="1" applyBorder="1" applyAlignment="1" applyProtection="1">
      <alignment horizontal="center"/>
    </xf>
    <xf numFmtId="0" fontId="7" fillId="0" borderId="60" xfId="0" applyFont="1" applyBorder="1" applyAlignment="1" applyProtection="1">
      <alignment horizontal="center"/>
    </xf>
    <xf numFmtId="0" fontId="7" fillId="0" borderId="50" xfId="0" applyFont="1" applyBorder="1" applyAlignment="1" applyProtection="1">
      <alignment horizontal="center"/>
    </xf>
    <xf numFmtId="10" fontId="7" fillId="0" borderId="61" xfId="0" applyNumberFormat="1" applyFont="1" applyBorder="1" applyAlignment="1" applyProtection="1">
      <alignment horizontal="center"/>
    </xf>
    <xf numFmtId="0" fontId="7" fillId="0" borderId="62" xfId="0" applyFont="1" applyBorder="1" applyAlignment="1" applyProtection="1">
      <alignment horizontal="center"/>
    </xf>
    <xf numFmtId="10" fontId="7" fillId="0" borderId="63" xfId="0" applyNumberFormat="1" applyFont="1" applyBorder="1" applyAlignment="1" applyProtection="1">
      <alignment horizontal="center"/>
    </xf>
    <xf numFmtId="0" fontId="7" fillId="0" borderId="71" xfId="0" applyFont="1" applyBorder="1" applyAlignment="1" applyProtection="1">
      <alignment horizontal="center"/>
    </xf>
    <xf numFmtId="0" fontId="7" fillId="0" borderId="72" xfId="0" applyFont="1" applyBorder="1" applyAlignment="1" applyProtection="1">
      <alignment horizontal="center"/>
    </xf>
    <xf numFmtId="10" fontId="7" fillId="0" borderId="73" xfId="0" applyNumberFormat="1" applyFont="1" applyBorder="1" applyAlignment="1" applyProtection="1">
      <alignment horizontal="center"/>
    </xf>
    <xf numFmtId="0" fontId="7" fillId="0" borderId="64" xfId="0" applyFont="1" applyBorder="1" applyAlignment="1" applyProtection="1">
      <alignment horizontal="center"/>
    </xf>
    <xf numFmtId="0" fontId="7" fillId="0" borderId="65" xfId="0" applyFont="1" applyBorder="1" applyAlignment="1" applyProtection="1">
      <alignment horizontal="center"/>
    </xf>
    <xf numFmtId="10" fontId="7" fillId="0" borderId="66" xfId="0" applyNumberFormat="1" applyFont="1" applyBorder="1" applyAlignment="1" applyProtection="1">
      <alignment horizontal="center"/>
    </xf>
    <xf numFmtId="0" fontId="15" fillId="0" borderId="0" xfId="0" applyFont="1"/>
    <xf numFmtId="20" fontId="15" fillId="0" borderId="0" xfId="0" applyNumberFormat="1" applyFont="1" applyAlignment="1">
      <alignment horizontal="center"/>
    </xf>
    <xf numFmtId="0" fontId="11" fillId="0" borderId="0" xfId="0" applyFont="1" applyAlignment="1">
      <alignment horizontal="right"/>
    </xf>
    <xf numFmtId="0" fontId="11" fillId="0" borderId="0" xfId="0" applyFont="1" applyAlignment="1">
      <alignment horizontal="left"/>
    </xf>
    <xf numFmtId="166" fontId="15" fillId="0" borderId="0" xfId="0" applyNumberFormat="1" applyFont="1" applyAlignment="1">
      <alignment horizontal="center"/>
    </xf>
    <xf numFmtId="0" fontId="11" fillId="0" borderId="0" xfId="0" applyFont="1" applyAlignment="1">
      <alignment horizontal="center"/>
    </xf>
    <xf numFmtId="0" fontId="15" fillId="2" borderId="0" xfId="0" applyFont="1" applyFill="1" applyAlignment="1">
      <alignment horizontal="center"/>
    </xf>
    <xf numFmtId="49" fontId="15" fillId="2" borderId="0" xfId="0" applyNumberFormat="1" applyFont="1" applyFill="1" applyAlignment="1">
      <alignment horizontal="center"/>
    </xf>
    <xf numFmtId="0" fontId="15" fillId="2" borderId="0" xfId="0" applyFont="1" applyFill="1"/>
    <xf numFmtId="0" fontId="11" fillId="2" borderId="0" xfId="0" applyFont="1" applyFill="1" applyAlignment="1">
      <alignment horizontal="center"/>
    </xf>
    <xf numFmtId="168" fontId="15" fillId="0" borderId="0" xfId="0" applyNumberFormat="1" applyFont="1" applyAlignment="1">
      <alignment horizontal="center"/>
    </xf>
    <xf numFmtId="1" fontId="15" fillId="0" borderId="0" xfId="0" applyNumberFormat="1" applyFont="1" applyAlignment="1">
      <alignment horizontal="center"/>
    </xf>
    <xf numFmtId="0" fontId="15" fillId="0" borderId="0" xfId="0" applyFont="1" applyAlignment="1">
      <alignment horizontal="left"/>
    </xf>
    <xf numFmtId="0" fontId="15" fillId="0" borderId="0" xfId="0" quotePrefix="1" applyFont="1" applyAlignment="1">
      <alignment horizontal="center"/>
    </xf>
    <xf numFmtId="0" fontId="15" fillId="0" borderId="0" xfId="0" applyFont="1" applyBorder="1" applyAlignment="1">
      <alignment horizontal="center"/>
    </xf>
    <xf numFmtId="167" fontId="15" fillId="0" borderId="0" xfId="0" applyNumberFormat="1" applyFont="1" applyBorder="1" applyAlignment="1">
      <alignment horizontal="center"/>
    </xf>
    <xf numFmtId="1" fontId="15" fillId="0" borderId="0" xfId="0" applyNumberFormat="1" applyFont="1" applyBorder="1" applyAlignment="1">
      <alignment horizontal="center"/>
    </xf>
    <xf numFmtId="0" fontId="15" fillId="0" borderId="0" xfId="0" quotePrefix="1" applyFont="1" applyBorder="1" applyAlignment="1">
      <alignment horizontal="center"/>
    </xf>
    <xf numFmtId="0" fontId="15" fillId="0" borderId="25" xfId="0" applyFont="1" applyBorder="1" applyAlignment="1">
      <alignment horizontal="center"/>
    </xf>
    <xf numFmtId="167" fontId="15" fillId="0" borderId="25" xfId="0" applyNumberFormat="1" applyFont="1" applyBorder="1" applyAlignment="1">
      <alignment horizontal="center"/>
    </xf>
    <xf numFmtId="1" fontId="15" fillId="0" borderId="25" xfId="0" applyNumberFormat="1" applyFont="1" applyBorder="1" applyAlignment="1">
      <alignment horizontal="center"/>
    </xf>
    <xf numFmtId="0" fontId="15" fillId="0" borderId="0" xfId="0" quotePrefix="1" applyFont="1"/>
    <xf numFmtId="0" fontId="11" fillId="0" borderId="67" xfId="0" applyFont="1" applyBorder="1" applyAlignment="1" applyProtection="1">
      <alignment horizontal="center"/>
      <protection locked="0"/>
    </xf>
    <xf numFmtId="0" fontId="11" fillId="0" borderId="74" xfId="0" applyFont="1" applyBorder="1" applyAlignment="1">
      <alignment horizontal="center"/>
    </xf>
    <xf numFmtId="0" fontId="15" fillId="0" borderId="0" xfId="0" applyFont="1" applyAlignment="1">
      <alignment horizontal="right"/>
    </xf>
    <xf numFmtId="10" fontId="15" fillId="0" borderId="0" xfId="0" applyNumberFormat="1" applyFont="1" applyAlignment="1">
      <alignment horizontal="center"/>
    </xf>
    <xf numFmtId="0" fontId="11" fillId="0" borderId="62" xfId="0" applyFont="1" applyBorder="1" applyAlignment="1" applyProtection="1">
      <alignment horizontal="center"/>
      <protection locked="0"/>
    </xf>
    <xf numFmtId="0" fontId="11" fillId="0" borderId="2" xfId="0" applyFont="1" applyBorder="1" applyAlignment="1">
      <alignment horizontal="center"/>
    </xf>
    <xf numFmtId="0" fontId="11" fillId="0" borderId="64" xfId="0" applyFont="1" applyBorder="1" applyAlignment="1" applyProtection="1">
      <alignment horizontal="center"/>
      <protection locked="0"/>
    </xf>
    <xf numFmtId="0" fontId="11" fillId="0" borderId="65" xfId="0" applyFont="1" applyBorder="1" applyAlignment="1">
      <alignment horizontal="center"/>
    </xf>
    <xf numFmtId="0" fontId="11" fillId="0" borderId="60" xfId="0" applyFont="1" applyBorder="1" applyAlignment="1" applyProtection="1">
      <alignment horizontal="center"/>
      <protection locked="0"/>
    </xf>
    <xf numFmtId="0" fontId="11" fillId="0" borderId="50" xfId="0" applyFont="1" applyBorder="1" applyAlignment="1">
      <alignment horizontal="center"/>
    </xf>
    <xf numFmtId="1" fontId="15" fillId="0" borderId="0" xfId="0" applyNumberFormat="1" applyFont="1" applyAlignment="1" applyProtection="1">
      <alignment horizontal="right" vertical="center"/>
    </xf>
    <xf numFmtId="0" fontId="11" fillId="0" borderId="0" xfId="0" applyFont="1" applyAlignment="1" applyProtection="1">
      <alignment horizontal="center"/>
      <protection locked="0"/>
    </xf>
    <xf numFmtId="0" fontId="11" fillId="0" borderId="0" xfId="0" applyFont="1" applyProtection="1">
      <protection locked="0"/>
    </xf>
    <xf numFmtId="165" fontId="6" fillId="5" borderId="40" xfId="0" applyNumberFormat="1" applyFont="1" applyFill="1" applyBorder="1" applyAlignment="1" applyProtection="1">
      <alignment horizontal="center" vertical="center"/>
    </xf>
    <xf numFmtId="165" fontId="6" fillId="5" borderId="31" xfId="0" applyNumberFormat="1" applyFont="1" applyFill="1" applyBorder="1" applyAlignment="1" applyProtection="1">
      <alignment horizontal="center" vertical="center"/>
    </xf>
    <xf numFmtId="165" fontId="6" fillId="5" borderId="41" xfId="0" applyNumberFormat="1" applyFont="1" applyFill="1" applyBorder="1" applyAlignment="1" applyProtection="1">
      <alignment horizontal="center" vertical="center"/>
    </xf>
    <xf numFmtId="165" fontId="6" fillId="5" borderId="42" xfId="0" applyNumberFormat="1" applyFont="1" applyFill="1" applyBorder="1" applyAlignment="1" applyProtection="1">
      <alignment horizontal="center" vertical="center"/>
    </xf>
    <xf numFmtId="165" fontId="6" fillId="5" borderId="32" xfId="0" applyNumberFormat="1" applyFont="1" applyFill="1" applyBorder="1" applyAlignment="1" applyProtection="1">
      <alignment horizontal="center" vertical="center"/>
    </xf>
    <xf numFmtId="165" fontId="6" fillId="5" borderId="43" xfId="0" applyNumberFormat="1" applyFont="1" applyFill="1" applyBorder="1" applyAlignment="1" applyProtection="1">
      <alignment horizontal="center" vertical="center"/>
    </xf>
    <xf numFmtId="0" fontId="19" fillId="0" borderId="40" xfId="0" applyFont="1" applyBorder="1" applyAlignment="1" applyProtection="1">
      <alignment horizontal="center" vertical="center"/>
    </xf>
    <xf numFmtId="0" fontId="19" fillId="0" borderId="31" xfId="0" applyFont="1" applyBorder="1" applyAlignment="1" applyProtection="1">
      <alignment horizontal="center" vertical="center"/>
    </xf>
    <xf numFmtId="0" fontId="19" fillId="0" borderId="41" xfId="0" applyFont="1" applyBorder="1" applyAlignment="1" applyProtection="1">
      <alignment horizontal="center" vertical="center"/>
    </xf>
    <xf numFmtId="0" fontId="19" fillId="0" borderId="42" xfId="0" applyFont="1" applyBorder="1" applyAlignment="1" applyProtection="1">
      <alignment horizontal="center" vertical="center"/>
    </xf>
    <xf numFmtId="0" fontId="19" fillId="0" borderId="32" xfId="0" applyFont="1" applyBorder="1" applyAlignment="1" applyProtection="1">
      <alignment horizontal="center" vertical="center"/>
    </xf>
    <xf numFmtId="0" fontId="19" fillId="0" borderId="43" xfId="0" applyFont="1" applyBorder="1" applyAlignment="1" applyProtection="1">
      <alignment horizontal="center" vertical="center"/>
    </xf>
    <xf numFmtId="0" fontId="6" fillId="4" borderId="68" xfId="0" applyFont="1" applyFill="1" applyBorder="1" applyAlignment="1" applyProtection="1">
      <alignment horizontal="center"/>
    </xf>
    <xf numFmtId="0" fontId="6" fillId="4" borderId="69" xfId="0" applyFont="1" applyFill="1" applyBorder="1" applyAlignment="1" applyProtection="1">
      <alignment horizontal="center"/>
    </xf>
    <xf numFmtId="0" fontId="6" fillId="4" borderId="70" xfId="0" applyFont="1" applyFill="1" applyBorder="1" applyAlignment="1" applyProtection="1">
      <alignment horizontal="center"/>
    </xf>
    <xf numFmtId="0" fontId="8" fillId="7" borderId="83" xfId="0" applyFont="1" applyFill="1" applyBorder="1" applyAlignment="1" applyProtection="1">
      <alignment horizontal="center"/>
    </xf>
    <xf numFmtId="0" fontId="8" fillId="7" borderId="84" xfId="0" applyFont="1" applyFill="1" applyBorder="1" applyAlignment="1" applyProtection="1">
      <alignment horizontal="center"/>
    </xf>
    <xf numFmtId="0" fontId="8" fillId="7" borderId="85" xfId="0" applyFont="1" applyFill="1" applyBorder="1" applyAlignment="1" applyProtection="1">
      <alignment horizontal="center"/>
    </xf>
    <xf numFmtId="165" fontId="13" fillId="2" borderId="23" xfId="0" applyNumberFormat="1" applyFont="1" applyFill="1" applyBorder="1" applyAlignment="1" applyProtection="1">
      <alignment horizontal="center"/>
    </xf>
    <xf numFmtId="165" fontId="13" fillId="2" borderId="26" xfId="0" applyNumberFormat="1" applyFont="1" applyFill="1" applyBorder="1" applyAlignment="1" applyProtection="1">
      <alignment horizontal="center"/>
    </xf>
    <xf numFmtId="165" fontId="13" fillId="2" borderId="24" xfId="0" applyNumberFormat="1" applyFont="1" applyFill="1" applyBorder="1" applyAlignment="1" applyProtection="1">
      <alignment horizontal="center"/>
    </xf>
    <xf numFmtId="0" fontId="9" fillId="10" borderId="81" xfId="2" applyFont="1" applyFill="1" applyBorder="1" applyAlignment="1" applyProtection="1">
      <alignment horizontal="center" vertical="center"/>
      <protection locked="0"/>
    </xf>
    <xf numFmtId="0" fontId="9" fillId="10" borderId="82" xfId="2" applyFont="1" applyFill="1" applyBorder="1" applyAlignment="1" applyProtection="1">
      <alignment horizontal="center" vertical="center"/>
      <protection locked="0"/>
    </xf>
    <xf numFmtId="0" fontId="13" fillId="2" borderId="23" xfId="0" applyFont="1" applyFill="1" applyBorder="1" applyAlignment="1" applyProtection="1">
      <alignment horizontal="center"/>
    </xf>
    <xf numFmtId="0" fontId="13" fillId="2" borderId="24" xfId="0" applyFont="1" applyFill="1" applyBorder="1" applyAlignment="1" applyProtection="1">
      <alignment horizontal="center"/>
    </xf>
    <xf numFmtId="0" fontId="9" fillId="10" borderId="89" xfId="2" applyFont="1" applyFill="1" applyBorder="1" applyAlignment="1" applyProtection="1">
      <alignment horizontal="center" vertical="center"/>
      <protection locked="0"/>
    </xf>
    <xf numFmtId="0" fontId="6" fillId="4" borderId="86" xfId="0" applyFont="1" applyFill="1" applyBorder="1" applyAlignment="1" applyProtection="1">
      <alignment horizontal="center"/>
    </xf>
    <xf numFmtId="0" fontId="6" fillId="4" borderId="87" xfId="0" applyFont="1" applyFill="1" applyBorder="1" applyAlignment="1" applyProtection="1">
      <alignment horizontal="center"/>
    </xf>
    <xf numFmtId="0" fontId="6" fillId="4" borderId="88" xfId="0" applyFont="1" applyFill="1" applyBorder="1" applyAlignment="1" applyProtection="1">
      <alignment horizontal="center"/>
    </xf>
    <xf numFmtId="0" fontId="20" fillId="2" borderId="35" xfId="0" applyFont="1" applyFill="1" applyBorder="1" applyAlignment="1">
      <alignment horizontal="center" vertical="center"/>
    </xf>
    <xf numFmtId="0" fontId="20" fillId="2" borderId="29" xfId="0" applyFont="1" applyFill="1" applyBorder="1" applyAlignment="1">
      <alignment horizontal="center" vertical="center"/>
    </xf>
    <xf numFmtId="0" fontId="20" fillId="2" borderId="36" xfId="0" applyFont="1" applyFill="1" applyBorder="1" applyAlignment="1">
      <alignment horizontal="center" vertical="center"/>
    </xf>
    <xf numFmtId="0" fontId="13" fillId="0" borderId="30" xfId="0" applyFont="1" applyBorder="1" applyAlignment="1">
      <alignment horizontal="center" vertical="center" textRotation="90"/>
    </xf>
    <xf numFmtId="1" fontId="13" fillId="0" borderId="0" xfId="0" applyNumberFormat="1" applyFont="1" applyBorder="1" applyAlignment="1">
      <alignment horizontal="center" vertical="center" textRotation="90"/>
    </xf>
    <xf numFmtId="0" fontId="13" fillId="0" borderId="0" xfId="0" applyFont="1" applyBorder="1" applyAlignment="1">
      <alignment horizontal="center" vertical="center" textRotation="90"/>
    </xf>
    <xf numFmtId="0" fontId="30" fillId="0" borderId="38" xfId="0" applyFont="1" applyBorder="1" applyAlignment="1">
      <alignment horizontal="center" vertical="center"/>
    </xf>
    <xf numFmtId="0" fontId="30" fillId="0" borderId="39" xfId="0" applyFont="1" applyBorder="1" applyAlignment="1">
      <alignment horizontal="center" vertical="center"/>
    </xf>
    <xf numFmtId="0" fontId="13" fillId="0" borderId="32" xfId="0" applyFont="1" applyBorder="1" applyAlignment="1">
      <alignment horizontal="center" vertical="center"/>
    </xf>
    <xf numFmtId="1" fontId="13" fillId="0" borderId="51" xfId="0" applyNumberFormat="1" applyFont="1" applyBorder="1" applyAlignment="1">
      <alignment horizontal="center" vertical="center" textRotation="90"/>
    </xf>
    <xf numFmtId="0" fontId="13" fillId="0" borderId="52" xfId="0" applyFont="1" applyBorder="1" applyAlignment="1">
      <alignment horizontal="center" vertical="center" textRotation="90"/>
    </xf>
    <xf numFmtId="1" fontId="13" fillId="0" borderId="30" xfId="0" applyNumberFormat="1" applyFont="1" applyBorder="1" applyAlignment="1">
      <alignment horizontal="center" vertical="center" textRotation="90"/>
    </xf>
    <xf numFmtId="0" fontId="20" fillId="0" borderId="75" xfId="0" applyFont="1" applyBorder="1" applyAlignment="1">
      <alignment horizontal="center" vertical="center"/>
    </xf>
    <xf numFmtId="0" fontId="20" fillId="0" borderId="32" xfId="0" applyFont="1" applyBorder="1" applyAlignment="1">
      <alignment horizontal="center" vertical="center"/>
    </xf>
    <xf numFmtId="0" fontId="31" fillId="6" borderId="55" xfId="0" applyFont="1" applyFill="1" applyBorder="1" applyAlignment="1" applyProtection="1">
      <alignment horizontal="center"/>
    </xf>
    <xf numFmtId="0" fontId="31" fillId="6" borderId="56" xfId="0" applyFont="1" applyFill="1" applyBorder="1" applyAlignment="1" applyProtection="1">
      <alignment horizontal="center"/>
    </xf>
    <xf numFmtId="0" fontId="31" fillId="6" borderId="57" xfId="0" applyFont="1" applyFill="1" applyBorder="1" applyAlignment="1" applyProtection="1">
      <alignment horizontal="center"/>
    </xf>
    <xf numFmtId="0" fontId="11" fillId="0" borderId="0" xfId="0" applyFont="1" applyBorder="1" applyAlignment="1">
      <alignment horizontal="center" vertical="center" textRotation="90"/>
    </xf>
    <xf numFmtId="0" fontId="11" fillId="0" borderId="25" xfId="0" applyFont="1" applyBorder="1" applyAlignment="1">
      <alignment horizontal="center" vertical="center" textRotation="90"/>
    </xf>
    <xf numFmtId="0" fontId="15" fillId="0" borderId="0" xfId="0" applyFont="1" applyAlignment="1">
      <alignment horizontal="center"/>
    </xf>
    <xf numFmtId="0" fontId="32" fillId="13" borderId="76" xfId="0" applyFont="1" applyFill="1" applyBorder="1" applyAlignment="1">
      <alignment horizontal="center" vertical="center" textRotation="90"/>
    </xf>
    <xf numFmtId="0" fontId="32" fillId="13" borderId="77" xfId="0" applyFont="1" applyFill="1" applyBorder="1" applyAlignment="1">
      <alignment horizontal="center" vertical="center" textRotation="90"/>
    </xf>
    <xf numFmtId="0" fontId="32" fillId="13" borderId="78" xfId="0" applyFont="1" applyFill="1" applyBorder="1" applyAlignment="1">
      <alignment horizontal="center" vertical="center" textRotation="90"/>
    </xf>
    <xf numFmtId="0" fontId="32" fillId="14" borderId="76" xfId="0" applyFont="1" applyFill="1" applyBorder="1" applyAlignment="1">
      <alignment horizontal="center" vertical="center" textRotation="90"/>
    </xf>
    <xf numFmtId="0" fontId="32" fillId="14" borderId="77" xfId="0" applyFont="1" applyFill="1" applyBorder="1" applyAlignment="1">
      <alignment horizontal="center" vertical="center" textRotation="90"/>
    </xf>
    <xf numFmtId="0" fontId="32" fillId="14" borderId="78" xfId="0" applyFont="1" applyFill="1" applyBorder="1" applyAlignment="1">
      <alignment horizontal="center" vertical="center" textRotation="90"/>
    </xf>
    <xf numFmtId="0" fontId="32" fillId="11" borderId="76" xfId="0" applyFont="1" applyFill="1" applyBorder="1" applyAlignment="1">
      <alignment horizontal="center" vertical="center" textRotation="90"/>
    </xf>
    <xf numFmtId="0" fontId="32" fillId="11" borderId="77" xfId="0" applyFont="1" applyFill="1" applyBorder="1" applyAlignment="1">
      <alignment horizontal="center" vertical="center" textRotation="90"/>
    </xf>
    <xf numFmtId="0" fontId="32" fillId="11" borderId="78" xfId="0" applyFont="1" applyFill="1" applyBorder="1" applyAlignment="1">
      <alignment horizontal="center" vertical="center" textRotation="90"/>
    </xf>
    <xf numFmtId="0" fontId="32" fillId="12" borderId="76" xfId="0" applyFont="1" applyFill="1" applyBorder="1" applyAlignment="1">
      <alignment horizontal="center" vertical="center" textRotation="90"/>
    </xf>
    <xf numFmtId="0" fontId="32" fillId="12" borderId="77" xfId="0" applyFont="1" applyFill="1" applyBorder="1" applyAlignment="1">
      <alignment horizontal="center" vertical="center" textRotation="90"/>
    </xf>
    <xf numFmtId="0" fontId="32" fillId="12" borderId="78" xfId="0" applyFont="1" applyFill="1" applyBorder="1" applyAlignment="1">
      <alignment horizontal="center" vertical="center" textRotation="90"/>
    </xf>
    <xf numFmtId="0" fontId="7" fillId="0" borderId="83" xfId="0" applyFont="1" applyBorder="1" applyProtection="1"/>
    <xf numFmtId="0" fontId="7" fillId="0" borderId="84" xfId="0" applyFont="1" applyBorder="1" applyProtection="1"/>
    <xf numFmtId="165" fontId="7" fillId="0" borderId="84" xfId="0" applyNumberFormat="1" applyFont="1" applyBorder="1" applyAlignment="1" applyProtection="1">
      <alignment horizontal="center"/>
    </xf>
    <xf numFmtId="165" fontId="23" fillId="0" borderId="85" xfId="0" applyNumberFormat="1" applyFont="1" applyBorder="1" applyAlignment="1" applyProtection="1">
      <alignment horizontal="right"/>
    </xf>
    <xf numFmtId="165" fontId="21" fillId="0" borderId="85" xfId="0" applyNumberFormat="1" applyFont="1" applyBorder="1" applyAlignment="1" applyProtection="1">
      <alignment horizontal="right"/>
    </xf>
    <xf numFmtId="0" fontId="34" fillId="7" borderId="6" xfId="0" applyFont="1" applyFill="1" applyBorder="1" applyAlignment="1" applyProtection="1">
      <alignment horizontal="center" vertical="center"/>
    </xf>
    <xf numFmtId="169" fontId="22" fillId="10" borderId="94" xfId="0" applyNumberFormat="1" applyFont="1" applyFill="1" applyBorder="1" applyAlignment="1" applyProtection="1">
      <alignment horizontal="center" vertical="center"/>
    </xf>
    <xf numFmtId="169" fontId="22" fillId="10" borderId="91" xfId="0" applyNumberFormat="1" applyFont="1" applyFill="1" applyBorder="1" applyAlignment="1" applyProtection="1">
      <alignment horizontal="center" vertical="center"/>
    </xf>
    <xf numFmtId="169" fontId="22" fillId="10" borderId="95" xfId="0" applyNumberFormat="1" applyFont="1" applyFill="1" applyBorder="1" applyAlignment="1" applyProtection="1">
      <alignment horizontal="center" vertical="center"/>
    </xf>
    <xf numFmtId="0" fontId="22" fillId="10" borderId="92" xfId="0" applyFont="1" applyFill="1" applyBorder="1" applyAlignment="1" applyProtection="1">
      <alignment horizontal="center" vertical="center"/>
    </xf>
    <xf numFmtId="0" fontId="22" fillId="10" borderId="90" xfId="0" applyFont="1" applyFill="1" applyBorder="1" applyAlignment="1" applyProtection="1">
      <alignment horizontal="center" vertical="center"/>
    </xf>
    <xf numFmtId="0" fontId="22" fillId="10" borderId="93" xfId="0" applyFont="1" applyFill="1" applyBorder="1" applyAlignment="1" applyProtection="1">
      <alignment horizontal="center" vertical="center"/>
    </xf>
    <xf numFmtId="0" fontId="22" fillId="10" borderId="68" xfId="0" applyFont="1" applyFill="1" applyBorder="1" applyAlignment="1" applyProtection="1">
      <alignment horizontal="center" vertical="center"/>
    </xf>
    <xf numFmtId="0" fontId="22" fillId="10" borderId="69" xfId="0" applyFont="1" applyFill="1" applyBorder="1" applyAlignment="1" applyProtection="1">
      <alignment horizontal="center" vertical="center"/>
    </xf>
    <xf numFmtId="0" fontId="22" fillId="10" borderId="70" xfId="0" applyFont="1" applyFill="1" applyBorder="1" applyAlignment="1" applyProtection="1">
      <alignment horizontal="center" vertical="center"/>
    </xf>
    <xf numFmtId="1" fontId="22" fillId="10" borderId="94" xfId="0" applyNumberFormat="1" applyFont="1" applyFill="1" applyBorder="1" applyAlignment="1" applyProtection="1">
      <alignment horizontal="center" vertical="center"/>
    </xf>
    <xf numFmtId="1" fontId="22" fillId="10" borderId="91" xfId="0" applyNumberFormat="1" applyFont="1" applyFill="1" applyBorder="1" applyAlignment="1" applyProtection="1">
      <alignment horizontal="center" vertical="center"/>
    </xf>
    <xf numFmtId="1" fontId="22" fillId="10" borderId="95" xfId="0" applyNumberFormat="1" applyFont="1" applyFill="1" applyBorder="1" applyAlignment="1" applyProtection="1">
      <alignment horizontal="center" vertical="center"/>
    </xf>
    <xf numFmtId="0" fontId="15" fillId="0" borderId="0" xfId="0" applyFont="1" applyProtection="1"/>
    <xf numFmtId="1" fontId="7" fillId="0" borderId="83" xfId="0" applyNumberFormat="1" applyFont="1" applyBorder="1" applyAlignment="1" applyProtection="1">
      <alignment horizontal="left"/>
      <protection locked="0"/>
    </xf>
    <xf numFmtId="1" fontId="7" fillId="0" borderId="84" xfId="0" applyNumberFormat="1" applyFont="1" applyBorder="1" applyAlignment="1" applyProtection="1">
      <alignment horizontal="left"/>
      <protection locked="0"/>
    </xf>
    <xf numFmtId="0" fontId="22" fillId="7" borderId="6" xfId="0" applyFont="1" applyFill="1" applyBorder="1" applyAlignment="1" applyProtection="1">
      <alignment horizontal="center" vertical="center"/>
      <protection locked="0"/>
    </xf>
    <xf numFmtId="170" fontId="7" fillId="0" borderId="4" xfId="0" applyNumberFormat="1" applyFont="1" applyBorder="1" applyAlignment="1" applyProtection="1">
      <alignment horizontal="center"/>
    </xf>
    <xf numFmtId="170" fontId="7" fillId="0" borderId="2" xfId="0" applyNumberFormat="1" applyFont="1" applyBorder="1" applyAlignment="1" applyProtection="1">
      <alignment horizontal="center"/>
    </xf>
    <xf numFmtId="0" fontId="35" fillId="0" borderId="0" xfId="0" applyFont="1" applyAlignment="1" applyProtection="1">
      <alignment horizontal="center"/>
    </xf>
    <xf numFmtId="0" fontId="18" fillId="0" borderId="96" xfId="0" applyFont="1" applyBorder="1" applyAlignment="1" applyProtection="1">
      <alignment horizontal="center" vertical="center"/>
    </xf>
    <xf numFmtId="0" fontId="33" fillId="0" borderId="0" xfId="0" applyFont="1" applyProtection="1"/>
  </cellXfs>
  <cellStyles count="3">
    <cellStyle name="Hiperlink" xfId="2" builtinId="8"/>
    <cellStyle name="Normal" xfId="0" builtinId="0"/>
    <cellStyle name="Separador de milhares 2" xfId="1"/>
  </cellStyles>
  <dxfs count="85">
    <dxf>
      <fill>
        <patternFill>
          <bgColor rgb="FFFFFF00"/>
        </patternFill>
      </fill>
    </dxf>
    <dxf>
      <fill>
        <patternFill>
          <bgColor rgb="FFFFFF00"/>
        </patternFill>
      </fill>
    </dxf>
    <dxf>
      <font>
        <b/>
        <i/>
        <color theme="1"/>
      </font>
      <fill>
        <patternFill>
          <bgColor theme="0" tint="-0.34998626667073579"/>
        </patternFill>
      </fill>
    </dxf>
    <dxf>
      <font>
        <b/>
        <i val="0"/>
        <color rgb="FFFF0000"/>
      </font>
      <fill>
        <gradientFill degree="90">
          <stop position="0">
            <color rgb="FFFF9900"/>
          </stop>
          <stop position="1">
            <color rgb="FFFFFF00"/>
          </stop>
        </gradientFill>
      </fill>
    </dxf>
    <dxf>
      <font>
        <b/>
        <i val="0"/>
        <color theme="1"/>
      </font>
      <fill>
        <patternFill>
          <bgColor rgb="FF00FF00"/>
        </patternFill>
      </fill>
      <border>
        <left/>
        <right/>
        <top/>
        <bottom/>
        <vertical/>
        <horizontal/>
      </border>
    </dxf>
    <dxf>
      <font>
        <b/>
        <i val="0"/>
        <color theme="1"/>
      </font>
      <fill>
        <gradientFill degree="90">
          <stop position="0">
            <color theme="9" tint="-0.25098422193060094"/>
          </stop>
          <stop position="0.5">
            <color theme="9" tint="0.59999389629810485"/>
          </stop>
          <stop position="1">
            <color theme="9" tint="-0.25098422193060094"/>
          </stop>
        </gradientFill>
      </fill>
    </dxf>
    <dxf>
      <fill>
        <patternFill>
          <bgColor rgb="FFFFCCCC"/>
        </patternFill>
      </fill>
    </dxf>
    <dxf>
      <fill>
        <patternFill>
          <bgColor rgb="FFFFFF99"/>
        </patternFill>
      </fill>
    </dxf>
    <dxf>
      <font>
        <b/>
        <i val="0"/>
      </font>
      <fill>
        <patternFill>
          <bgColor rgb="FF00B050"/>
        </patternFill>
      </fill>
    </dxf>
    <dxf>
      <font>
        <b/>
        <i val="0"/>
      </font>
      <border>
        <left style="thin">
          <color rgb="FF00B0F0"/>
        </left>
        <right style="thin">
          <color rgb="FF00B0F0"/>
        </right>
        <top style="thin">
          <color rgb="FF00B0F0"/>
        </top>
        <bottom style="thin">
          <color rgb="FF00B0F0"/>
        </bottom>
        <vertical/>
        <horizontal/>
      </border>
    </dxf>
    <dxf>
      <font>
        <b/>
        <i val="0"/>
      </font>
      <border>
        <left style="thin">
          <color rgb="FF00B0F0"/>
        </left>
        <right style="thin">
          <color rgb="FF00B0F0"/>
        </right>
        <top style="thin">
          <color rgb="FF00B0F0"/>
        </top>
        <bottom style="thin">
          <color rgb="FF00B0F0"/>
        </bottom>
        <vertical/>
        <horizontal/>
      </border>
    </dxf>
    <dxf>
      <font>
        <b val="0"/>
        <i val="0"/>
        <color theme="0" tint="-0.24994659260841701"/>
      </font>
    </dxf>
    <dxf>
      <font>
        <b val="0"/>
        <i val="0"/>
        <color theme="0" tint="-0.24994659260841701"/>
      </font>
    </dxf>
    <dxf>
      <font>
        <b val="0"/>
        <i val="0"/>
        <color theme="0" tint="-0.24994659260841701"/>
      </font>
    </dxf>
    <dxf>
      <font>
        <b/>
        <i val="0"/>
      </font>
      <fill>
        <gradientFill degree="90">
          <stop position="0">
            <color theme="9" tint="-0.25098422193060094"/>
          </stop>
          <stop position="0.5">
            <color theme="9" tint="0.59999389629810485"/>
          </stop>
          <stop position="1">
            <color theme="9" tint="-0.25098422193060094"/>
          </stop>
        </gradientFill>
      </fill>
    </dxf>
    <dxf>
      <font>
        <b/>
        <i val="0"/>
        <color theme="1"/>
      </font>
      <fill>
        <gradientFill degree="90">
          <stop position="0">
            <color theme="9" tint="-0.25098422193060094"/>
          </stop>
          <stop position="0.5">
            <color theme="9" tint="0.59999389629810485"/>
          </stop>
          <stop position="1">
            <color theme="9" tint="-0.25098422193060094"/>
          </stop>
        </gradientFill>
      </fill>
    </dxf>
    <dxf>
      <font>
        <b/>
        <i val="0"/>
        <color theme="1"/>
      </font>
      <fill>
        <gradientFill degree="90">
          <stop position="0">
            <color theme="5" tint="0.40000610370189521"/>
          </stop>
          <stop position="1">
            <color theme="5" tint="0.80001220740379042"/>
          </stop>
        </gradientFill>
      </fill>
    </dxf>
    <dxf>
      <font>
        <b/>
        <i val="0"/>
        <color theme="1"/>
      </font>
      <fill>
        <gradientFill degree="90">
          <stop position="0">
            <color theme="0" tint="-0.25098422193060094"/>
          </stop>
          <stop position="1">
            <color theme="0" tint="-5.0965910824915313E-2"/>
          </stop>
        </gradientFill>
      </fill>
    </dxf>
    <dxf>
      <font>
        <b/>
        <i val="0"/>
        <color rgb="FFFF0000"/>
      </font>
      <fill>
        <gradientFill degree="90">
          <stop position="0">
            <color theme="9"/>
          </stop>
          <stop position="1">
            <color rgb="FFFFFF00"/>
          </stop>
        </gradientFill>
      </fill>
    </dxf>
    <dxf>
      <font>
        <b/>
        <i val="0"/>
        <color theme="1"/>
      </font>
      <fill>
        <patternFill>
          <bgColor rgb="FF00FF0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FF0000"/>
        </patternFill>
      </fill>
    </dxf>
    <dxf>
      <font>
        <b/>
        <i val="0"/>
      </font>
      <fill>
        <patternFill>
          <bgColor rgb="FF00B05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b/>
        <i val="0"/>
      </font>
      <fill>
        <patternFill>
          <bgColor rgb="FF00B050"/>
        </patternFill>
      </fill>
    </dxf>
    <dxf>
      <fill>
        <patternFill>
          <bgColor rgb="FFFF0000"/>
        </patternFill>
      </fill>
    </dxf>
    <dxf>
      <fill>
        <patternFill>
          <bgColor rgb="FFFF0000"/>
        </patternFill>
      </fill>
    </dxf>
    <dxf>
      <font>
        <b/>
        <i val="0"/>
      </font>
      <fill>
        <patternFill>
          <bgColor rgb="FF00B050"/>
        </patternFill>
      </fill>
    </dxf>
    <dxf>
      <font>
        <b/>
        <i val="0"/>
      </font>
      <fill>
        <gradientFill degree="90">
          <stop position="0">
            <color theme="9" tint="-0.25098422193060094"/>
          </stop>
          <stop position="0.5">
            <color theme="9" tint="0.59999389629810485"/>
          </stop>
          <stop position="1">
            <color theme="9" tint="-0.25098422193060094"/>
          </stop>
        </gradient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s>
  <tableStyles count="0" defaultTableStyle="TableStyleMedium9" defaultPivotStyle="PivotStyleLight16"/>
  <colors>
    <mruColors>
      <color rgb="FF00FF00"/>
      <color rgb="FFFF0066"/>
      <color rgb="FFFF9933"/>
      <color rgb="FFFF9900"/>
      <color rgb="FF00B050"/>
      <color rgb="FF009687"/>
      <color rgb="FFFFFF66"/>
      <color rgb="FF339933"/>
      <color rgb="FFAFFF32"/>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Link="$P$8" fmlaRange="'Sorteio&amp;Cálculos'!$D$7:$D$39" sel="6" val="5"/>
</file>

<file path=xl/ctrlProps/ctrlProp2.xml><?xml version="1.0" encoding="utf-8"?>
<formControlPr xmlns="http://schemas.microsoft.com/office/spreadsheetml/2009/9/main" objectType="Drop" dropStyle="combo" dx="16" fmlaLink="$P$9" fmlaRange="'Sorteio&amp;Cálculos'!$BG$7:$BG$15" sel="5" val="0"/>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www.fifa.com/worldcup/matches/index.html" TargetMode="External"/><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26" Type="http://schemas.openxmlformats.org/officeDocument/2006/relationships/image" Target="../media/image33.png"/><Relationship Id="rId3" Type="http://schemas.openxmlformats.org/officeDocument/2006/relationships/image" Target="../media/image10.png"/><Relationship Id="rId21" Type="http://schemas.openxmlformats.org/officeDocument/2006/relationships/image" Target="../media/image28.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5" Type="http://schemas.openxmlformats.org/officeDocument/2006/relationships/image" Target="../media/image32.png"/><Relationship Id="rId33" Type="http://schemas.openxmlformats.org/officeDocument/2006/relationships/image" Target="../media/image40.png"/><Relationship Id="rId2" Type="http://schemas.openxmlformats.org/officeDocument/2006/relationships/image" Target="../media/image9.png"/><Relationship Id="rId16" Type="http://schemas.openxmlformats.org/officeDocument/2006/relationships/image" Target="../media/image23.png"/><Relationship Id="rId20" Type="http://schemas.openxmlformats.org/officeDocument/2006/relationships/image" Target="../media/image27.png"/><Relationship Id="rId29" Type="http://schemas.openxmlformats.org/officeDocument/2006/relationships/image" Target="../media/image36.png"/><Relationship Id="rId1" Type="http://schemas.openxmlformats.org/officeDocument/2006/relationships/image" Target="../media/image8.jpeg"/><Relationship Id="rId6" Type="http://schemas.openxmlformats.org/officeDocument/2006/relationships/image" Target="../media/image13.png"/><Relationship Id="rId11" Type="http://schemas.openxmlformats.org/officeDocument/2006/relationships/image" Target="../media/image18.png"/><Relationship Id="rId24" Type="http://schemas.openxmlformats.org/officeDocument/2006/relationships/image" Target="../media/image31.png"/><Relationship Id="rId32" Type="http://schemas.openxmlformats.org/officeDocument/2006/relationships/image" Target="../media/image39.png"/><Relationship Id="rId5" Type="http://schemas.openxmlformats.org/officeDocument/2006/relationships/image" Target="../media/image12.png"/><Relationship Id="rId15" Type="http://schemas.openxmlformats.org/officeDocument/2006/relationships/image" Target="../media/image22.png"/><Relationship Id="rId23" Type="http://schemas.openxmlformats.org/officeDocument/2006/relationships/image" Target="../media/image30.png"/><Relationship Id="rId28" Type="http://schemas.openxmlformats.org/officeDocument/2006/relationships/image" Target="../media/image35.png"/><Relationship Id="rId10" Type="http://schemas.openxmlformats.org/officeDocument/2006/relationships/image" Target="../media/image17.png"/><Relationship Id="rId19" Type="http://schemas.openxmlformats.org/officeDocument/2006/relationships/image" Target="../media/image26.png"/><Relationship Id="rId31" Type="http://schemas.openxmlformats.org/officeDocument/2006/relationships/image" Target="../media/image38.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 Id="rId22" Type="http://schemas.openxmlformats.org/officeDocument/2006/relationships/image" Target="../media/image29.png"/><Relationship Id="rId27" Type="http://schemas.openxmlformats.org/officeDocument/2006/relationships/image" Target="../media/image34.png"/><Relationship Id="rId30" Type="http://schemas.openxmlformats.org/officeDocument/2006/relationships/image" Target="../media/image37.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12</xdr:col>
      <xdr:colOff>93427</xdr:colOff>
      <xdr:row>6</xdr:row>
      <xdr:rowOff>36633</xdr:rowOff>
    </xdr:from>
    <xdr:to>
      <xdr:col>14</xdr:col>
      <xdr:colOff>261112</xdr:colOff>
      <xdr:row>8</xdr:row>
      <xdr:rowOff>163491</xdr:rowOff>
    </xdr:to>
    <xdr:pic>
      <xdr:nvPicPr>
        <xdr:cNvPr id="3" name="Imagem 2" descr="FWCRUS18.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6913327" y="1522533"/>
          <a:ext cx="520110" cy="57453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19050</xdr:colOff>
          <xdr:row>7</xdr:row>
          <xdr:rowOff>38100</xdr:rowOff>
        </xdr:from>
        <xdr:to>
          <xdr:col>6</xdr:col>
          <xdr:colOff>723900</xdr:colOff>
          <xdr:row>7</xdr:row>
          <xdr:rowOff>209550</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948927</xdr:colOff>
          <xdr:row>6</xdr:row>
          <xdr:rowOff>44052</xdr:rowOff>
        </xdr:from>
        <xdr:to>
          <xdr:col>8</xdr:col>
          <xdr:colOff>114037</xdr:colOff>
          <xdr:row>8</xdr:row>
          <xdr:rowOff>169995</xdr:rowOff>
        </xdr:to>
        <xdr:pic>
          <xdr:nvPicPr>
            <xdr:cNvPr id="1035" name="Picture 7"/>
            <xdr:cNvPicPr preferRelativeResize="0">
              <a:picLocks noChangeArrowheads="1"/>
              <a:extLst>
                <a:ext uri="{84589F7E-364E-4C9E-8A38-B11213B215E9}">
                  <a14:cameraTool cellRange="BandDest" spid="_x0000_s1081"/>
                </a:ext>
              </a:extLst>
            </xdr:cNvPicPr>
          </xdr:nvPicPr>
          <xdr:blipFill>
            <a:blip xmlns:r="http://schemas.openxmlformats.org/officeDocument/2006/relationships" r:embed="rId3"/>
            <a:srcRect/>
            <a:stretch>
              <a:fillRect/>
            </a:stretch>
          </xdr:blipFill>
          <xdr:spPr bwMode="auto">
            <a:xfrm>
              <a:off x="4413646" y="669130"/>
              <a:ext cx="576000" cy="576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196466</xdr:colOff>
          <xdr:row>84</xdr:row>
          <xdr:rowOff>30961</xdr:rowOff>
        </xdr:from>
        <xdr:to>
          <xdr:col>14</xdr:col>
          <xdr:colOff>423540</xdr:colOff>
          <xdr:row>88</xdr:row>
          <xdr:rowOff>26433</xdr:rowOff>
        </xdr:to>
        <xdr:pic>
          <xdr:nvPicPr>
            <xdr:cNvPr id="1036" name="Picture 8"/>
            <xdr:cNvPicPr preferRelativeResize="0">
              <a:picLocks noChangeAspect="1" noChangeArrowheads="1"/>
              <a:extLst>
                <a:ext uri="{84589F7E-364E-4C9E-8A38-B11213B215E9}">
                  <a14:cameraTool cellRange="BandCamp" spid="_x0000_s1082"/>
                </a:ext>
              </a:extLst>
            </xdr:cNvPicPr>
          </xdr:nvPicPr>
          <xdr:blipFill>
            <a:blip xmlns:r="http://schemas.openxmlformats.org/officeDocument/2006/relationships" r:embed="rId4"/>
            <a:srcRect/>
            <a:stretch>
              <a:fillRect/>
            </a:stretch>
          </xdr:blipFill>
          <xdr:spPr bwMode="auto">
            <a:xfrm>
              <a:off x="6806816" y="18518986"/>
              <a:ext cx="789049" cy="7860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6</xdr:col>
          <xdr:colOff>104775</xdr:colOff>
          <xdr:row>8</xdr:row>
          <xdr:rowOff>171450</xdr:rowOff>
        </xdr:to>
        <xdr:sp macro="" textlink="">
          <xdr:nvSpPr>
            <xdr:cNvPr id="1052" name="Drop Down 28" hidden="1">
              <a:extLst>
                <a:ext uri="{63B3BB69-23CF-44E3-9099-C40C66FF867C}">
                  <a14:compatExt spid="_x0000_s1052"/>
                </a:ext>
              </a:extLst>
            </xdr:cNvPr>
            <xdr:cNvSpPr/>
          </xdr:nvSpPr>
          <xdr:spPr>
            <a:xfrm>
              <a:off x="0" y="0"/>
              <a:ext cx="0" cy="0"/>
            </a:xfrm>
            <a:prstGeom prst="rect">
              <a:avLst/>
            </a:prstGeom>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238124</xdr:colOff>
          <xdr:row>6</xdr:row>
          <xdr:rowOff>57150</xdr:rowOff>
        </xdr:from>
        <xdr:to>
          <xdr:col>14</xdr:col>
          <xdr:colOff>1678124</xdr:colOff>
          <xdr:row>13</xdr:row>
          <xdr:rowOff>144600</xdr:rowOff>
        </xdr:to>
        <xdr:pic>
          <xdr:nvPicPr>
            <xdr:cNvPr id="6147" name="Picture 1"/>
            <xdr:cNvPicPr preferRelativeResize="0">
              <a:picLocks noChangeArrowheads="1"/>
              <a:extLst>
                <a:ext uri="{84589F7E-364E-4C9E-8A38-B11213B215E9}">
                  <a14:cameraTool cellRange="BandCamp" spid="_x0000_s6169"/>
                </a:ext>
              </a:extLst>
            </xdr:cNvPicPr>
          </xdr:nvPicPr>
          <xdr:blipFill>
            <a:blip xmlns:r="http://schemas.openxmlformats.org/officeDocument/2006/relationships" r:embed="rId1"/>
            <a:srcRect/>
            <a:stretch>
              <a:fillRect/>
            </a:stretch>
          </xdr:blipFill>
          <xdr:spPr bwMode="auto">
            <a:xfrm>
              <a:off x="6524624" y="1466850"/>
              <a:ext cx="1440000" cy="1440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4</xdr:col>
      <xdr:colOff>0</xdr:colOff>
      <xdr:row>35</xdr:row>
      <xdr:rowOff>0</xdr:rowOff>
    </xdr:from>
    <xdr:to>
      <xdr:col>4</xdr:col>
      <xdr:colOff>304800</xdr:colOff>
      <xdr:row>35</xdr:row>
      <xdr:rowOff>304800</xdr:rowOff>
    </xdr:to>
    <xdr:sp macro="" textlink="">
      <xdr:nvSpPr>
        <xdr:cNvPr id="5153" name="AutoShape 33" descr="data:image/jpeg;base64,/9j/4AAQSkZJRgABAQAAAQABAAD/2wCEAAkGBxQQEBUQEBMSEA8UEBoXGBIQEBMVFhUWFRUWGBQXFxUYHCggGCAxGxQVLTEhJSorLjouFyA/ODMsPCgtLisBCgoKDg0OGxAQGywkHiQsLCwsLCwsLCwsNCwsLCwsLCwsLCwsLCwsLCwsLCwsLCwsLCwsLywsLCwsLCwsLCwsLP/AABEIAOEA4QMBEQACEQEDEQH/xAAcAAEAAQUBAQAAAAAAAAAAAAAABwECBQYIBAP/xAA/EAABAwICBgcECAYCAwAAAAABAAIDBBEGQQUHITFRYRITInGBkbEUMkKhI1JicsHC0fBDU4KSorIz4SRj0v/EABsBAQACAwEBAAAAAAAAAAAAAAAEBQEDBgIH/8QAMxEBAAIBAgQEBAUEAgMAAAAAAAECAwQRBRIhMRMyQVEiYYHhI3GhsdEUQpHBUvEkYvD/2gAMAwEAAhEDEQA/AJxQEBAQEBAQEBAQEBAQEBAQEBAQEBAQEBAQEBAQEBAQEBAQEBAQEBAQEBAQEBAQEBAQEBAQEBAQEBAQEBAQEBAQEBAQEBAQEBAQEBAQEBAQEBAQEBAQEBAQEBAQEBAQEBAQEHmq6+KEXlkZGPtva31RmImezAVmsDR8Ww1DXHgxrnfO1l4nJSO8pNNFqL+Wk/4YyXWvQN3de7m2Nv4uXjx6e7fHCtXP9n6wpHrZoDvFQ3m6Nv4PTx6e5PCdXH9v6wyVLrD0fIbe0Bh4Pa4fO1l6jLSfVpvodRTvSWfotJwzC8Mscv3HtJ8gvcTuizWY6TD1rLAgICAgICAgICAgICAgICAgICAgo42F0Gm4l1i0tHdrT7RN9WM9nxd+i1Xy1p3TtNw/NqOtY2j3lGenNZdbUXDHinjPwxbD/dvUW2ptPbovsHBMNOuSeaf0ahUVL5CTI5zyTe7nE+q0TaZ7ytceDHjjalYh8lhtEBAQXxTOYbscWni0keizEzHZrvipeNrxEtq0LrFrqaw6zr2D4J+1/lvC3V1Fo79VZn4NgydafDP6JKw3rQpakhk96WU7O2bsJ5Oy8fNSqZ62UWp4Xnwddt494b0x4cAQQQRcEG4I4grcrVyAgICAgICAgICAgICAgICDHaa0zFSRmSZwaLXAuLn9BtG3mOIWJtERvL3jx2yW5axvKFMYaw5qwmOImKDgN5/fE+QULJqJnpV0+i4PTH8WXrPt6NJc65udpJ3nNRl3EbdlEZEH3pKOSY2ijklPCNjnnyaFmKzPZrvlpTzTEfVl4MGV7xdtJPb7TOh/tZe4w3n0RrcR01e94XyYH0g0XNJN4AO+QKz4N/Z5jiWln++GKrdEzwbZoJohxkie0eZC8TS0d4SaajFfy2ifq8a8twgINnwnjep0eQGu62C+2GQm3Pon4St+PPavSeyq1nCsWfrX4bJwwviiDSEfTgd2wO1E732HmMxzU2l4tG8OV1GmyYLcuSNmcXtoEBAQEBAQEBAQEBAQEGDxTiOOhiL3kdO2xvoSO/cM/Mjza0VjeW7T6e+e8UpCAcS4ilrpS+Rx6N9jb+RPP5DJV2TLN5dnotDTTU2jv6ywy1pojDccLauqqttI8ezU5/iSg9Jw+xHvPebDvW6mC1lZq+LYcHwx8U/L+UoaD1b0NNYuj9pkHx1HaHgwdn5HvUuuClfm5/PxXUZem+0fL+W2QxNYOixrWNGTQAPILdsrptNusr0YEAi+w7Qg17TOCqKruZIGNef4kX0b++7dh8QVrtipbvCZg1+ow+W30nqjbEuqiaEGSjd7TGP4brNlA5fC/wCR5KLfTTHWvVe6XjeO/wAOWOWff0R5LE5ji14LXNNi1wIII3gg7Qo0xsu62i0bx2WI9PXovSUtLK2aB5jkadhHoRmOS9VvNZ3hH1Gnx56cl4T5gTGkeko+ibR1TB2477x9ZnEeisceSLw47W6K+lvtPb0lti2IQgICAgICAgICAgIMbp7S7KSF00hAABsCd5tfy4/ibBYtMRG8vePHbJaK1jrLnfE+IJK6YyPJ6N+y0+pHH0GxVuTJN5drodFTTU2jv6ywy1pwjCbNX2r6CGNlXOWVUz2h7LEOiYDtBb9c8/Lip2HDERvPVynEeJ5L2nHT4YjpPukRSVKICAgICAgINaxfgun0i0l46uoA7M7B2uQcPjbyPgQtWTFW8fNO0evy6aenWvrCCMRaAmoJjDUNsd7XjayRv1mnPu3hQL0mk7S6/TarHqKc1P8Api14SXq0ZXyU0rZoXFkjDcEeh4jkvVbTWd4aNRgpnpNL+ronBmJmaRphK2zZG9mSP6rv0OSsqXi8bw4jVaa+nyTS30/JsC9o4gICAgICAgICC17gBcmwA2k7gEEC6zcUGrnMTCepYbW48iPmedh8IUHUZd55YdVwfReHTxbd57fk0hRl4IwIy3rVtjg0L/Z6gk0b3b9/UuO9w+ycx4jO8jDm5ek9lPxPh0Z6+JTzR+qdI3hwDmkOaRcEG4IO4g5qe5KY2naVyMCAgICAgICDGYi0FDXwGCdt2na1w95jsnNOR9c15vSLxtLfptTfT356T93POKMPS6PqDBML5skA7MjMnDhzGRVbek0naXa6TVU1OPnr9YYheEpsGCcSO0fVNl2mJ3ZkYPiYc+8bwtuHJyW+Su4lo41GLp5o7fw6Op5myNa9hDmOaHNcNxBFwR4KycVMbS+qAgICAgICAgINK1o4h9kpOg0/SzbB3Z/vgCtWa/JXdO4dpf6jNFZ7R1lATnEm5JJO8neTmq128REdIUQTZq0wOyGnM9XG181RHbq5G3DInD3SDmRv5WHFTsOGIjefVynE+I2vk5Mc7RX1j1lpusHALqAmenvJRk97ob5OObeDvPidObDy9Y7LTh3E4zxyZOlv3aKo64SDq4x6aMilqiXUhNmvO0wk+rOWSk4c3L0nspOJ8M8X8TH5vWPf7puY8OAc0gtIuCDcEHcQVOcpMbdJVQEBAQEBAQEGCxlhpmkaYwus2QdqOS21j/0O4j9AteTHF42S9Fq7abJFo7esOc66kfBI+GVpbIxxa5pyI/e9VsxMTtLt8eSuSsXr2l8FhsTVqYxB10DqN5u+DtMvnG47vB3+wU/T35q7ezkOMaXws3PXtb9/VJKkKgQEBAQEBAQUKDnzWhpn2rSDwDeOL6NvDZ7x87+agai29tvZ13BcHh4Oee9v2ago64bjqvw57bWh0gvTwWe+42Odf6NnmLnk08VuwU5rKviur8DDtXvbp/Kf1YuNWyMDgWuAc0ixBFwQd4IzRmJmOsIS1kYCNGTVUrS6kJu5g2mEn8nPJQc2Hl6x2dTwzicZfw8nm9J9/uj5Rl2kHVxj00hbS1RJpCbNedphJ9WcslJw5uXpPZS8T4Z4seLj83rHv903MeHAOaQWkXBBuCDuIOanOVmNukqowICAgICAgIIq104du1ukIxtFo5rZg7I3nx2eLeCiamn9zoeCavaZwW/OP9okUN0rPYH0x7HXwzXszp9B/wBx+x36+C24bct1fxPB42ntHrHWHSgVk4lVAQEBAQEBB4dNVvUU8sx+CJzh3gbPnZYmdoeq15rRDl2aQvcXHe4knxN1VTO87voGKkUpFY9IWLDY6B1V6H9m0dG4i0k/0ru52yMf2geZVjgry0cXxXP4uon2jp/Lb1uVogo9gcC1wBaRYgi4IO8EZozE7dYQjrHwEaQmqpWk0hN3MG0wk/k55KDmw8vWOzquGcTjLHh5PN6T7/dHyjLpIOrfHppC2lqnE0hNmvO0wk/k5ZKThzcvSeyk4nwyMu+TF5vWPf7ptY8OAc0gtIuCDcEHcQc1OctMbTtK5GBAQEBAQEHk0tQNqYJKd/uSxlh5XGw94Nj4LFo3jZsxZJx3i8ekuYKundFI+J/vxvcx3e0kH5hVUxtOzv8AHeL1i0evV8Vh6mN+jpfBekfaaCnmO1xhAd95nZd82q1pO9YlwGox+HltT2mWcXppEBAQEBAQafrWq+r0XKL2Mjms8z0vyrXlnakpvDqc+ppHzc+Ksdy+9DTGaWOIbDJI1g73uDR6rNY3nZry35KTb2iXU0MQY1rG7GtaGgcgLBWsPn1p5p3lessCAgo9gcC1wDmkWIIuCDvBGaMxO3WEI6yMBGkJqqVpNITdzBtMJP5OeSg5sPL1js6nhnE/Fjw8k/F6T7/dHyjLtIOrfHpoyKWqcTSE2a87TCT+TlkpOHNy9J7KXifDIyx4mOPi9Y9/um1jw4BzSC0i4INwQdxBzU5ysxMTtK5GBAQEBAQEHPutWh6nSkthYShso/qbZ3+TXKuzxtd2XCMnPpax7dGorSs046l6vpaPMZ/h1Dh4ODXD5kqw0870cdxinLqpn32lIS3qsQEBAQEBBHmu19qCNvGoB8mu/VaNR5FpwaN9VH5T+yD1XuyZ7AcIfpOlad3tDXf2dof6rZh63hC4jbl0t5+TpJWbhhAQEBBR7A4FrgHNIsQRcEHeCM0Zidp3hCOsjARoy6qpWk0hN3MG0wk+rOeSg5sPL1js6rhnE4yxGPJ5vSff7o+UZdJB1b49NGRS1TiaQnsvO0wk+rOWSk4c3L0nspeJ8M8WPExx8XrHv902xvDgHNILSLgg3BB3EFTnKzExO0rkYEBAQEBBDOvKECqgfm6nIP8AS82/2ULVeaHUcBt+HaPmjVRV8lvUbL9HUtyEkZHi14P+oU7S+WXK8dj8es/L/cpXCkqNVAQEBAQEEda7m/8AgxnIVA+bT+i0ajyLXg0/+VH5ShFV7sWw6vn9HSlKT/OA/uBA9Vtw+eEHiUb6W/5Oj1ZOHEBAQEBBR7A4FrgC0ixBFwQd4IzRmJmJ3hCOsjARoyaqlBdSE3cwbTCT6s55KDmw8vWOzquGcTjLEY8nm9J9/uj5Rl0kHVvj00ZFLVEupCbNedphJ9WcslJw5uXpPZScT4ZGXfJj83rHv902xvDgHNILSLgg3BB3EHNTnLTExO0rkYEBAQEEOa83/wDkUzcxA4+b9noVC1XeHT8Bj4Lz80ZKKvkq6kB2ak8XxjyD7+oU7S+WXLcen8asfL/cpdapKjVQEBAQEBBpWt6m6zRjz/LkY/1b+Zas0b0lP4Zfl1VJ+e3+UAqtdu9mhqvqamGY7o52PNuDXgn5BeqztaJadRTnxWr7xLqQG+0blavn4gICAgICCj2BwLXAFpFiCLgg7wQjMTMTvCEdZGAjRk1VKCaQntMG0wk/k55KDmw8vWOzqeGcTjLHh5J+L0n3+6PlGXaQdXGPTRkUtUSaQmzXnaYSfVnLJScObl6T2UvE+GRlicmLzese/wB03RvDgHNIc0i4INwQdxBzU5ysxtO0qowICAggbXBWdZpNzAdkULGeJBef9x5Kv1M73dfwXHy6bf3mZaQtC3TFqag6NK9/15z5Na0et1YaaPgcfxq/NqZj2iEnsW9UrkBAQEBAQYvFFD7RRzw7y+F1u8C7fmAsWjeNnvFfkvFvaXMLhY2O8Kp7PoNbRaImPVRHp0fgHS3tej4JL3e1nVv+/H2TfvAB8VZ4rc1IlwuvweDqLV+sfVsK2IYgICAgICCj2BwLXAFpFiCLgg7wRmjMTMTvCEdZGAjRk1VK0upCbuYNphJ9Wc8lBzYeXrHZ1XDOJxljwsk/F6T7/dHyjLtIOrfHppCKWqcTSE2a87TCT+TlkpOHNy9J7KPifDIyx4mOPi9Y9/um5jw4BzSHNIuCDcEHcQc1OctMbdJVRgQWTzNjY57zZjWlxJyDRcnyCxM7M1rNpiI9XL+mq81NTLUOveWVz9uQJ7I8BYeCq7TvaZd/p8UYsVaR6Q8S8tqf9XdD1NFCwizur6R739r8QrTHXasQ4PWZPEz3t825tXtGVQEBAQEBBQoObsfaI9kr5o7WYXdNn3X7R6quz15buz4Tn8XTxHrXo15aVmkbU1iAQ1DqOQ2ZPtZfcJWjd4tHm0KTpr7Tyz6qLjel58cZa969/wAk1Kc5YQEBAQEBAQWvYHAtcAWkWIIuCDvBGaMxMx1hCWsjARpCaqlaTSE3cwbTCT6s55KDmw8vWOzqeGcTjLEY8nm9J9/uj5Rl2kHVxj00hFLVOJpCbNedphJ/JyyUnDm5ek9lLxPhni/iY/N6x7/dNzHhwDmkFpFwQbgg7iDmpzlZjbpKqMI/1w4g6ikFKw/S1Gw2yiB7XmbDu6Sj6i+1dvdccG0viZfEntX90HqA6579BUBqamKEfE8X5NG1x8gV7xV5rRCJr8/g4LW9dun1dIaKis0W2C27lkrRwjKICAgICAgIBQRxrkw+ZoG1cYu+HY6w2lh/Q+oUfUU5q7x6LbhGq8LNyW7W6fX0QmoDsF8UhY4PaS1zXAhw2EEG4I8Uidnm1YtG09nRGA8UN0jTB5IFRHZsrBk7JwH1T+oyVliyc9fm4nX6OdNl2/tntP8A97NlW1BEBAQEBAQEFHsDgWuALSLEEXBB3gjNGYnbrCEdY+AjSF1VStJpCbuYNphJ9Wc8lBzYeXrHZ1XDOJ+L+Hk83pPv90fKMum+6vcfuoiKepJfRk2B3uhvmOLeI8uBkYc3L0nspuI8LjN+Jj6W/f7pk0hpmGCmNW97TAGdIPaQQ4H3Q3iTst3qbN4iu7mceC+TJ4UR1c44k00+uqX1Mm9x7Lb7GMHutHh8yeKrb3m1t5dvpdPXT4opVjF4SUj6qNC3Lqpw39hnd8Z9B5qbpqbRzOX43qea8YY9Os/n9kyUrLBSlC9CAgICAgICAg+VTA2RjmPF2uaQRyKDnPHGHXUFU6O30bjdhtYWP79Rkq3Nj5LfJ2nDNZGoxdfNHf8Alrq1LJlMN6dloKhtRCdo2OYT2ZGHe1373gL3S80neEbVaamox8lv+nROHdOxV8DZ4Ddp2OafeY7Nrhkf2FZUvF43hxOp019Pkml/+2TXpoEBAQEBAQEFHsDgWuALSLEEXBB3gjNGYnbrCDdZWBjRONTTgmje7a0bepccj9k5Hw4XgZ8PL1js6vhfEfGjw8k/FH6/doSjrp6naQlMIpzI8wNeXiMnshxFiQP3vPErPNO23o1RhpF/E2+L3eVYbXu0No11VOyFm9x2n6rficfBe8dOe2yLrNTXT4pvP0/N0Hh7RjYY2RsFmMaAB3ZqziNo2hwt7ze02nvLYGhZeVyAgICAgICAgINdxrhpukKcxkAStF2O58P36ErxekXjaUnS6m2nyRev1c76RoX08ropWlr2mxBHzVZas1naXb4M9M1IvSekvMsNzL4ZxFNo+YTQHfsfG73JG8HD0O8ea90vNJ3hF1Wkx6mnLf6SnzCmK4NIx9KF3RkA7cLj22H8w+0P+lYY8kXjo47V6LJprbWjp6Szq2IggICAgICAg8Gna6CCne+rcxsBaQ4P2hwI90N+IngF5tMRHVuwY8mS8Ri7uaNJuiMzzTte2AvPQbIQXBuQJH771V2236O7wxeKR4nm9XlWG1cxhcQ1oJcTYAbyTuASImZ2eb3rSs2tO0Jn1fYU9lj6cg+neO19kZMB9eassOPkj5uL4hrZ1OTePLHb+Uh08VgtqvfdAQEBAQEBAQEBBRBpmsDBTa9hkjAbUtGw/X5Hn++FtWXFF4+afoNdbTX/APWe8IHraN8MhjlaWPabEEWVdas1naXZYc1M1IvSej4LDa+9FWSQSCWF7o5Gm4cwkEfvgsxMxO8NeTHTJXlvG8JUwvraBAj0gyx/nxNuDzfGNo7237gpdNT/AMnPavgk+bBP0n+UlaN0nDUs6dPKyZnGNwNuRGR5FSq2ieyiyYr452vExL1rLWICAgsnmbG0ve5rGDe57g0DvJWJnZmtZtO0Ru0LEutOmgBZSj2qX6wuIh/V8X9OzmtF9RWO3VcaXg2XJ1yfDH6oi09p+euk6ypkLz8LRsYwcGt3D14qHe9rT1dJp9Li09eWkMYvCSujYXEAAkk2AAuSTuACRG/SHm9opE2tPSEsYBwQYbVFQLzn3WZRg/m9FYYcPJ1nu5LiXEp1E8lPL+6TqWnDQt6oeoIKoCAgICAgICAgICAg1fGWC4dIsubR1AHZlA8g7iteTHF46pek1uTTW3r29YQXiLDk9BJ0J2EC/ZePccOIKgZMVqd3XaTX4tTHw9J9mIWtNEH2pap8TunE98b/AK0by0+YWYmY7PF8dbxtaN20aP1k6Qh2dcJmjKaNrv8AIWcfNbY1F4V+ThGlv6bfkzkGuKoA7dPA48Wue35XK2f1VvZEtwHH6WlfJrjnt2aaEHiZHn5bE/qp9mI4Dj9byxNdrTr5LhjooB/6ogT5v6S8TqbykY+C6avfefq1XSWlp6k9KomkmN7/AEjyQO4bh4LVNrT3lY4tPixRtSsQ8S8twg92iNEzVcnVwML3Z291o4uduAXumO156I2p1eLT15rz9PVMOC8BMpLSSWlqLe/bYziGA+u/uU7Hhin5uS1vEcmpnbtX2/lvcFOAtyvegBBVAQEBAQEBAQEBAQEBAQeauoY52GOZjZIzva8XH/XesTG7NbTWd46SjHE2qMG8lBJ0c+pmOz+l+XcfNRr6aJ8q70vG8lPhyxvHv6/dG2mNAVNI61RDJH9otu09zhsKi2xWr3hfYNdgzeS3X2npLGLwmCAgICAg92i9ET1TujTxSSn7DTYd7tw8V7rjtbtCLm1mHD57R/tIGHtVDyQ+teGj+VEbnuc/cPDzUmmm/wCSj1XHJn4cMbfOf4SforQkVNGI4Y2xsGTRvPEneTzKlRER0hRXyWyW5rzvLJsjAWXhegICAgICAgICAgICAgICAgICCySMOBa4BzTvBFwe8INc0ngKgqLl1Oxjj8UN4z5N2fJa7YqT3hKxa3Pi8t5a1Wanad3/ABTzR/fDJB+C1zpqJ1ON6ivfafoxsupl3w1jbfapz+D15/pY90iOPX9aR/lSPUy/4qxtvs05/wDtY/pY9yeP29KR/lkaTU5AP+Wpmk+4xkfr0l7jTUaL8c1E9oiGxaN1eUEFiIBI4fFM4yfI7PktlcVI9ELLxDUZPNef2bLDTNY0NaA1o3NaAAO4DYFsQ30DUFyAgICAgICAgICAgICAgICAgICAgICAgICAgICAgICAgICAgICAgICAgICAgICAgICAgICAgICAgICAgICAgICAgICAgICAgICAgICAgICAgICAgICAgICAgICAgICAgICAgICAgICAgICAgICAgICAgICAgICAgICAgICAgIP/2Q=="/>
        <xdr:cNvSpPr>
          <a:spLocks noChangeAspect="1" noChangeArrowheads="1"/>
        </xdr:cNvSpPr>
      </xdr:nvSpPr>
      <xdr:spPr bwMode="auto">
        <a:xfrm>
          <a:off x="1257300" y="10058400"/>
          <a:ext cx="304800" cy="304800"/>
        </a:xfrm>
        <a:prstGeom prst="rect">
          <a:avLst/>
        </a:prstGeom>
        <a:noFill/>
      </xdr:spPr>
    </xdr:sp>
    <xdr:clientData/>
  </xdr:twoCellAnchor>
  <xdr:twoCellAnchor editAs="oneCell">
    <xdr:from>
      <xdr:col>4</xdr:col>
      <xdr:colOff>0</xdr:colOff>
      <xdr:row>35</xdr:row>
      <xdr:rowOff>0</xdr:rowOff>
    </xdr:from>
    <xdr:to>
      <xdr:col>4</xdr:col>
      <xdr:colOff>304800</xdr:colOff>
      <xdr:row>35</xdr:row>
      <xdr:rowOff>304800</xdr:rowOff>
    </xdr:to>
    <xdr:sp macro="" textlink="">
      <xdr:nvSpPr>
        <xdr:cNvPr id="5154" name="AutoShape 34" descr="data:image/jpeg;base64,/9j/4AAQSkZJRgABAQAAAQABAAD/2wCEAAkGBxQODRAPEA8QEBAPEBQPDxANDxAPDg8PFBQWFhQUFRQYHCggGBolHBUUITEhJSkrLi4uFx81ODMsNygtLisBCgoKDg0OGxAQGiwkICQsLCwsLywsLCwsLCwsLCwsLCwsLCwsLCwsLCwsLCwsLCwsLCwsLCwsLCwsLCwsLCwsLP/AABEIAOEA4QMBEQACEQEDEQH/xAAcAAEAAgMBAQEAAAAAAAAAAAAAAQcDBAYFAgj/xABFEAABAwEDBwgJAgMIAgMAAAABAAIDBBEhMQUGEkFRYXEHExQygZGh0SIjQlJicpOywSSxQ4LhFzM0U1SS0vAV8URzwv/EABsBAQACAwEBAAAAAAAAAAAAAAAEBQIDBgEH/8QAOhEAAgEDAgIHBgUCBgMAAAAAAAECAwQRBTESIRMUIkFRYdEGMnGBkaEzQrHB4UNSFRZicvDxIyRE/9oADAMBAAIRAxEAPwC8UAQBAEAQBAEAQBAEAQBAEAQBAEAQBAEAQBAEAQBAEAQBAEAQBAYnvvIQEc5x7x5IBp8fDyQDT4+HkgGnx8PJANPj3jyQDT4+HkgGnx8PJANPj4eSAnT4+HkgGlx8PJANLj4eSAaW8+HkgGlx8PJANLefDyQDS3nw8kA0uPh5IBpcfDyQDS3nw8kA0uPh5IBpbz4eSAjS3nw8kA0t58PJANLefDyQDS3nw8kB8ulI24gX2azZsQGwgCAIDXf1igIQBAEAQEoAgCAlAEAQC1AEAQBAEBKAIAgCAhAEAQEIAgMc2A+Zv3BAbiAIAgNd/WKAhAEBKAIAgJQBAEB52Vcu01GLaioji2Nc4aZ4MF57ljKcY7s30rarV9yLZx+UeVqljJEEM851OIbDGf8Ad6XgtErmK2LOlolaXvNL7ngVXK9Of7qkgZs5x75D4WLW7qXgTIaFT/NNs893KpXn/TDhCfy5Y9Zmb/8ABbbz+obyqV4/0x4wH8OTrMw9FtvP6m9S8r1Q3+8pad/yOkjPjpLJXUu9GmehUn7sme/k7lcpnkCeCeEnFzdGZg42WO8FsVzHvRDqaHWj7kk/sdhkjOKlrf8AD1Mchx0A7RkHFjrD4LdGpGWzKytaVqPvxaPUWZHCAIAgCAhAEAQGKowHzM+4IDcQBAEBgf1igPlASgCAICUAQHhZy5202TW+uk0pSLWwx2Omd2eyN5sWudWMNyZa2Na4fYXLx7iqM4uUmrq7WRHokRushNsxG+XEfy2KHO4lLbkdHbaRRpc59p+e30ONe4uJc4lzjeXOJLid5K0blokksJEC/C/heh6lnYyNgcdXfcsXNG9W9R9x9dFduWPSIz6pUHRXbu9OkQ6pM+TA4au5ZKaZg7eou4xkWY3cblkaZJx3AuIIuIvBFxB4oeYTOvze5RKyjsa5/Soh7FQSXgfDJiO21boV5R8ysudJoVuaXC/L0LXzXz0pspANjfzc9l8ExAk/lODxw7gplOrGexzl3p9a35yWV4o6IraQSUBCAIAgIQGKpwHzs+8IDcQBAEBgf1igIQBASgCAE3Wm4DEm4WIEVhnvyl6JdT5PIJFrX1WLQdkQwJ+LDZbiolW47onQ2Gj5xUr/AE9SqppS9znvcXOcbXOeS5zjtJOJUPc6JKMFhckfMbC/AXbTh/VeNpbmynTnV91cvE2o6UDH0jvuHctTqPuJ0LOC97mZwLMBZwWGWSlFLYLwyJQBAEBBFuK9PGk9zBJSg4eid2Hcs1UaItSzhLnHka0sbmYi0bR+VtUlLYg1KVSlusrxREb7CHNNhBBaWmwgjAg6ivdjX2ZIs/MnlMLC2nyg7SabGsqvabsEo1j4sdu1SqVx3SKC/wBGTTnQ+np6FrMeHNDmkOa4AgtIIIOBBGIU3JzbTTwz7Q8CAhAEBhqeqPnZ97UBuIAgCAwP6xQEICUAQAnWbgLyTgg35FNcoufZqi6kpHkUwOjLK241BGIB/wAv9+GMCvX4uzHY6vTNLVJKrVXa7l4fyV451lwx1AKOkXMp45Lc2IKTW+8+7qHHatc6nciZQs89qp9DbWksMY5BD0lAEAQBAEPQgCHgQGrPSW3suOzUfJbY1O5kCvZp9qnyfgazXajcRiCtuPAgxlzxLc7rk+z5dQPbT1Di6kcbATaXU5OtvwbR2jfvo1uF4exVanpirp1Ka7X6/wAl2RyBzQ5pDmuAcC0ggg3gg7FPORaaeGfa9PCEAQGGp6o+dn3tQG4gCAIDA/rFAEAQBAVhyrZ3Fulk6ndeR+qe04A4RDiMe7aodxW/Kjo9G0/P/nqL4epUz3WXDE3AKIkdDOeOS3Nulp9H0je4+G4LVOeeS2LC1tej7Uve/Q6XIOak9fG6SnMRDHaLg+TRe06rRZgVlToSqLMTTe6tQs5qFXPPy5Hp/wBm1d7sH1h5LZ1Op5EL/Mtl/q+hhreT+thifK6ONzY2lzhHJpPsGNjbL1jK0qJZNlH2gsqs1BNrPiuRyoKjF4SgCAIAgCA93IOaVTXxulgY3Qa7R0pH6Ac7Xo3X2LfTt51FlFXeaxbWk1Co3nyWfqen/ZtXe7B9YeS2dTqeRE/zLZf6voYK7MKrp4nzS8w2ONpc5xmwA7MVjK0qRWXg2UvaC0qzUIKTb8jj6mn0xaLnDA/grVCfCWFzbKqsrk0abHajcRcQtzXeithJ54Zblm8lOd5je3J9Q71bzZSvd/Def4ZPunVsN2tSberjsso9Z0/iXT01z7/Utsf+lOOXJQBAYanqj52fe1AbaAIAgMDusUAQEoDwc9MvjJtC+a4yu9XA0+1KcDwAtJ4LVVqcEck3T7R3NZQ7t38D881Exc5z3uLnOJc5zjaXOJtJO+1Vq5s7mTVOOFsj6oofbOJ6u4bVhUl3IkWdH+pL5G2tJY5PXzWy8/J1U2ZlpYfRmjBukj1jiMR/VbaNV05ZK/UrGF7RcHv3PwZfdDVsqImTRODo5GhzXDWD+xV1GSkso+aVaU6U3TmsNGdemspzlJzW6HN0qFv6eZ3pBouhlOI3NOI32jYqq6ocD4lszvdA1TrFPoKj7UdvNeqOJUQ6LJKDIQZCDJ62bGQn5QqmwMtDetLJZdHGMTxOA3rbRpOpLCIGo38LOi6j37l4svugomU8LIYmhscbQ1rRsH7nermMVFYR8zrVp1pupN5bM6yNZTvKVnT0ubosLv08LvTcDdNKP3a3Vvv2Kruq/E+FbHd6BpnQQ6eou1LbyXqziVDOkyatZDb6Y6wx3hbacu5kC8ocS6SO6+5hifgQSCLwQbCDtCzawyLTkpx5l/8AJ7nH/wCRoQXutqILI59rjZ6Mn8w8QVZUKnHHzOL1Sz6tWwvdfNenyOoC3FaEBhqeqPnZ97UBtoAgCAwuxKAhASgKM5UsudLyg6JptipLYm2YGT+Ie8aP8qrbifFPHgdro1r0NvxveXP5dxxTW6bwNQvPBam+FZJ8I9LUUe7vPQUcuNuQQ9yLUB2/JrnV0Sboszv08zvQcTdDKf2a7XvsO1S7WtwPhexzuvaZ08OnprtR3816ouNWhwhgr6JlRC+GVodHI0tcDsP7HXasZRUlhmyjWnRmqkHhooPOjIT8nVToH2lvWiksukjOB4jAjaqarSdOWD6Xp1/C8oqot9mvBnkLWTggMtNA6WRkcbS98jgxjW4uccAvVFt4RhUqxpwc5vCW5fOZ+brcm0ojFjpX+nO/3n7B8IwH9VcUaSpxx3nzbU9QleVnN7Lkl4L+T3VuK44TlMzq6LF0SF3r5m+sc03wxH9nHVut3KHdVuFcK3Z0Wg6Z08+mqLsx2836Ip9Vh3YtQC1AaErNB+5143bQpEXxRKirDoqvLZnU8nmXOg5Rjc42RT+om2AOPouPB1nZatlCfDMh6pbdYt3jdc0X/r4/urM4UIDDU9UfOz72oDbQBAEBhdiUAQHm5x5TFHQ1FQcY4yW263m5g7yFhUlwxbJNpQ6atGn4s/NszybSTaSbSTiSbyVVLmzv6mIxwj7omWNt1uv7NSwqPLwb7KHDDi72bCwJgXgCDIQZLg5Ms6ulRdDmd6+Fvq3ON80Q363N17RYdqs7WvxLhe6OG13TOgn01Ndl7+T9Gd4phzp4WeObrcpUpjNjZWenA/3X7D8JwP8ARaa1JVI4LHTL+VnWU1s915fwULU07opHxSNLHxuLHtdi1wxCp3Fp4Z9Hp1Y1IKcHlMxWrw2ZLc5L81eYjFbO310rfUtcL4oj7VnvO8BxVla0OFcT3OI17VOml1em+yt/N+iLAU05o8XOzOBmTqV0zrHPPowx23vk1dgxJWqtVVOOSdp1jK8rKmtu9+CKDrat88r5pHF0kji97jrJ/GqxU8m5PLPpNGlClBU4LCRhWJtCHmQvQYKtmkw7W3hZ03hkW7hx08rdGGM2hZyRGoyzE/RWZOVOmZMp5ibXhnNybTJH6JJ42W9qs6M+KCZwmo2/QXMoLbOV8Ge6tpCMNT1R87PvagNtAEAQGF2JQBAV9yy12hRQwA2c/NpOG1kYt+4t7lEu5YikX/s9R4q8pvuX3ZTE99g2mxQ4+J0tfniPibouFmxaGWkVhYRNqHotQC1ALUGTNR1T4JWTROLJI3B7HDUR+Ny9jJxeUYVacKsHCaynyL8zSzhZlKlbM2xsjfQmj1sk8jiCrijUVSOUfN9QsZWlZwe3c/FHtraQSvuVHNTn4zXQNtmib65rcZYh7QGtzfEcAod1R4lxLc6TQdT6KXQVH2Xt5P0Zy/Jvmr06bpEzf00DgQDhNKLw3e0YnsG1R7ajxviexb65qfV6fRU325fZF0K0OEMVZVMhifLI4MjjaXPccAAvJNJZZnTpyqTUILLZQWd2cLspVTpnWtjbayCM+xHtPxHE/wBFT1qrqSyfRtNsY2dFQW73fn/B4tq1FhkWoBagCAIGaMQscW7D4alvlzWSqpLhk4+DLc5FK62Orpj7LmTs/mBa77W96lWcuTRQe0VHEoVF38voWY1TTmjFU9UfOz72oDbQBAEBhdiUAKAqDlnqNKtp4/8ALgLu17z/AMQq+7faSOv9nYYoTl4v9CtxfI3df4KPtFluudZG2tRYhAEAQEoe5IQHtZpZwvybVtmba6N1jJ4wevH/AMhiP6rbRqunLJX6jYxvKLg9+5+f8l/0VUyeJksTg+ORocxwwIKt001lHzqpTlTm4SWGjMV6YGGkpWQsEcTGxsbbY1gsaLTabuJXiSXJGdSpKpLim8szL0wKe5T86+kymihd6iJ3rXA3Syg4fK39+CrbqtxPhWx2mhab0MenqLtPbyXqzgVEOkyEGSV4AvTwhAF4e5NSS6U7wCty90rqnKu/M73kgqNDKmhbdLTvb2tLXD9it1q8TwVmvw4rXPg0XVrKsjizFU9UfOz72oDbQBAEBiOJQEHUgKS5W3W5Wd8MEQ+4/lVt1+IdvoK/9P5s4aL+87D+FpfulhT/ABvkbNq1E4IAgCHuRagyLUGQgLD5JM4HsqOgOa58UulIwi/mHgWuJ2MP72bVNtKrzwHM+0FlBw6wuTXJ+f8AP7FuqwOPCA4jlOzpNFAKaEkVFQ0+kLuaiwLgfeOA2XlRbmtwLC3ZeaJp6uKnST92P3ZSyrDusi1AEGQgyLUGRah5kIDWn67eH5W2HukKv+Kn5HWcmkmjlil+IyN743+Szt/xURNYjmyn8v1L61ngPyrU4IxVPVHzs+9qA20AQBAYjiUBCApLlabZlZ2+CI+BH4VZdfiHc6C82a+LOGj/ALzsP4Wp+6TqfKt8jYWsmBAEPQgyEGQgySxpcQ0AkuIa0AWkk3AAJjJ45JLLL15Ps1Rk6m0pAOkzAGU46DdUYO7XvVrQpcEee5wWrai7uriPurbz8zq1vKkIDns9s2m5SpSy4Tx2vp3nU+y9pPuuwPYdS01qSqRx3ljpt/K0q8X5XuvL+Cg6iF0T3RyNLHscWva64tcLiCqppp4Z9AhUjOKnF5T2Ma8MwgyEGRah5kIMhBk15uu3gtkfdIlbnVXwOs5No7csUm4vceAies7f8VEbWHixn8v1L51ngPyrU4Ax1PVHzs+9qA20AQBAYTieP4QElAU/yyU+jXQyf5lPo9rHn/kFXXi7aZ2fs5PNvKPg/wBUVw66Qdy0bxLSXKqmZ1gSgh7kIAgyEGQvAWfyU5p22ZRnbcLeiscMdRlI8B2nYp1rR/O/kctrupb29N/7vT1LTU45Y83OLLMdBSvqJTc0WNaOtI89Vg3nzWFSahHLJNpbTuaqpw/68zBmpnAzKVI2dljXdWaO20xyDEcNYOxeU6inHJnfWc7Wq6cvk/FHsrYQyueVTNPnmGvgb62MfqGtF8kY9uz3mjvHBQ7mjxdpHRaJqPRy6Co+T28n6MqNV52AXoyEGQh5khBkIMmE3ycAAs9okV9qsd3ySU+llUOsujgkd32NH3LbaLNTJA9oJ8NpjxaLqGJ7v+96szhzHU9UfOz72oDbQBAEBiOJ4/hACgK85ZaLSpaecC3mpTG47GyNt/dg71DvI9lSOk9mq2K06b71n6FOVIsv2XqFA6a5WO0ZLVibU8hBkIe5CDIQZOozBzWOUqr0wRTQkOndhpaxGDtOvYOxb6FLjfkVeqagrWliPvPb1L6jYGtDWgNa0BrQBYABcAArTGDhG23liWQMaXOIa1oLnOcbAALySUzgRTk8IoTP3Ok5SqvRJFNCS2BuGltkI2nwHaquvV45ctju9LsFa0u17z39DWzNzkdkyrEotdE+xlQwe1HbiPibaSO0a1jRqOEsm3UbKN3S4e9bf88z9A0tQ2aNksbg9kjQ9jm4OabwVapprKOAnCUJOMlhoyEL0xKP5Sc1OgVHPwt/Szu9EDCGU3lm4G8jtGpVtxR4HlbHbaPqPWKfRzfaj914nGKMXWQgyEAQBDzJigFpJ2lZy5cjRQXFJyLY5F6L/F1Bw9CBvEWvf+7FJso7sovaarzp0vi/2X7lmtU85Qx1PVHzs+9qA20AQBAYjieP4QBAeTnVkzpmT6iCy1zoyWf/AGN9JniAtdWPFBomafcdBcwqeD5/DvPztM20YKni8M+j1YqUTBEbrNly2SXMi0pcseB9rE2i1BkWoMm7kbJklZUR08ItfIbPha32nO2ABZQi5PCNFxcQoU3Unsv+YP0Pm/kaOgpWU8Q9Fg9Jx60jz1nu3lWsIKCwjgLq5ncVXUn3/Y9FZkcqrlYzttJydA64WdKe04nERA9xPYNqhXNX8i+Z0+iaf/8ARUX+31KvUI6fItQZLE5K87ejyCgnd6mV3qHON0cp9j5XHx4qXbVcPhZz2t6f0kenprmt/NePyLhU85I08rZNjq6eSnmbpRyCwjWDqcNhBsI4LGUVJYZtoVp0aiqQeGj89ZyZEkyfVPp5b9G+N4wkjPVcPyNRBVVUpuEsM7+zu43NJVI/PyZ5dqwJQtQBDzJ8SusHG4L2K5murLETLA2wLGT5kihDCL/zDyaaTJcDCLHyN559uIfJeAeAsHYrW3hw00jgNWuOnu5yWy5L5HQrcVphqeqPnZ97UBuIAgCAxHE8fwgCAa0BRfKLkToeUJNEWRVFs8ewFx9NvY63sIVTc0+CfxPoWi3fWbVJ7x5P9jjZBout1G4rBPKN9SPBPPcfSGeQvBkAWkAAkm4AXkk6gF6eN43L25OM0/8Ax9Nzkrf1U4BktvMTMRGP3O/gFZUKXAsvc4rVb/rNThj7q28/M7BbypOT5Qs6xk2m0YyDVTgthHuDXIdw1bStFerwLzLPS7B3NTMvdW/oUM55cSSSSSSS4kkk3kk6yq07hYSwiF4e5CDIQF38medvToOjzO/VQNvJxmiFwfxFwPYdasrerxrD3Rxer6f1epxwXZf2fh6HbKQU5zWfma7cp0pDQBURWup3m6/Wwn3XWd9hWmtSU4+ZY6bfO1q5fuvf1KBljLHOY9pa9ji1zXCwtcDYQd9qrGsHcxmpJSWzPleGQQHw0aTtw/dZPkjXBdJPyR0+ZWROnV8UJFsbTzs2zmm2WjtNg7Uow454Gp3XVLWUlu+S+LL+12bO5XB83JQGGp6o+dn3tQG4gCAIDEcTx/CAIAgObz8zf/8AIURa0evhtkh2l1npM4OHjYtFxS6SPmWukX3VLhN+6+T9fkUPNHbaCLDgQbiCqmLwfQakFOJqC64/9C2+ZBWYvhZK8MizeSbNLnHDKM7fQYf0rHDrPFxlO4YDffqCmW1LPaZzutahhdBTfx9C21NOXNDLmVo6GmkqZjYyMW2DrPd7LW7yVjOSiss3W9CVeoqcN2fnbLuWJK6pkqZj6Tzc0E6MbB1WN3DzVXObm8s7y2t429NU4d33PPWBIJQZItQZFqDJtZLyjJSTx1ELtGSJ2k06jtB2gi0HisoycXlGqtShWg4T2Z+iM2Mux5RpGVEd1voyMttMUg6zT+NoIVpTmpxyjg7u1nb1XCXy80eqsyMVhys5paTTlGBvpNH6pgHWaMJRvGB3WHUodzS/MjotF1DhfQTfJ7ehU9qhHUEOOoYlerxMJNvso2Io9ELVKWSdRpcKLv5OM3+hUfOyNsnqbHvBxYz2Gcb7TvO5WltS4I5e7OF1y/6zX4Yvsx5Lzfezrh/7UkpAgMVT1R87PvagNxAEAQGI4nj+EAQEoCCgKp5T81eakNdA31ch/UNb/DkP8SzYde/iq67oYfHH5naez+qKcerVXzXu+a8PQraeG3iocZYOgr0OJZRgjcA4aTdIAguaSQHAG8Wi8WraQXnbZlhQcrE8bGsZR0zWMaGta0yBrWgWAAWqUrprlgpJaFTk23N5+R9/2vVH+lp++XzTrUvAx/wCl/e/sc3nbnfNlQx86GRxxXtji0tEvOLzabzZduv2rVUque5YWVhTtc8PNvvZzq1E/IQBAEAQBBk9zNTOmbJcrnw6L2yN0ZIpLdBxHVddgRf3rZTqOD5EK9sad1FKXJrvOq/teqP9LT98vmt3WpeBW/4BS/vf2IdyuVBBBpKYgiwgmQgjZZanWn4Hq0GkufG/sV9VSh8j3MjEYe4ubGwktYDqFt9ijPm8l1BOMVHOWfcENl5xWqUidQoY5s77k2zV6VMKuZv6eF3oAi6aUfu1px33bVItaHE+J7FPr2pqhDoKb7T38l6suDEq0OFJQEIDDU4D52fe1AbqAIAgMRxPFAEAQEoDHNEHtLHAOY4FrmuFoINxBGxeNZWGZRk4vii8NFMZ9ZnOoJDNEC6kebjiYHH2Hbth7Dvqri3dN5Wx9A0fV43cejqcpr7/AA8/FHGTQaXFaIzwWtWgprzNVwLce9bU87ECUZQeGQhiEGRagyLUGRagyLUGRagyLUGRagyEGSWgnBG0j2KcnhI2YYLLzitUp5J1G34eb3OszLzSflGXSdaymYfWSYF5HsM37TqW6hQdR5exA1bVYWUOGPOb2Xh5suqlpmxRtijaGRxtDWtbcGgalbRSSwj55UqSqSc5vLZmXpgEBCAxVHVHzs+9qA3UAQBAYTieP4QEoAgJQBAY54mva5j2hzHAtc1wtaQcQQvGk+TMoSlCSlF4aKpzy5P3QF09E0yQ3l0AtdLH8nvN3Yjeq2vaNdqGx22le0EaiVK5eJePc/j4M4B7AbiFCTaOmlCM0a8lLs7lsVTxIdS0f5TXcwjELYmmRJQlHdEL0wyEAQBBkhBkIMn01pOAXjaRlGEpbIzsptvcsHU8CVTtG/eNhrA0LW22TYU4x2O3zQzCkqy2aqDoqe4hnVlmG73W78dm1S6Fq5c5ckc/qmv06CdOhzl49y9WWzS0zYo2xRMDI2DRa1osa0bArOMUlhHC1Kk6knOby2ZwF6YBAEBCAxVOA+dn3tQG6gCAIDDrPH8ICUAQBASgCA+SEBy2c2ZFPXaTwOYnN/OxgWOPxs9rjcd6jVbaFTnsy50/W7i0xF9qPg/2ZWOXc0aqitMkWnGP4sNr2WbTrb2hV1S3nDdHaWesWt1yjLD8Hyf8ngYrQWjS7z4dC06u65ZKTNMqFN9x8GlbvHasukZqdnT8z56INp7l70hj1JeI6INp7k6U86kvEkUo3rzpGZqzh5n22Bo1d9684mbI29OPcZMFibkktj2sh5r1NdYYYiIz/FltZF2H2uy1badCc9kV15qtra+/Ln4LmyzM2sw4KPRklsqJxeHPHq2H4Gfk38FY0rWMOb5s43UNer3OYQ7MfLd/FnW2WqUUR9IAgIQBAEBhqMB87PvagN5AEAQGDW7j+AgJQEoAgJQEIAgFiA+SEB4OV80KOqJMkDWvPtw+qfbtNlx7Vpnb057os7bV7u35Qny8HzRydfyV3209WbNTaiO0/wC9vkosrH+1l5Q9qn/Vp/R/s/U8Oo5Oa1nVbDJ8kthPY4BaXZ1FsWdP2kspb5XxRoPzJrwf8I872viI+5YdWq+BJWuWD/qfZhmZVef/AIbxxfEP/wBLzq1XwD1ywX9RfRm7T8nVa/FkUfzyj9mgrNWdRkep7R2Udm38Ee1Q8lhtBnqwBrbBHf8A73H8LdGx/uZW1varupU/q/2XqdXkrMyjpSC2ASPF+nP611u2w3DsClQtqce4o7nWry45SnheC5HQgasAt5VN5PoBAEAQEIAgCAhAYqjAfOz72oDeQBAEBg9p3H8BASgCAlAEAQBAEAQBAfOigGjvQEaO/wAEALd47v6oBo7+5ANH/pQEhAEAQBAQgCAhAEAQGKp6o+dn3tQG8gCAIDTlmDHEEOvvFjXOGA2ID56W3Y/6b/JAT0pux/03+SAnpQ2P+m/yQDpI2P8Apv8AJAT0gbH/AE3+SAdIHuv+m/yQDnx7r/pv8kBPPj3X/Tf5IBz491/03+SAc+Pdf9N/kgHP/C/6b/JARz3wv+m7yQDnvhf9N3kgHPfC/wCm7yQDnvhf9N3kgI5/4X/Td5IBz/wyfTd5ICOf+GT6b/JAOf8Ahk+m/wAkBHPj3ZPpv8kA6QPdk+m/yQEdJHuyfTf5ICOlD3ZPpv8AJAOlj3ZPpP8AJAfD5w/RaGvt02G+N4FgcCbyEB6aAIAgCAIAgCAIAgCAIAgCAIAgCAIAgCAIAgCAIAgCAIAgCAIAgCAIAgCAIAgCAIAgCAIAgCAIAgCAIAgCAIAgCAIAgCAIAgCAIAgP/9k="/>
        <xdr:cNvSpPr>
          <a:spLocks noChangeAspect="1" noChangeArrowheads="1"/>
        </xdr:cNvSpPr>
      </xdr:nvSpPr>
      <xdr:spPr bwMode="auto">
        <a:xfrm>
          <a:off x="1257300" y="10058400"/>
          <a:ext cx="304800" cy="304800"/>
        </a:xfrm>
        <a:prstGeom prst="rect">
          <a:avLst/>
        </a:prstGeom>
        <a:noFill/>
      </xdr:spPr>
    </xdr:sp>
    <xdr:clientData/>
  </xdr:twoCellAnchor>
  <xdr:twoCellAnchor editAs="oneCell">
    <xdr:from>
      <xdr:col>4</xdr:col>
      <xdr:colOff>71438</xdr:colOff>
      <xdr:row>35</xdr:row>
      <xdr:rowOff>52388</xdr:rowOff>
    </xdr:from>
    <xdr:to>
      <xdr:col>4</xdr:col>
      <xdr:colOff>1511438</xdr:colOff>
      <xdr:row>35</xdr:row>
      <xdr:rowOff>1492388</xdr:rowOff>
    </xdr:to>
    <xdr:pic>
      <xdr:nvPicPr>
        <xdr:cNvPr id="36" name="Imagem 35" descr="NENHUM.jpg"/>
        <xdr:cNvPicPr preferRelativeResize="0">
          <a:picLocks/>
        </xdr:cNvPicPr>
      </xdr:nvPicPr>
      <xdr:blipFill>
        <a:blip xmlns:r="http://schemas.openxmlformats.org/officeDocument/2006/relationships" r:embed="rId1" cstate="print"/>
        <a:stretch>
          <a:fillRect/>
        </a:stretch>
      </xdr:blipFill>
      <xdr:spPr>
        <a:xfrm>
          <a:off x="2062163" y="32656463"/>
          <a:ext cx="1440000" cy="1440000"/>
        </a:xfrm>
        <a:prstGeom prst="rect">
          <a:avLst/>
        </a:prstGeom>
      </xdr:spPr>
    </xdr:pic>
    <xdr:clientData/>
  </xdr:twoCellAnchor>
  <xdr:twoCellAnchor editAs="oneCell">
    <xdr:from>
      <xdr:col>4</xdr:col>
      <xdr:colOff>66675</xdr:colOff>
      <xdr:row>3</xdr:row>
      <xdr:rowOff>38100</xdr:rowOff>
    </xdr:from>
    <xdr:to>
      <xdr:col>4</xdr:col>
      <xdr:colOff>1510221</xdr:colOff>
      <xdr:row>3</xdr:row>
      <xdr:rowOff>1478100</xdr:rowOff>
    </xdr:to>
    <xdr:pic>
      <xdr:nvPicPr>
        <xdr:cNvPr id="3" name="Image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4325" y="4638675"/>
          <a:ext cx="1443546" cy="1440000"/>
        </a:xfrm>
        <a:prstGeom prst="rect">
          <a:avLst/>
        </a:prstGeom>
      </xdr:spPr>
    </xdr:pic>
    <xdr:clientData/>
  </xdr:twoCellAnchor>
  <xdr:twoCellAnchor editAs="oneCell">
    <xdr:from>
      <xdr:col>4</xdr:col>
      <xdr:colOff>66675</xdr:colOff>
      <xdr:row>4</xdr:row>
      <xdr:rowOff>47625</xdr:rowOff>
    </xdr:from>
    <xdr:to>
      <xdr:col>4</xdr:col>
      <xdr:colOff>1506675</xdr:colOff>
      <xdr:row>4</xdr:row>
      <xdr:rowOff>1487625</xdr:rowOff>
    </xdr:to>
    <xdr:pic>
      <xdr:nvPicPr>
        <xdr:cNvPr id="5" name="Imagem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34325" y="6181725"/>
          <a:ext cx="1440000" cy="1440000"/>
        </a:xfrm>
        <a:prstGeom prst="rect">
          <a:avLst/>
        </a:prstGeom>
      </xdr:spPr>
    </xdr:pic>
    <xdr:clientData/>
  </xdr:twoCellAnchor>
  <xdr:twoCellAnchor editAs="oneCell">
    <xdr:from>
      <xdr:col>4</xdr:col>
      <xdr:colOff>57150</xdr:colOff>
      <xdr:row>5</xdr:row>
      <xdr:rowOff>47625</xdr:rowOff>
    </xdr:from>
    <xdr:to>
      <xdr:col>4</xdr:col>
      <xdr:colOff>1507790</xdr:colOff>
      <xdr:row>5</xdr:row>
      <xdr:rowOff>1487625</xdr:rowOff>
    </xdr:to>
    <xdr:pic>
      <xdr:nvPicPr>
        <xdr:cNvPr id="7" name="Imagem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24800" y="7715250"/>
          <a:ext cx="1450640" cy="1440000"/>
        </a:xfrm>
        <a:prstGeom prst="rect">
          <a:avLst/>
        </a:prstGeom>
      </xdr:spPr>
    </xdr:pic>
    <xdr:clientData/>
  </xdr:twoCellAnchor>
  <xdr:twoCellAnchor editAs="oneCell">
    <xdr:from>
      <xdr:col>4</xdr:col>
      <xdr:colOff>66676</xdr:colOff>
      <xdr:row>6</xdr:row>
      <xdr:rowOff>57150</xdr:rowOff>
    </xdr:from>
    <xdr:to>
      <xdr:col>4</xdr:col>
      <xdr:colOff>1517343</xdr:colOff>
      <xdr:row>6</xdr:row>
      <xdr:rowOff>1497150</xdr:rowOff>
    </xdr:to>
    <xdr:pic>
      <xdr:nvPicPr>
        <xdr:cNvPr id="8" name="Imagem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934326" y="9258300"/>
          <a:ext cx="1450667" cy="1440000"/>
        </a:xfrm>
        <a:prstGeom prst="rect">
          <a:avLst/>
        </a:prstGeom>
      </xdr:spPr>
    </xdr:pic>
    <xdr:clientData/>
  </xdr:twoCellAnchor>
  <xdr:twoCellAnchor editAs="oneCell">
    <xdr:from>
      <xdr:col>4</xdr:col>
      <xdr:colOff>66676</xdr:colOff>
      <xdr:row>7</xdr:row>
      <xdr:rowOff>47625</xdr:rowOff>
    </xdr:from>
    <xdr:to>
      <xdr:col>4</xdr:col>
      <xdr:colOff>1513769</xdr:colOff>
      <xdr:row>7</xdr:row>
      <xdr:rowOff>1487625</xdr:rowOff>
    </xdr:to>
    <xdr:pic>
      <xdr:nvPicPr>
        <xdr:cNvPr id="9" name="Imagem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934326" y="10782300"/>
          <a:ext cx="1447093" cy="1440000"/>
        </a:xfrm>
        <a:prstGeom prst="rect">
          <a:avLst/>
        </a:prstGeom>
      </xdr:spPr>
    </xdr:pic>
    <xdr:clientData/>
  </xdr:twoCellAnchor>
  <xdr:twoCellAnchor editAs="oneCell">
    <xdr:from>
      <xdr:col>4</xdr:col>
      <xdr:colOff>66675</xdr:colOff>
      <xdr:row>8</xdr:row>
      <xdr:rowOff>47625</xdr:rowOff>
    </xdr:from>
    <xdr:to>
      <xdr:col>4</xdr:col>
      <xdr:colOff>1506675</xdr:colOff>
      <xdr:row>8</xdr:row>
      <xdr:rowOff>1487625</xdr:rowOff>
    </xdr:to>
    <xdr:pic>
      <xdr:nvPicPr>
        <xdr:cNvPr id="10" name="Imagem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34325" y="12315825"/>
          <a:ext cx="1440000" cy="1440000"/>
        </a:xfrm>
        <a:prstGeom prst="rect">
          <a:avLst/>
        </a:prstGeom>
      </xdr:spPr>
    </xdr:pic>
    <xdr:clientData/>
  </xdr:twoCellAnchor>
  <xdr:twoCellAnchor editAs="oneCell">
    <xdr:from>
      <xdr:col>4</xdr:col>
      <xdr:colOff>76200</xdr:colOff>
      <xdr:row>9</xdr:row>
      <xdr:rowOff>47625</xdr:rowOff>
    </xdr:from>
    <xdr:to>
      <xdr:col>4</xdr:col>
      <xdr:colOff>1505559</xdr:colOff>
      <xdr:row>9</xdr:row>
      <xdr:rowOff>1487625</xdr:rowOff>
    </xdr:to>
    <xdr:pic>
      <xdr:nvPicPr>
        <xdr:cNvPr id="11" name="Imagem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943850" y="13849350"/>
          <a:ext cx="1429359" cy="1440000"/>
        </a:xfrm>
        <a:prstGeom prst="rect">
          <a:avLst/>
        </a:prstGeom>
      </xdr:spPr>
    </xdr:pic>
    <xdr:clientData/>
  </xdr:twoCellAnchor>
  <xdr:twoCellAnchor editAs="oneCell">
    <xdr:from>
      <xdr:col>4</xdr:col>
      <xdr:colOff>57151</xdr:colOff>
      <xdr:row>10</xdr:row>
      <xdr:rowOff>47625</xdr:rowOff>
    </xdr:from>
    <xdr:to>
      <xdr:col>4</xdr:col>
      <xdr:colOff>1522164</xdr:colOff>
      <xdr:row>10</xdr:row>
      <xdr:rowOff>1487625</xdr:rowOff>
    </xdr:to>
    <xdr:pic>
      <xdr:nvPicPr>
        <xdr:cNvPr id="12" name="Imagem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24801" y="15382875"/>
          <a:ext cx="1465013" cy="1440000"/>
        </a:xfrm>
        <a:prstGeom prst="rect">
          <a:avLst/>
        </a:prstGeom>
      </xdr:spPr>
    </xdr:pic>
    <xdr:clientData/>
  </xdr:twoCellAnchor>
  <xdr:twoCellAnchor editAs="oneCell">
    <xdr:from>
      <xdr:col>4</xdr:col>
      <xdr:colOff>66675</xdr:colOff>
      <xdr:row>12</xdr:row>
      <xdr:rowOff>47625</xdr:rowOff>
    </xdr:from>
    <xdr:to>
      <xdr:col>4</xdr:col>
      <xdr:colOff>1506675</xdr:colOff>
      <xdr:row>12</xdr:row>
      <xdr:rowOff>1487625</xdr:rowOff>
    </xdr:to>
    <xdr:pic>
      <xdr:nvPicPr>
        <xdr:cNvPr id="16" name="Imagem 1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34325" y="18449925"/>
          <a:ext cx="1440000" cy="1440000"/>
        </a:xfrm>
        <a:prstGeom prst="rect">
          <a:avLst/>
        </a:prstGeom>
      </xdr:spPr>
    </xdr:pic>
    <xdr:clientData/>
  </xdr:twoCellAnchor>
  <xdr:twoCellAnchor editAs="oneCell">
    <xdr:from>
      <xdr:col>4</xdr:col>
      <xdr:colOff>76201</xdr:colOff>
      <xdr:row>13</xdr:row>
      <xdr:rowOff>47625</xdr:rowOff>
    </xdr:from>
    <xdr:to>
      <xdr:col>4</xdr:col>
      <xdr:colOff>1509176</xdr:colOff>
      <xdr:row>13</xdr:row>
      <xdr:rowOff>1487625</xdr:rowOff>
    </xdr:to>
    <xdr:pic>
      <xdr:nvPicPr>
        <xdr:cNvPr id="17" name="Imagem 16"/>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943851" y="19983450"/>
          <a:ext cx="1432975" cy="1440000"/>
        </a:xfrm>
        <a:prstGeom prst="rect">
          <a:avLst/>
        </a:prstGeom>
      </xdr:spPr>
    </xdr:pic>
    <xdr:clientData/>
  </xdr:twoCellAnchor>
  <xdr:twoCellAnchor editAs="oneCell">
    <xdr:from>
      <xdr:col>4</xdr:col>
      <xdr:colOff>66676</xdr:colOff>
      <xdr:row>14</xdr:row>
      <xdr:rowOff>47625</xdr:rowOff>
    </xdr:from>
    <xdr:to>
      <xdr:col>4</xdr:col>
      <xdr:colOff>1517343</xdr:colOff>
      <xdr:row>14</xdr:row>
      <xdr:rowOff>1487625</xdr:rowOff>
    </xdr:to>
    <xdr:pic>
      <xdr:nvPicPr>
        <xdr:cNvPr id="18" name="Imagem 17"/>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934326" y="21516975"/>
          <a:ext cx="1450667" cy="1440000"/>
        </a:xfrm>
        <a:prstGeom prst="rect">
          <a:avLst/>
        </a:prstGeom>
      </xdr:spPr>
    </xdr:pic>
    <xdr:clientData/>
  </xdr:twoCellAnchor>
  <xdr:twoCellAnchor editAs="oneCell">
    <xdr:from>
      <xdr:col>4</xdr:col>
      <xdr:colOff>66676</xdr:colOff>
      <xdr:row>15</xdr:row>
      <xdr:rowOff>57150</xdr:rowOff>
    </xdr:from>
    <xdr:to>
      <xdr:col>4</xdr:col>
      <xdr:colOff>1510197</xdr:colOff>
      <xdr:row>15</xdr:row>
      <xdr:rowOff>1497150</xdr:rowOff>
    </xdr:to>
    <xdr:pic>
      <xdr:nvPicPr>
        <xdr:cNvPr id="19" name="Imagem 18"/>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934326" y="23060025"/>
          <a:ext cx="1443521" cy="1440000"/>
        </a:xfrm>
        <a:prstGeom prst="rect">
          <a:avLst/>
        </a:prstGeom>
      </xdr:spPr>
    </xdr:pic>
    <xdr:clientData/>
  </xdr:twoCellAnchor>
  <xdr:twoCellAnchor editAs="oneCell">
    <xdr:from>
      <xdr:col>4</xdr:col>
      <xdr:colOff>57151</xdr:colOff>
      <xdr:row>16</xdr:row>
      <xdr:rowOff>47625</xdr:rowOff>
    </xdr:from>
    <xdr:to>
      <xdr:col>4</xdr:col>
      <xdr:colOff>1511408</xdr:colOff>
      <xdr:row>16</xdr:row>
      <xdr:rowOff>1487625</xdr:rowOff>
    </xdr:to>
    <xdr:pic>
      <xdr:nvPicPr>
        <xdr:cNvPr id="20" name="Imagem 1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924801" y="24584025"/>
          <a:ext cx="1454257" cy="1440000"/>
        </a:xfrm>
        <a:prstGeom prst="rect">
          <a:avLst/>
        </a:prstGeom>
      </xdr:spPr>
    </xdr:pic>
    <xdr:clientData/>
  </xdr:twoCellAnchor>
  <xdr:twoCellAnchor editAs="oneCell">
    <xdr:from>
      <xdr:col>4</xdr:col>
      <xdr:colOff>57150</xdr:colOff>
      <xdr:row>18</xdr:row>
      <xdr:rowOff>47625</xdr:rowOff>
    </xdr:from>
    <xdr:to>
      <xdr:col>4</xdr:col>
      <xdr:colOff>1525665</xdr:colOff>
      <xdr:row>18</xdr:row>
      <xdr:rowOff>1487625</xdr:rowOff>
    </xdr:to>
    <xdr:pic>
      <xdr:nvPicPr>
        <xdr:cNvPr id="22" name="Imagem 21"/>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924800" y="27651075"/>
          <a:ext cx="1468515" cy="1440000"/>
        </a:xfrm>
        <a:prstGeom prst="rect">
          <a:avLst/>
        </a:prstGeom>
      </xdr:spPr>
    </xdr:pic>
    <xdr:clientData/>
  </xdr:twoCellAnchor>
  <xdr:twoCellAnchor editAs="oneCell">
    <xdr:from>
      <xdr:col>4</xdr:col>
      <xdr:colOff>66676</xdr:colOff>
      <xdr:row>19</xdr:row>
      <xdr:rowOff>47625</xdr:rowOff>
    </xdr:from>
    <xdr:to>
      <xdr:col>4</xdr:col>
      <xdr:colOff>1528009</xdr:colOff>
      <xdr:row>19</xdr:row>
      <xdr:rowOff>1487625</xdr:rowOff>
    </xdr:to>
    <xdr:pic>
      <xdr:nvPicPr>
        <xdr:cNvPr id="23" name="Imagem 22"/>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934326" y="29184600"/>
          <a:ext cx="1461333" cy="1440000"/>
        </a:xfrm>
        <a:prstGeom prst="rect">
          <a:avLst/>
        </a:prstGeom>
      </xdr:spPr>
    </xdr:pic>
    <xdr:clientData/>
  </xdr:twoCellAnchor>
  <xdr:twoCellAnchor editAs="oneCell">
    <xdr:from>
      <xdr:col>4</xdr:col>
      <xdr:colOff>76200</xdr:colOff>
      <xdr:row>20</xdr:row>
      <xdr:rowOff>57150</xdr:rowOff>
    </xdr:from>
    <xdr:to>
      <xdr:col>4</xdr:col>
      <xdr:colOff>1516200</xdr:colOff>
      <xdr:row>20</xdr:row>
      <xdr:rowOff>1497150</xdr:rowOff>
    </xdr:to>
    <xdr:pic>
      <xdr:nvPicPr>
        <xdr:cNvPr id="24" name="Imagem 23"/>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943850" y="30727650"/>
          <a:ext cx="1440000" cy="1440000"/>
        </a:xfrm>
        <a:prstGeom prst="rect">
          <a:avLst/>
        </a:prstGeom>
      </xdr:spPr>
    </xdr:pic>
    <xdr:clientData/>
  </xdr:twoCellAnchor>
  <xdr:twoCellAnchor editAs="oneCell">
    <xdr:from>
      <xdr:col>4</xdr:col>
      <xdr:colOff>66675</xdr:colOff>
      <xdr:row>21</xdr:row>
      <xdr:rowOff>57150</xdr:rowOff>
    </xdr:from>
    <xdr:to>
      <xdr:col>4</xdr:col>
      <xdr:colOff>1517263</xdr:colOff>
      <xdr:row>21</xdr:row>
      <xdr:rowOff>1497150</xdr:rowOff>
    </xdr:to>
    <xdr:pic>
      <xdr:nvPicPr>
        <xdr:cNvPr id="25" name="Imagem 24"/>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7934325" y="32261175"/>
          <a:ext cx="1450588" cy="1440000"/>
        </a:xfrm>
        <a:prstGeom prst="rect">
          <a:avLst/>
        </a:prstGeom>
      </xdr:spPr>
    </xdr:pic>
    <xdr:clientData/>
  </xdr:twoCellAnchor>
  <xdr:twoCellAnchor editAs="oneCell">
    <xdr:from>
      <xdr:col>4</xdr:col>
      <xdr:colOff>66675</xdr:colOff>
      <xdr:row>22</xdr:row>
      <xdr:rowOff>47625</xdr:rowOff>
    </xdr:from>
    <xdr:to>
      <xdr:col>4</xdr:col>
      <xdr:colOff>1513751</xdr:colOff>
      <xdr:row>22</xdr:row>
      <xdr:rowOff>1487625</xdr:rowOff>
    </xdr:to>
    <xdr:pic>
      <xdr:nvPicPr>
        <xdr:cNvPr id="26" name="Imagem 25"/>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934325" y="33785175"/>
          <a:ext cx="1447076" cy="1440000"/>
        </a:xfrm>
        <a:prstGeom prst="rect">
          <a:avLst/>
        </a:prstGeom>
      </xdr:spPr>
    </xdr:pic>
    <xdr:clientData/>
  </xdr:twoCellAnchor>
  <xdr:twoCellAnchor editAs="oneCell">
    <xdr:from>
      <xdr:col>4</xdr:col>
      <xdr:colOff>57150</xdr:colOff>
      <xdr:row>23</xdr:row>
      <xdr:rowOff>38100</xdr:rowOff>
    </xdr:from>
    <xdr:to>
      <xdr:col>4</xdr:col>
      <xdr:colOff>1511372</xdr:colOff>
      <xdr:row>23</xdr:row>
      <xdr:rowOff>1478100</xdr:rowOff>
    </xdr:to>
    <xdr:pic>
      <xdr:nvPicPr>
        <xdr:cNvPr id="27" name="Imagem 26"/>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924800" y="35309175"/>
          <a:ext cx="1454222" cy="1440000"/>
        </a:xfrm>
        <a:prstGeom prst="rect">
          <a:avLst/>
        </a:prstGeom>
      </xdr:spPr>
    </xdr:pic>
    <xdr:clientData/>
  </xdr:twoCellAnchor>
  <xdr:twoCellAnchor editAs="oneCell">
    <xdr:from>
      <xdr:col>4</xdr:col>
      <xdr:colOff>66675</xdr:colOff>
      <xdr:row>24</xdr:row>
      <xdr:rowOff>47625</xdr:rowOff>
    </xdr:from>
    <xdr:to>
      <xdr:col>4</xdr:col>
      <xdr:colOff>1506675</xdr:colOff>
      <xdr:row>24</xdr:row>
      <xdr:rowOff>1487625</xdr:rowOff>
    </xdr:to>
    <xdr:pic>
      <xdr:nvPicPr>
        <xdr:cNvPr id="28" name="Imagem 27"/>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7934325" y="36852225"/>
          <a:ext cx="1440000" cy="1440000"/>
        </a:xfrm>
        <a:prstGeom prst="rect">
          <a:avLst/>
        </a:prstGeom>
      </xdr:spPr>
    </xdr:pic>
    <xdr:clientData/>
  </xdr:twoCellAnchor>
  <xdr:twoCellAnchor editAs="oneCell">
    <xdr:from>
      <xdr:col>4</xdr:col>
      <xdr:colOff>76200</xdr:colOff>
      <xdr:row>25</xdr:row>
      <xdr:rowOff>47625</xdr:rowOff>
    </xdr:from>
    <xdr:to>
      <xdr:col>4</xdr:col>
      <xdr:colOff>1509106</xdr:colOff>
      <xdr:row>25</xdr:row>
      <xdr:rowOff>1487625</xdr:rowOff>
    </xdr:to>
    <xdr:pic>
      <xdr:nvPicPr>
        <xdr:cNvPr id="29" name="Imagem 28"/>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943850" y="38385750"/>
          <a:ext cx="1432906" cy="1440000"/>
        </a:xfrm>
        <a:prstGeom prst="rect">
          <a:avLst/>
        </a:prstGeom>
      </xdr:spPr>
    </xdr:pic>
    <xdr:clientData/>
  </xdr:twoCellAnchor>
  <xdr:twoCellAnchor editAs="oneCell">
    <xdr:from>
      <xdr:col>4</xdr:col>
      <xdr:colOff>66676</xdr:colOff>
      <xdr:row>26</xdr:row>
      <xdr:rowOff>47625</xdr:rowOff>
    </xdr:from>
    <xdr:to>
      <xdr:col>4</xdr:col>
      <xdr:colOff>1510197</xdr:colOff>
      <xdr:row>26</xdr:row>
      <xdr:rowOff>1487625</xdr:rowOff>
    </xdr:to>
    <xdr:pic>
      <xdr:nvPicPr>
        <xdr:cNvPr id="30" name="Imagem 29"/>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7934326" y="39919275"/>
          <a:ext cx="1443521" cy="1440000"/>
        </a:xfrm>
        <a:prstGeom prst="rect">
          <a:avLst/>
        </a:prstGeom>
      </xdr:spPr>
    </xdr:pic>
    <xdr:clientData/>
  </xdr:twoCellAnchor>
  <xdr:twoCellAnchor editAs="oneCell">
    <xdr:from>
      <xdr:col>4</xdr:col>
      <xdr:colOff>66675</xdr:colOff>
      <xdr:row>27</xdr:row>
      <xdr:rowOff>47625</xdr:rowOff>
    </xdr:from>
    <xdr:to>
      <xdr:col>4</xdr:col>
      <xdr:colOff>1506675</xdr:colOff>
      <xdr:row>27</xdr:row>
      <xdr:rowOff>1487625</xdr:rowOff>
    </xdr:to>
    <xdr:pic>
      <xdr:nvPicPr>
        <xdr:cNvPr id="31" name="Imagem 30"/>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934325" y="41452800"/>
          <a:ext cx="1440000" cy="1440000"/>
        </a:xfrm>
        <a:prstGeom prst="rect">
          <a:avLst/>
        </a:prstGeom>
      </xdr:spPr>
    </xdr:pic>
    <xdr:clientData/>
  </xdr:twoCellAnchor>
  <xdr:twoCellAnchor editAs="oneCell">
    <xdr:from>
      <xdr:col>4</xdr:col>
      <xdr:colOff>66675</xdr:colOff>
      <xdr:row>28</xdr:row>
      <xdr:rowOff>47625</xdr:rowOff>
    </xdr:from>
    <xdr:to>
      <xdr:col>4</xdr:col>
      <xdr:colOff>1510170</xdr:colOff>
      <xdr:row>28</xdr:row>
      <xdr:rowOff>1487625</xdr:rowOff>
    </xdr:to>
    <xdr:pic>
      <xdr:nvPicPr>
        <xdr:cNvPr id="5155" name="Imagem 5154"/>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934325" y="42986325"/>
          <a:ext cx="1443495" cy="1440000"/>
        </a:xfrm>
        <a:prstGeom prst="rect">
          <a:avLst/>
        </a:prstGeom>
      </xdr:spPr>
    </xdr:pic>
    <xdr:clientData/>
  </xdr:twoCellAnchor>
  <xdr:twoCellAnchor editAs="oneCell">
    <xdr:from>
      <xdr:col>4</xdr:col>
      <xdr:colOff>66675</xdr:colOff>
      <xdr:row>29</xdr:row>
      <xdr:rowOff>57150</xdr:rowOff>
    </xdr:from>
    <xdr:to>
      <xdr:col>4</xdr:col>
      <xdr:colOff>1503163</xdr:colOff>
      <xdr:row>29</xdr:row>
      <xdr:rowOff>1497150</xdr:rowOff>
    </xdr:to>
    <xdr:pic>
      <xdr:nvPicPr>
        <xdr:cNvPr id="5182" name="Imagem 5181"/>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7934325" y="44529375"/>
          <a:ext cx="1436488" cy="1440000"/>
        </a:xfrm>
        <a:prstGeom prst="rect">
          <a:avLst/>
        </a:prstGeom>
      </xdr:spPr>
    </xdr:pic>
    <xdr:clientData/>
  </xdr:twoCellAnchor>
  <xdr:twoCellAnchor editAs="oneCell">
    <xdr:from>
      <xdr:col>4</xdr:col>
      <xdr:colOff>76200</xdr:colOff>
      <xdr:row>30</xdr:row>
      <xdr:rowOff>47625</xdr:rowOff>
    </xdr:from>
    <xdr:to>
      <xdr:col>4</xdr:col>
      <xdr:colOff>1516200</xdr:colOff>
      <xdr:row>30</xdr:row>
      <xdr:rowOff>1487625</xdr:rowOff>
    </xdr:to>
    <xdr:pic>
      <xdr:nvPicPr>
        <xdr:cNvPr id="5183" name="Imagem 5182"/>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943850" y="46053375"/>
          <a:ext cx="1440000" cy="1440000"/>
        </a:xfrm>
        <a:prstGeom prst="rect">
          <a:avLst/>
        </a:prstGeom>
      </xdr:spPr>
    </xdr:pic>
    <xdr:clientData/>
  </xdr:twoCellAnchor>
  <xdr:twoCellAnchor editAs="oneCell">
    <xdr:from>
      <xdr:col>4</xdr:col>
      <xdr:colOff>57150</xdr:colOff>
      <xdr:row>31</xdr:row>
      <xdr:rowOff>57150</xdr:rowOff>
    </xdr:from>
    <xdr:to>
      <xdr:col>4</xdr:col>
      <xdr:colOff>1525524</xdr:colOff>
      <xdr:row>31</xdr:row>
      <xdr:rowOff>1497150</xdr:rowOff>
    </xdr:to>
    <xdr:pic>
      <xdr:nvPicPr>
        <xdr:cNvPr id="32" name="Imagem 31"/>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7924800" y="47596425"/>
          <a:ext cx="1468374" cy="1440000"/>
        </a:xfrm>
        <a:prstGeom prst="rect">
          <a:avLst/>
        </a:prstGeom>
      </xdr:spPr>
    </xdr:pic>
    <xdr:clientData/>
  </xdr:twoCellAnchor>
  <xdr:twoCellAnchor editAs="oneCell">
    <xdr:from>
      <xdr:col>4</xdr:col>
      <xdr:colOff>66676</xdr:colOff>
      <xdr:row>32</xdr:row>
      <xdr:rowOff>57150</xdr:rowOff>
    </xdr:from>
    <xdr:to>
      <xdr:col>4</xdr:col>
      <xdr:colOff>1513769</xdr:colOff>
      <xdr:row>32</xdr:row>
      <xdr:rowOff>1497150</xdr:rowOff>
    </xdr:to>
    <xdr:pic>
      <xdr:nvPicPr>
        <xdr:cNvPr id="33" name="Imagem 32"/>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7934326" y="49129950"/>
          <a:ext cx="1447093" cy="1440000"/>
        </a:xfrm>
        <a:prstGeom prst="rect">
          <a:avLst/>
        </a:prstGeom>
      </xdr:spPr>
    </xdr:pic>
    <xdr:clientData/>
  </xdr:twoCellAnchor>
  <xdr:twoCellAnchor editAs="oneCell">
    <xdr:from>
      <xdr:col>4</xdr:col>
      <xdr:colOff>66675</xdr:colOff>
      <xdr:row>33</xdr:row>
      <xdr:rowOff>47625</xdr:rowOff>
    </xdr:from>
    <xdr:to>
      <xdr:col>4</xdr:col>
      <xdr:colOff>1513804</xdr:colOff>
      <xdr:row>33</xdr:row>
      <xdr:rowOff>1487625</xdr:rowOff>
    </xdr:to>
    <xdr:pic>
      <xdr:nvPicPr>
        <xdr:cNvPr id="34" name="Imagem 33"/>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7934325" y="50653950"/>
          <a:ext cx="1447129" cy="1440000"/>
        </a:xfrm>
        <a:prstGeom prst="rect">
          <a:avLst/>
        </a:prstGeom>
      </xdr:spPr>
    </xdr:pic>
    <xdr:clientData/>
  </xdr:twoCellAnchor>
  <xdr:twoCellAnchor editAs="oneCell">
    <xdr:from>
      <xdr:col>4</xdr:col>
      <xdr:colOff>66675</xdr:colOff>
      <xdr:row>34</xdr:row>
      <xdr:rowOff>47625</xdr:rowOff>
    </xdr:from>
    <xdr:to>
      <xdr:col>4</xdr:col>
      <xdr:colOff>1510213</xdr:colOff>
      <xdr:row>34</xdr:row>
      <xdr:rowOff>1487625</xdr:rowOff>
    </xdr:to>
    <xdr:pic>
      <xdr:nvPicPr>
        <xdr:cNvPr id="35" name="Imagem 34"/>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7934325" y="52187475"/>
          <a:ext cx="1443538" cy="1440000"/>
        </a:xfrm>
        <a:prstGeom prst="rect">
          <a:avLst/>
        </a:prstGeom>
      </xdr:spPr>
    </xdr:pic>
    <xdr:clientData/>
  </xdr:twoCellAnchor>
  <xdr:twoCellAnchor editAs="oneCell">
    <xdr:from>
      <xdr:col>4</xdr:col>
      <xdr:colOff>57150</xdr:colOff>
      <xdr:row>11</xdr:row>
      <xdr:rowOff>57150</xdr:rowOff>
    </xdr:from>
    <xdr:to>
      <xdr:col>4</xdr:col>
      <xdr:colOff>1511268</xdr:colOff>
      <xdr:row>11</xdr:row>
      <xdr:rowOff>1497150</xdr:rowOff>
    </xdr:to>
    <xdr:pic>
      <xdr:nvPicPr>
        <xdr:cNvPr id="2" name="Imagem 1"/>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7924800" y="16925925"/>
          <a:ext cx="1454118" cy="1440000"/>
        </a:xfrm>
        <a:prstGeom prst="rect">
          <a:avLst/>
        </a:prstGeom>
      </xdr:spPr>
    </xdr:pic>
    <xdr:clientData/>
  </xdr:twoCellAnchor>
  <xdr:twoCellAnchor editAs="oneCell">
    <xdr:from>
      <xdr:col>4</xdr:col>
      <xdr:colOff>66676</xdr:colOff>
      <xdr:row>17</xdr:row>
      <xdr:rowOff>57150</xdr:rowOff>
    </xdr:from>
    <xdr:to>
      <xdr:col>4</xdr:col>
      <xdr:colOff>1520863</xdr:colOff>
      <xdr:row>17</xdr:row>
      <xdr:rowOff>1497150</xdr:rowOff>
    </xdr:to>
    <xdr:pic>
      <xdr:nvPicPr>
        <xdr:cNvPr id="4" name="Imagem 3"/>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7934326" y="26127075"/>
          <a:ext cx="1454187" cy="144000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A1:AC89"/>
  <sheetViews>
    <sheetView showGridLines="0" showRowColHeaders="0" tabSelected="1" zoomScaleNormal="100" workbookViewId="0">
      <pane ySplit="9" topLeftCell="A10" activePane="bottomLeft" state="frozen"/>
      <selection pane="bottomLeft" activeCell="E3" sqref="E3:K3"/>
    </sheetView>
  </sheetViews>
  <sheetFormatPr defaultColWidth="9.140625" defaultRowHeight="15" x14ac:dyDescent="0.25"/>
  <cols>
    <col min="1" max="1" width="5.7109375" style="3" customWidth="1"/>
    <col min="2" max="2" width="5.5703125" style="3" bestFit="1" customWidth="1"/>
    <col min="3" max="3" width="14.140625" style="4" bestFit="1" customWidth="1"/>
    <col min="4" max="4" width="8.5703125" style="4" bestFit="1" customWidth="1"/>
    <col min="5" max="5" width="17" style="5" bestFit="1" customWidth="1"/>
    <col min="6" max="6" width="3.85546875" style="2" customWidth="1"/>
    <col min="7" max="7" width="17.85546875" style="6" bestFit="1" customWidth="1"/>
    <col min="8" max="8" width="3.28515625" style="3" bestFit="1" customWidth="1"/>
    <col min="9" max="9" width="2" style="2" bestFit="1" customWidth="1"/>
    <col min="10" max="10" width="3.28515625" style="3" bestFit="1" customWidth="1"/>
    <col min="11" max="11" width="17.85546875" style="7" bestFit="1" customWidth="1"/>
    <col min="12" max="12" width="3.140625" style="7" customWidth="1"/>
    <col min="13" max="13" width="2" style="7" customWidth="1"/>
    <col min="14" max="14" width="3.28515625" style="7" customWidth="1"/>
    <col min="15" max="15" width="8.85546875" style="7" bestFit="1" customWidth="1"/>
    <col min="16" max="16" width="3.28515625" style="2" hidden="1" customWidth="1"/>
    <col min="17" max="17" width="5.140625" style="3" hidden="1" customWidth="1"/>
    <col min="18" max="18" width="3.28515625" style="3" hidden="1" customWidth="1"/>
    <col min="19" max="19" width="3.28515625" style="2" hidden="1" customWidth="1"/>
    <col min="20" max="20" width="14.7109375" style="3" hidden="1" customWidth="1"/>
    <col min="21" max="21" width="3.28515625" style="3" customWidth="1"/>
    <col min="22" max="22" width="2.7109375" style="3" customWidth="1"/>
    <col min="23" max="23" width="3" style="3" customWidth="1"/>
    <col min="24" max="24" width="3.7109375" style="2" customWidth="1"/>
    <col min="25" max="25" width="3.28515625" style="2" customWidth="1"/>
    <col min="26" max="28" width="3.28515625" style="3" customWidth="1"/>
    <col min="29" max="16384" width="9.140625" style="3"/>
  </cols>
  <sheetData>
    <row r="1" spans="1:28" ht="27.75" thickTop="1" thickBot="1" x14ac:dyDescent="0.45">
      <c r="A1" s="170" t="s">
        <v>200</v>
      </c>
      <c r="B1" s="171"/>
      <c r="C1" s="171"/>
      <c r="D1" s="171"/>
      <c r="E1" s="171"/>
      <c r="F1" s="171"/>
      <c r="G1" s="171"/>
      <c r="H1" s="171"/>
      <c r="I1" s="171"/>
      <c r="J1" s="171"/>
      <c r="K1" s="171"/>
      <c r="L1" s="171"/>
      <c r="M1" s="171"/>
      <c r="N1" s="171"/>
      <c r="O1" s="172"/>
      <c r="S1" s="3"/>
      <c r="X1" s="3"/>
    </row>
    <row r="2" spans="1:28" ht="21.75" thickTop="1" thickBot="1" x14ac:dyDescent="0.35">
      <c r="A2" s="173" t="s">
        <v>191</v>
      </c>
      <c r="B2" s="174"/>
      <c r="C2" s="174"/>
      <c r="D2" s="174"/>
      <c r="E2" s="174"/>
      <c r="F2" s="174"/>
      <c r="G2" s="174"/>
      <c r="H2" s="174"/>
      <c r="I2" s="174"/>
      <c r="J2" s="174"/>
      <c r="K2" s="174"/>
      <c r="L2" s="174"/>
      <c r="M2" s="174"/>
      <c r="N2" s="174"/>
      <c r="O2" s="175"/>
      <c r="S2" s="3"/>
      <c r="X2" s="3"/>
    </row>
    <row r="3" spans="1:28" ht="17.25" thickTop="1" thickBot="1" x14ac:dyDescent="0.3">
      <c r="A3" s="219"/>
      <c r="B3" s="220"/>
      <c r="C3" s="221"/>
      <c r="D3" s="222" t="s">
        <v>194</v>
      </c>
      <c r="E3" s="238"/>
      <c r="F3" s="239"/>
      <c r="G3" s="239"/>
      <c r="H3" s="239"/>
      <c r="I3" s="239"/>
      <c r="J3" s="239"/>
      <c r="K3" s="239"/>
      <c r="L3" s="228" t="s">
        <v>197</v>
      </c>
      <c r="M3" s="229"/>
      <c r="N3" s="229"/>
      <c r="O3" s="230"/>
      <c r="S3" s="3"/>
      <c r="X3" s="3"/>
    </row>
    <row r="4" spans="1:28" ht="17.25" thickTop="1" thickBot="1" x14ac:dyDescent="0.3">
      <c r="A4" s="219"/>
      <c r="B4" s="220"/>
      <c r="C4" s="221"/>
      <c r="D4" s="223" t="s">
        <v>196</v>
      </c>
      <c r="E4" s="238"/>
      <c r="F4" s="239"/>
      <c r="G4" s="239"/>
      <c r="H4" s="239"/>
      <c r="I4" s="239"/>
      <c r="J4" s="239"/>
      <c r="K4" s="239"/>
      <c r="L4" s="225"/>
      <c r="M4" s="226"/>
      <c r="N4" s="226"/>
      <c r="O4" s="227"/>
      <c r="S4" s="3"/>
      <c r="X4" s="3"/>
    </row>
    <row r="5" spans="1:28" ht="17.25" thickTop="1" thickBot="1" x14ac:dyDescent="0.3">
      <c r="A5" s="219"/>
      <c r="B5" s="220"/>
      <c r="C5" s="221"/>
      <c r="D5" s="222" t="s">
        <v>195</v>
      </c>
      <c r="E5" s="238"/>
      <c r="F5" s="239"/>
      <c r="G5" s="239"/>
      <c r="H5" s="239"/>
      <c r="I5" s="239"/>
      <c r="J5" s="239"/>
      <c r="K5" s="239"/>
      <c r="L5" s="231" t="s">
        <v>198</v>
      </c>
      <c r="M5" s="232"/>
      <c r="N5" s="232"/>
      <c r="O5" s="233"/>
      <c r="S5" s="3"/>
      <c r="X5" s="3"/>
    </row>
    <row r="6" spans="1:28" ht="17.25" thickTop="1" thickBot="1" x14ac:dyDescent="0.3">
      <c r="A6" s="219"/>
      <c r="B6" s="220"/>
      <c r="C6" s="221"/>
      <c r="D6" s="223" t="s">
        <v>202</v>
      </c>
      <c r="E6" s="238"/>
      <c r="F6" s="239"/>
      <c r="G6" s="239"/>
      <c r="H6" s="239"/>
      <c r="I6" s="239"/>
      <c r="J6" s="239"/>
      <c r="K6" s="239"/>
      <c r="L6" s="234">
        <f>SUM(O5,O11:O58,O60:O68,O70:O74,O76:O78,O80:O81,O83:O84)</f>
        <v>0</v>
      </c>
      <c r="M6" s="235"/>
      <c r="N6" s="235"/>
      <c r="O6" s="236"/>
      <c r="S6" s="3"/>
      <c r="X6" s="3"/>
    </row>
    <row r="7" spans="1:28" ht="16.5" thickTop="1" thickBot="1" x14ac:dyDescent="0.3">
      <c r="A7" s="237"/>
    </row>
    <row r="8" spans="1:28" ht="18.75" customHeight="1" thickTop="1" thickBot="1" x14ac:dyDescent="0.3">
      <c r="C8" s="179" t="s">
        <v>57</v>
      </c>
      <c r="D8" s="180"/>
      <c r="E8" s="6" t="s">
        <v>3</v>
      </c>
      <c r="F8" s="6"/>
      <c r="K8" s="8" t="s">
        <v>4</v>
      </c>
      <c r="L8" s="9"/>
      <c r="M8" s="9"/>
      <c r="N8" s="9"/>
      <c r="O8" s="9"/>
      <c r="P8" s="10">
        <v>6</v>
      </c>
      <c r="Q8" s="11" t="str">
        <f>VLOOKUP(P8,'Sorteio&amp;Cálculos'!C7:D39,2)</f>
        <v>BRASIL</v>
      </c>
      <c r="R8" s="12"/>
      <c r="S8" s="13"/>
      <c r="T8" s="14">
        <f ca="1">TODAY()</f>
        <v>43239</v>
      </c>
      <c r="U8" s="15"/>
      <c r="V8" s="15"/>
      <c r="W8" s="15"/>
      <c r="X8" s="16"/>
      <c r="Y8" s="16"/>
      <c r="Z8" s="15"/>
      <c r="AA8" s="15"/>
      <c r="AB8" s="15"/>
    </row>
    <row r="9" spans="1:28" ht="16.5" thickTop="1" thickBot="1" x14ac:dyDescent="0.3">
      <c r="E9" s="155" t="s">
        <v>192</v>
      </c>
      <c r="P9" s="156">
        <v>5</v>
      </c>
      <c r="Q9" s="157" t="str">
        <f>VLOOKUP(P9,'Sorteio&amp;Cálculos'!BF7:BG15,2)</f>
        <v>E</v>
      </c>
      <c r="R9" s="15"/>
      <c r="S9" s="16"/>
      <c r="T9" s="15"/>
      <c r="U9" s="15"/>
      <c r="V9" s="15"/>
      <c r="W9" s="15"/>
      <c r="X9" s="16"/>
      <c r="Y9" s="16"/>
      <c r="Z9" s="15"/>
      <c r="AA9" s="15"/>
      <c r="AB9" s="15"/>
    </row>
    <row r="10" spans="1:28" ht="16.5" thickBot="1" x14ac:dyDescent="0.3">
      <c r="B10" s="17" t="s">
        <v>66</v>
      </c>
      <c r="C10" s="18" t="s">
        <v>0</v>
      </c>
      <c r="D10" s="18" t="s">
        <v>68</v>
      </c>
      <c r="E10" s="17" t="s">
        <v>67</v>
      </c>
      <c r="F10" s="18" t="s">
        <v>19</v>
      </c>
      <c r="G10" s="19"/>
      <c r="H10" s="20"/>
      <c r="I10" s="21" t="s">
        <v>42</v>
      </c>
      <c r="J10" s="20"/>
      <c r="K10" s="22"/>
      <c r="O10" s="224" t="s">
        <v>199</v>
      </c>
      <c r="P10" s="23"/>
      <c r="Q10" s="23"/>
      <c r="R10" s="23"/>
      <c r="S10" s="23"/>
      <c r="T10" s="23"/>
      <c r="U10" s="23"/>
      <c r="V10" s="23"/>
      <c r="W10" s="23"/>
      <c r="X10" s="3"/>
      <c r="Y10" s="3"/>
    </row>
    <row r="11" spans="1:28" ht="17.25" thickTop="1" thickBot="1" x14ac:dyDescent="0.3">
      <c r="B11" s="24">
        <v>1</v>
      </c>
      <c r="C11" s="25">
        <f>VLOOKUP($B11,'Sorteio&amp;Cálculos'!$E$7:$P$80,2,FALSE)</f>
        <v>43265</v>
      </c>
      <c r="D11" s="241">
        <f>VLOOKUP($B11,'Sorteio&amp;Cálculos'!$E$7:$P$80,3,FALSE)</f>
        <v>0.5</v>
      </c>
      <c r="E11" s="24" t="str">
        <f>VLOOKUP($B11,'Sorteio&amp;Cálculos'!$E$7:$P$80,4,FALSE)</f>
        <v>Moscou</v>
      </c>
      <c r="F11" s="26" t="str">
        <f>VLOOKUP($B11,'Sorteio&amp;Cálculos'!$E$7:$P$80,5,FALSE)</f>
        <v>A</v>
      </c>
      <c r="G11" s="27" t="str">
        <f>VLOOKUP($B11,'Sorteio&amp;Cálculos'!$E$7:$P$80,6,FALSE)</f>
        <v>Rússia</v>
      </c>
      <c r="H11" s="28"/>
      <c r="I11" s="29" t="s">
        <v>2</v>
      </c>
      <c r="J11" s="28"/>
      <c r="K11" s="30" t="str">
        <f>VLOOKUP($B11,'Sorteio&amp;Cálculos'!$E$7:$P$80,10,FALSE)</f>
        <v>Arábia Saudita</v>
      </c>
      <c r="L11" s="31"/>
      <c r="M11" s="31"/>
      <c r="N11" s="31"/>
      <c r="O11" s="240"/>
      <c r="P11" s="16"/>
      <c r="Q11" s="15"/>
      <c r="R11" s="15"/>
      <c r="S11" s="15"/>
      <c r="T11" s="16"/>
      <c r="U11" s="16"/>
      <c r="X11" s="3"/>
      <c r="Y11" s="3"/>
    </row>
    <row r="12" spans="1:28" ht="17.25" thickTop="1" thickBot="1" x14ac:dyDescent="0.3">
      <c r="B12" s="32">
        <v>2</v>
      </c>
      <c r="C12" s="33">
        <f>VLOOKUP($B12,'Sorteio&amp;Cálculos'!$E$7:$P$80,2,FALSE)</f>
        <v>43266</v>
      </c>
      <c r="D12" s="242">
        <f>VLOOKUP($B12,'Sorteio&amp;Cálculos'!$E$7:$P$80,3,FALSE)</f>
        <v>0.375</v>
      </c>
      <c r="E12" s="32" t="str">
        <f>VLOOKUP($B12,'Sorteio&amp;Cálculos'!$E$7:$P$80,4,FALSE)</f>
        <v>Ecaterimburgo</v>
      </c>
      <c r="F12" s="34" t="str">
        <f>VLOOKUP($B12,'Sorteio&amp;Cálculos'!$E$7:$P$80,5,FALSE)</f>
        <v>A</v>
      </c>
      <c r="G12" s="35" t="str">
        <f>VLOOKUP($B12,'Sorteio&amp;Cálculos'!$E$7:$P$80,6,FALSE)</f>
        <v>Egito</v>
      </c>
      <c r="H12" s="28"/>
      <c r="I12" s="36" t="s">
        <v>2</v>
      </c>
      <c r="J12" s="28"/>
      <c r="K12" s="37" t="str">
        <f>VLOOKUP($B12,'Sorteio&amp;Cálculos'!$E$7:$P$80,10,FALSE)</f>
        <v>Uruguai</v>
      </c>
      <c r="L12" s="31"/>
      <c r="M12" s="31"/>
      <c r="N12" s="31"/>
      <c r="O12" s="240"/>
      <c r="P12" s="16"/>
      <c r="Q12" s="15"/>
      <c r="R12" s="15"/>
      <c r="S12" s="15"/>
      <c r="T12" s="16"/>
      <c r="U12" s="16"/>
      <c r="X12" s="3"/>
      <c r="Y12" s="3"/>
    </row>
    <row r="13" spans="1:28" ht="17.25" thickTop="1" thickBot="1" x14ac:dyDescent="0.3">
      <c r="B13" s="32">
        <v>4</v>
      </c>
      <c r="C13" s="33">
        <f>VLOOKUP($B13,'Sorteio&amp;Cálculos'!$E$7:$P$80,2,FALSE)</f>
        <v>43266</v>
      </c>
      <c r="D13" s="242">
        <f>VLOOKUP($B13,'Sorteio&amp;Cálculos'!$E$7:$P$80,3,FALSE)</f>
        <v>0.5</v>
      </c>
      <c r="E13" s="32" t="str">
        <f>VLOOKUP($B13,'Sorteio&amp;Cálculos'!$E$7:$P$80,4,FALSE)</f>
        <v>São Petersburgo</v>
      </c>
      <c r="F13" s="34" t="str">
        <f>VLOOKUP($B13,'Sorteio&amp;Cálculos'!$E$7:$P$80,5,FALSE)</f>
        <v>B</v>
      </c>
      <c r="G13" s="35" t="str">
        <f>VLOOKUP($B13,'Sorteio&amp;Cálculos'!$E$7:$P$80,6,FALSE)</f>
        <v>Marrocos</v>
      </c>
      <c r="H13" s="28"/>
      <c r="I13" s="36" t="s">
        <v>2</v>
      </c>
      <c r="J13" s="28"/>
      <c r="K13" s="37" t="str">
        <f>VLOOKUP($B13,'Sorteio&amp;Cálculos'!$E$7:$P$80,10,FALSE)</f>
        <v>Irã</v>
      </c>
      <c r="L13" s="31"/>
      <c r="M13" s="31"/>
      <c r="N13" s="31"/>
      <c r="O13" s="240"/>
      <c r="P13" s="16"/>
      <c r="Q13" s="15"/>
      <c r="R13" s="15"/>
      <c r="S13" s="15"/>
      <c r="T13" s="16"/>
      <c r="U13" s="16"/>
      <c r="X13" s="38"/>
      <c r="Y13" s="3"/>
    </row>
    <row r="14" spans="1:28" ht="17.25" thickTop="1" thickBot="1" x14ac:dyDescent="0.3">
      <c r="B14" s="32">
        <v>3</v>
      </c>
      <c r="C14" s="33">
        <f>VLOOKUP($B14,'Sorteio&amp;Cálculos'!$E$7:$P$80,2,FALSE)</f>
        <v>43266</v>
      </c>
      <c r="D14" s="242">
        <f>VLOOKUP($B14,'Sorteio&amp;Cálculos'!$E$7:$P$80,3,FALSE)</f>
        <v>0.625</v>
      </c>
      <c r="E14" s="32" t="str">
        <f>VLOOKUP($B14,'Sorteio&amp;Cálculos'!$E$7:$P$80,4,FALSE)</f>
        <v>Sóchi</v>
      </c>
      <c r="F14" s="39" t="str">
        <f>VLOOKUP($B14,'Sorteio&amp;Cálculos'!$E$7:$P$80,5,FALSE)</f>
        <v>B</v>
      </c>
      <c r="G14" s="35" t="str">
        <f>VLOOKUP($B14,'Sorteio&amp;Cálculos'!$E$7:$P$80,6,FALSE)</f>
        <v>Portugal</v>
      </c>
      <c r="H14" s="28"/>
      <c r="I14" s="36" t="s">
        <v>2</v>
      </c>
      <c r="J14" s="28"/>
      <c r="K14" s="37" t="str">
        <f>VLOOKUP($B14,'Sorteio&amp;Cálculos'!$E$7:$P$80,10,FALSE)</f>
        <v>Espanha</v>
      </c>
      <c r="L14" s="31"/>
      <c r="M14" s="31"/>
      <c r="N14" s="31"/>
      <c r="O14" s="240"/>
      <c r="P14" s="16"/>
      <c r="Q14" s="15"/>
      <c r="R14" s="15"/>
      <c r="S14" s="15"/>
      <c r="T14" s="16"/>
      <c r="U14" s="16"/>
      <c r="X14" s="3"/>
      <c r="Y14" s="3"/>
    </row>
    <row r="15" spans="1:28" ht="17.25" thickTop="1" thickBot="1" x14ac:dyDescent="0.3">
      <c r="B15" s="32">
        <v>5</v>
      </c>
      <c r="C15" s="33">
        <f>VLOOKUP($B15,'Sorteio&amp;Cálculos'!$E$7:$P$80,2,FALSE)</f>
        <v>43267</v>
      </c>
      <c r="D15" s="242">
        <f>VLOOKUP($B15,'Sorteio&amp;Cálculos'!$E$7:$P$80,3,FALSE)</f>
        <v>0.29166666666666669</v>
      </c>
      <c r="E15" s="32" t="str">
        <f>VLOOKUP($B15,'Sorteio&amp;Cálculos'!$E$7:$P$80,4,FALSE)</f>
        <v>Kazan</v>
      </c>
      <c r="F15" s="39" t="str">
        <f>VLOOKUP($B15,'Sorteio&amp;Cálculos'!$E$7:$P$80,5,FALSE)</f>
        <v>C</v>
      </c>
      <c r="G15" s="35" t="str">
        <f>VLOOKUP($B15,'Sorteio&amp;Cálculos'!$E$7:$P$80,6,FALSE)</f>
        <v>França</v>
      </c>
      <c r="H15" s="28"/>
      <c r="I15" s="36" t="s">
        <v>2</v>
      </c>
      <c r="J15" s="28"/>
      <c r="K15" s="37" t="str">
        <f>VLOOKUP($B15,'Sorteio&amp;Cálculos'!$E$7:$P$80,10,FALSE)</f>
        <v>Austrália</v>
      </c>
      <c r="L15" s="31"/>
      <c r="M15" s="31"/>
      <c r="N15" s="31"/>
      <c r="O15" s="240"/>
      <c r="P15" s="16"/>
      <c r="Q15" s="15"/>
      <c r="R15" s="15"/>
      <c r="S15" s="15"/>
      <c r="T15" s="16"/>
      <c r="U15" s="16"/>
      <c r="X15" s="3"/>
      <c r="Y15" s="3"/>
    </row>
    <row r="16" spans="1:28" ht="17.25" thickTop="1" thickBot="1" x14ac:dyDescent="0.3">
      <c r="B16" s="32">
        <v>7</v>
      </c>
      <c r="C16" s="33">
        <f>VLOOKUP($B16,'Sorteio&amp;Cálculos'!$E$7:$P$80,2,FALSE)</f>
        <v>43267</v>
      </c>
      <c r="D16" s="242">
        <f>VLOOKUP($B16,'Sorteio&amp;Cálculos'!$E$7:$P$80,3,FALSE)</f>
        <v>0.41666666666666669</v>
      </c>
      <c r="E16" s="32" t="str">
        <f>VLOOKUP($B16,'Sorteio&amp;Cálculos'!$E$7:$P$80,4,FALSE)</f>
        <v>Moscou</v>
      </c>
      <c r="F16" s="34" t="str">
        <f>VLOOKUP($B16,'Sorteio&amp;Cálculos'!$E$7:$P$80,5,FALSE)</f>
        <v>D</v>
      </c>
      <c r="G16" s="35" t="str">
        <f>VLOOKUP($B16,'Sorteio&amp;Cálculos'!$E$7:$P$80,6,FALSE)</f>
        <v>Argentina</v>
      </c>
      <c r="H16" s="28"/>
      <c r="I16" s="36" t="s">
        <v>2</v>
      </c>
      <c r="J16" s="28"/>
      <c r="K16" s="37" t="str">
        <f>VLOOKUP($B16,'Sorteio&amp;Cálculos'!$E$7:$P$80,10,FALSE)</f>
        <v>Islândia</v>
      </c>
      <c r="L16" s="31"/>
      <c r="M16" s="31"/>
      <c r="N16" s="31"/>
      <c r="O16" s="240"/>
      <c r="P16" s="16"/>
      <c r="Q16" s="15"/>
      <c r="R16" s="15"/>
      <c r="S16" s="15"/>
      <c r="T16" s="16"/>
      <c r="U16" s="16"/>
      <c r="X16" s="3"/>
      <c r="Y16" s="3"/>
    </row>
    <row r="17" spans="2:25" ht="17.25" thickTop="1" thickBot="1" x14ac:dyDescent="0.3">
      <c r="B17" s="32">
        <v>6</v>
      </c>
      <c r="C17" s="33">
        <f>VLOOKUP($B17,'Sorteio&amp;Cálculos'!$E$7:$P$80,2,FALSE)</f>
        <v>43267</v>
      </c>
      <c r="D17" s="242">
        <f>VLOOKUP($B17,'Sorteio&amp;Cálculos'!$E$7:$P$80,3,FALSE)</f>
        <v>0.54166666666666663</v>
      </c>
      <c r="E17" s="32" t="str">
        <f>VLOOKUP($B17,'Sorteio&amp;Cálculos'!$E$7:$P$80,4,FALSE)</f>
        <v>Saransk</v>
      </c>
      <c r="F17" s="34" t="str">
        <f>VLOOKUP($B17,'Sorteio&amp;Cálculos'!$E$7:$P$80,5,FALSE)</f>
        <v>C</v>
      </c>
      <c r="G17" s="35" t="str">
        <f>VLOOKUP($B17,'Sorteio&amp;Cálculos'!$E$7:$P$80,6,FALSE)</f>
        <v>Peru</v>
      </c>
      <c r="H17" s="28"/>
      <c r="I17" s="36" t="s">
        <v>2</v>
      </c>
      <c r="J17" s="28"/>
      <c r="K17" s="37" t="str">
        <f>VLOOKUP($B17,'Sorteio&amp;Cálculos'!$E$7:$P$80,10,FALSE)</f>
        <v>Dinamarca</v>
      </c>
      <c r="L17" s="31"/>
      <c r="M17" s="31"/>
      <c r="N17" s="31"/>
      <c r="O17" s="240"/>
      <c r="P17" s="16"/>
      <c r="Q17" s="15"/>
      <c r="R17" s="15"/>
      <c r="S17" s="15"/>
      <c r="T17" s="16"/>
      <c r="U17" s="16"/>
      <c r="X17" s="3"/>
      <c r="Y17" s="3"/>
    </row>
    <row r="18" spans="2:25" ht="17.25" thickTop="1" thickBot="1" x14ac:dyDescent="0.3">
      <c r="B18" s="32">
        <v>8</v>
      </c>
      <c r="C18" s="33">
        <f>VLOOKUP($B18,'Sorteio&amp;Cálculos'!$E$7:$P$80,2,FALSE)</f>
        <v>43267</v>
      </c>
      <c r="D18" s="242">
        <f>VLOOKUP($B18,'Sorteio&amp;Cálculos'!$E$7:$P$80,3,FALSE)</f>
        <v>0.66666666666666663</v>
      </c>
      <c r="E18" s="32" t="str">
        <f>VLOOKUP($B18,'Sorteio&amp;Cálculos'!$E$7:$P$80,4,FALSE)</f>
        <v>Caliningrado</v>
      </c>
      <c r="F18" s="34" t="str">
        <f>VLOOKUP($B18,'Sorteio&amp;Cálculos'!$E$7:$P$80,5,FALSE)</f>
        <v>D</v>
      </c>
      <c r="G18" s="35" t="str">
        <f>VLOOKUP($B18,'Sorteio&amp;Cálculos'!$E$7:$P$80,6,FALSE)</f>
        <v>Croácia</v>
      </c>
      <c r="H18" s="28"/>
      <c r="I18" s="36" t="s">
        <v>2</v>
      </c>
      <c r="J18" s="28"/>
      <c r="K18" s="37" t="str">
        <f>VLOOKUP($B18,'Sorteio&amp;Cálculos'!$E$7:$P$80,10,FALSE)</f>
        <v>Nigéria</v>
      </c>
      <c r="L18" s="31"/>
      <c r="M18" s="31"/>
      <c r="N18" s="31"/>
      <c r="O18" s="240"/>
      <c r="P18" s="16"/>
      <c r="Q18" s="15"/>
      <c r="R18" s="15"/>
      <c r="S18" s="15"/>
      <c r="T18" s="16"/>
      <c r="U18" s="16"/>
      <c r="X18" s="3"/>
      <c r="Y18" s="3"/>
    </row>
    <row r="19" spans="2:25" ht="17.25" thickTop="1" thickBot="1" x14ac:dyDescent="0.3">
      <c r="B19" s="32">
        <v>10</v>
      </c>
      <c r="C19" s="33">
        <f>VLOOKUP($B19,'Sorteio&amp;Cálculos'!$E$7:$P$80,2,FALSE)</f>
        <v>43268</v>
      </c>
      <c r="D19" s="242">
        <f>VLOOKUP($B19,'Sorteio&amp;Cálculos'!$E$7:$P$80,3,FALSE)</f>
        <v>0.375</v>
      </c>
      <c r="E19" s="32" t="str">
        <f>VLOOKUP($B19,'Sorteio&amp;Cálculos'!$E$7:$P$80,4,FALSE)</f>
        <v>Samara</v>
      </c>
      <c r="F19" s="39" t="str">
        <f>VLOOKUP($B19,'Sorteio&amp;Cálculos'!$E$7:$P$80,5,FALSE)</f>
        <v>E</v>
      </c>
      <c r="G19" s="35" t="str">
        <f>VLOOKUP($B19,'Sorteio&amp;Cálculos'!$E$7:$P$80,6,FALSE)</f>
        <v>Costa Rica</v>
      </c>
      <c r="H19" s="28"/>
      <c r="I19" s="36" t="s">
        <v>2</v>
      </c>
      <c r="J19" s="28"/>
      <c r="K19" s="37" t="str">
        <f>VLOOKUP($B19,'Sorteio&amp;Cálculos'!$E$7:$P$80,10,FALSE)</f>
        <v>Sérvia</v>
      </c>
      <c r="L19" s="31"/>
      <c r="M19" s="31"/>
      <c r="N19" s="31"/>
      <c r="O19" s="240"/>
      <c r="P19" s="16"/>
      <c r="Q19" s="15"/>
      <c r="R19" s="15"/>
      <c r="S19" s="15"/>
      <c r="T19" s="16"/>
      <c r="U19" s="16"/>
      <c r="X19" s="3"/>
      <c r="Y19" s="3"/>
    </row>
    <row r="20" spans="2:25" ht="17.25" thickTop="1" thickBot="1" x14ac:dyDescent="0.3">
      <c r="B20" s="32">
        <v>11</v>
      </c>
      <c r="C20" s="33">
        <f>VLOOKUP($B20,'Sorteio&amp;Cálculos'!$E$7:$P$80,2,FALSE)</f>
        <v>43268</v>
      </c>
      <c r="D20" s="242">
        <f>VLOOKUP($B20,'Sorteio&amp;Cálculos'!$E$7:$P$80,3,FALSE)</f>
        <v>0.5</v>
      </c>
      <c r="E20" s="32" t="str">
        <f>VLOOKUP($B20,'Sorteio&amp;Cálculos'!$E$7:$P$80,4,FALSE)</f>
        <v>Moscou</v>
      </c>
      <c r="F20" s="34" t="str">
        <f>VLOOKUP($B20,'Sorteio&amp;Cálculos'!$E$7:$P$80,5,FALSE)</f>
        <v>F</v>
      </c>
      <c r="G20" s="35" t="str">
        <f>VLOOKUP($B20,'Sorteio&amp;Cálculos'!$E$7:$P$80,6,FALSE)</f>
        <v>Alemanha</v>
      </c>
      <c r="H20" s="28"/>
      <c r="I20" s="36" t="s">
        <v>2</v>
      </c>
      <c r="J20" s="28"/>
      <c r="K20" s="37" t="str">
        <f>VLOOKUP($B20,'Sorteio&amp;Cálculos'!$E$7:$P$80,10,FALSE)</f>
        <v>México</v>
      </c>
      <c r="L20" s="31"/>
      <c r="M20" s="31"/>
      <c r="N20" s="31"/>
      <c r="O20" s="240"/>
      <c r="P20" s="16"/>
      <c r="Q20" s="15"/>
      <c r="R20" s="15"/>
      <c r="S20" s="15"/>
      <c r="T20" s="16"/>
      <c r="U20" s="16"/>
      <c r="X20" s="3"/>
      <c r="Y20" s="3"/>
    </row>
    <row r="21" spans="2:25" ht="17.25" thickTop="1" thickBot="1" x14ac:dyDescent="0.3">
      <c r="B21" s="32">
        <v>9</v>
      </c>
      <c r="C21" s="33">
        <f>VLOOKUP($B21,'Sorteio&amp;Cálculos'!$E$7:$P$80,2,FALSE)</f>
        <v>43268</v>
      </c>
      <c r="D21" s="242">
        <f>VLOOKUP($B21,'Sorteio&amp;Cálculos'!$E$7:$P$80,3,FALSE)</f>
        <v>0.625</v>
      </c>
      <c r="E21" s="32" t="str">
        <f>VLOOKUP($B21,'Sorteio&amp;Cálculos'!$E$7:$P$80,4,FALSE)</f>
        <v>Rostov do Don</v>
      </c>
      <c r="F21" s="34" t="str">
        <f>VLOOKUP($B21,'Sorteio&amp;Cálculos'!$E$7:$P$80,5,FALSE)</f>
        <v>E</v>
      </c>
      <c r="G21" s="35" t="str">
        <f>VLOOKUP($B21,'Sorteio&amp;Cálculos'!$E$7:$P$80,6,FALSE)</f>
        <v>BRASIL</v>
      </c>
      <c r="H21" s="28"/>
      <c r="I21" s="36" t="s">
        <v>2</v>
      </c>
      <c r="J21" s="28"/>
      <c r="K21" s="37" t="str">
        <f>VLOOKUP($B21,'Sorteio&amp;Cálculos'!$E$7:$P$80,10,FALSE)</f>
        <v>Suíça</v>
      </c>
      <c r="L21" s="31"/>
      <c r="M21" s="31"/>
      <c r="N21" s="31"/>
      <c r="O21" s="240"/>
      <c r="P21" s="16"/>
      <c r="Q21" s="15"/>
      <c r="R21" s="15"/>
      <c r="S21" s="15"/>
      <c r="T21" s="16"/>
      <c r="U21" s="16"/>
      <c r="X21" s="3"/>
      <c r="Y21" s="3"/>
    </row>
    <row r="22" spans="2:25" ht="17.25" thickTop="1" thickBot="1" x14ac:dyDescent="0.3">
      <c r="B22" s="32">
        <v>12</v>
      </c>
      <c r="C22" s="33">
        <f>VLOOKUP($B22,'Sorteio&amp;Cálculos'!$E$7:$P$80,2,FALSE)</f>
        <v>43269</v>
      </c>
      <c r="D22" s="242">
        <f>VLOOKUP($B22,'Sorteio&amp;Cálculos'!$E$7:$P$80,3,FALSE)</f>
        <v>0.375</v>
      </c>
      <c r="E22" s="32" t="str">
        <f>VLOOKUP($B22,'Sorteio&amp;Cálculos'!$E$7:$P$80,4,FALSE)</f>
        <v>Níjni Novgorod</v>
      </c>
      <c r="F22" s="34" t="str">
        <f>VLOOKUP($B22,'Sorteio&amp;Cálculos'!$E$7:$P$80,5,FALSE)</f>
        <v>F</v>
      </c>
      <c r="G22" s="35" t="str">
        <f>VLOOKUP($B22,'Sorteio&amp;Cálculos'!$E$7:$P$80,6,FALSE)</f>
        <v>Suécia</v>
      </c>
      <c r="H22" s="28"/>
      <c r="I22" s="36" t="s">
        <v>2</v>
      </c>
      <c r="J22" s="28"/>
      <c r="K22" s="37" t="str">
        <f>VLOOKUP($B22,'Sorteio&amp;Cálculos'!$E$7:$P$80,10,FALSE)</f>
        <v>Coreia do Sul</v>
      </c>
      <c r="L22" s="31"/>
      <c r="M22" s="31"/>
      <c r="N22" s="31"/>
      <c r="O22" s="240"/>
      <c r="P22" s="16"/>
      <c r="Q22" s="15"/>
      <c r="R22" s="15"/>
      <c r="S22" s="15"/>
      <c r="T22" s="16"/>
      <c r="U22" s="16"/>
      <c r="X22" s="3"/>
      <c r="Y22" s="3"/>
    </row>
    <row r="23" spans="2:25" ht="17.25" thickTop="1" thickBot="1" x14ac:dyDescent="0.3">
      <c r="B23" s="32">
        <v>13</v>
      </c>
      <c r="C23" s="33">
        <f>VLOOKUP($B23,'Sorteio&amp;Cálculos'!$E$7:$P$80,2,FALSE)</f>
        <v>43269</v>
      </c>
      <c r="D23" s="242">
        <f>VLOOKUP($B23,'Sorteio&amp;Cálculos'!$E$7:$P$80,3,FALSE)</f>
        <v>0.5</v>
      </c>
      <c r="E23" s="32" t="str">
        <f>VLOOKUP($B23,'Sorteio&amp;Cálculos'!$E$7:$P$80,4,FALSE)</f>
        <v>Sóchi</v>
      </c>
      <c r="F23" s="34" t="str">
        <f>VLOOKUP($B23,'Sorteio&amp;Cálculos'!$E$7:$P$80,5,FALSE)</f>
        <v>G</v>
      </c>
      <c r="G23" s="35" t="str">
        <f>VLOOKUP($B23,'Sorteio&amp;Cálculos'!$E$7:$P$80,6,FALSE)</f>
        <v>Bélgica</v>
      </c>
      <c r="H23" s="28"/>
      <c r="I23" s="36" t="s">
        <v>2</v>
      </c>
      <c r="J23" s="28"/>
      <c r="K23" s="37" t="str">
        <f>VLOOKUP($B23,'Sorteio&amp;Cálculos'!$E$7:$P$80,10,FALSE)</f>
        <v>Panamá</v>
      </c>
      <c r="L23" s="31"/>
      <c r="M23" s="31"/>
      <c r="N23" s="31"/>
      <c r="O23" s="240"/>
      <c r="P23" s="16"/>
      <c r="Q23" s="15"/>
      <c r="R23" s="15"/>
      <c r="S23" s="15"/>
      <c r="T23" s="16"/>
      <c r="U23" s="16"/>
      <c r="X23" s="3"/>
      <c r="Y23" s="3"/>
    </row>
    <row r="24" spans="2:25" ht="17.25" thickTop="1" thickBot="1" x14ac:dyDescent="0.3">
      <c r="B24" s="32">
        <v>14</v>
      </c>
      <c r="C24" s="33">
        <f>VLOOKUP($B24,'Sorteio&amp;Cálculos'!$E$7:$P$80,2,FALSE)</f>
        <v>43269</v>
      </c>
      <c r="D24" s="242">
        <f>VLOOKUP($B24,'Sorteio&amp;Cálculos'!$E$7:$P$80,3,FALSE)</f>
        <v>0.625</v>
      </c>
      <c r="E24" s="32" t="str">
        <f>VLOOKUP($B24,'Sorteio&amp;Cálculos'!$E$7:$P$80,4,FALSE)</f>
        <v>Volgogrado</v>
      </c>
      <c r="F24" s="34" t="str">
        <f>VLOOKUP($B24,'Sorteio&amp;Cálculos'!$E$7:$P$80,5,FALSE)</f>
        <v>G</v>
      </c>
      <c r="G24" s="35" t="str">
        <f>VLOOKUP($B24,'Sorteio&amp;Cálculos'!$E$7:$P$80,6,FALSE)</f>
        <v>Tunísia</v>
      </c>
      <c r="H24" s="28"/>
      <c r="I24" s="36" t="s">
        <v>2</v>
      </c>
      <c r="J24" s="28"/>
      <c r="K24" s="37" t="str">
        <f>VLOOKUP($B24,'Sorteio&amp;Cálculos'!$E$7:$P$80,10,FALSE)</f>
        <v>Inglaterra</v>
      </c>
      <c r="L24" s="31"/>
      <c r="M24" s="31"/>
      <c r="N24" s="31"/>
      <c r="O24" s="240"/>
      <c r="P24" s="16"/>
      <c r="Q24" s="15"/>
      <c r="R24" s="15"/>
      <c r="S24" s="15"/>
      <c r="T24" s="16"/>
      <c r="U24" s="16"/>
      <c r="X24" s="3"/>
      <c r="Y24" s="3"/>
    </row>
    <row r="25" spans="2:25" ht="17.25" thickTop="1" thickBot="1" x14ac:dyDescent="0.3">
      <c r="B25" s="32">
        <v>16</v>
      </c>
      <c r="C25" s="33">
        <f>VLOOKUP($B25,'Sorteio&amp;Cálculos'!$E$7:$P$80,2,FALSE)</f>
        <v>43270</v>
      </c>
      <c r="D25" s="242">
        <f>VLOOKUP($B25,'Sorteio&amp;Cálculos'!$E$7:$P$80,3,FALSE)</f>
        <v>0.375</v>
      </c>
      <c r="E25" s="32" t="str">
        <f>VLOOKUP($B25,'Sorteio&amp;Cálculos'!$E$7:$P$80,4,FALSE)</f>
        <v>Saransk</v>
      </c>
      <c r="F25" s="34" t="str">
        <f>VLOOKUP($B25,'Sorteio&amp;Cálculos'!$E$7:$P$80,5,FALSE)</f>
        <v>H</v>
      </c>
      <c r="G25" s="35" t="str">
        <f>VLOOKUP($B25,'Sorteio&amp;Cálculos'!$E$7:$P$80,6,FALSE)</f>
        <v>Colômbia</v>
      </c>
      <c r="H25" s="28"/>
      <c r="I25" s="36" t="s">
        <v>2</v>
      </c>
      <c r="J25" s="28"/>
      <c r="K25" s="37" t="str">
        <f>VLOOKUP($B25,'Sorteio&amp;Cálculos'!$E$7:$P$80,10,FALSE)</f>
        <v>Japão</v>
      </c>
      <c r="L25" s="31"/>
      <c r="M25" s="31"/>
      <c r="N25" s="31"/>
      <c r="O25" s="240"/>
      <c r="P25" s="16"/>
      <c r="Q25" s="15"/>
      <c r="R25" s="15"/>
      <c r="S25" s="15"/>
      <c r="T25" s="16"/>
      <c r="U25" s="16"/>
      <c r="X25" s="3"/>
      <c r="Y25" s="3"/>
    </row>
    <row r="26" spans="2:25" ht="17.25" thickTop="1" thickBot="1" x14ac:dyDescent="0.3">
      <c r="B26" s="32">
        <v>15</v>
      </c>
      <c r="C26" s="33">
        <f>VLOOKUP($B26,'Sorteio&amp;Cálculos'!$E$7:$P$80,2,FALSE)</f>
        <v>43270</v>
      </c>
      <c r="D26" s="242">
        <f>VLOOKUP($B26,'Sorteio&amp;Cálculos'!$E$7:$P$80,3,FALSE)</f>
        <v>0.5</v>
      </c>
      <c r="E26" s="32" t="str">
        <f>VLOOKUP($B26,'Sorteio&amp;Cálculos'!$E$7:$P$80,4,FALSE)</f>
        <v>Moscou</v>
      </c>
      <c r="F26" s="34" t="str">
        <f>VLOOKUP($B26,'Sorteio&amp;Cálculos'!$E$7:$P$80,5,FALSE)</f>
        <v>H</v>
      </c>
      <c r="G26" s="35" t="str">
        <f>VLOOKUP($B26,'Sorteio&amp;Cálculos'!$E$7:$P$80,6,FALSE)</f>
        <v>Polônia</v>
      </c>
      <c r="H26" s="28"/>
      <c r="I26" s="36" t="s">
        <v>2</v>
      </c>
      <c r="J26" s="28"/>
      <c r="K26" s="37" t="str">
        <f>VLOOKUP($B26,'Sorteio&amp;Cálculos'!$E$7:$P$80,10,FALSE)</f>
        <v>Senegal</v>
      </c>
      <c r="L26" s="31"/>
      <c r="M26" s="31"/>
      <c r="N26" s="31"/>
      <c r="O26" s="240"/>
      <c r="P26" s="16"/>
      <c r="Q26" s="15"/>
      <c r="R26" s="15"/>
      <c r="S26" s="15"/>
      <c r="T26" s="16"/>
      <c r="U26" s="16"/>
      <c r="X26" s="3"/>
      <c r="Y26" s="3"/>
    </row>
    <row r="27" spans="2:25" ht="17.25" thickTop="1" thickBot="1" x14ac:dyDescent="0.3">
      <c r="B27" s="32">
        <v>17</v>
      </c>
      <c r="C27" s="33">
        <f>VLOOKUP($B27,'Sorteio&amp;Cálculos'!$E$7:$P$80,2,FALSE)</f>
        <v>43270</v>
      </c>
      <c r="D27" s="242">
        <f>VLOOKUP($B27,'Sorteio&amp;Cálculos'!$E$7:$P$80,3,FALSE)</f>
        <v>0.625</v>
      </c>
      <c r="E27" s="32" t="str">
        <f>VLOOKUP($B27,'Sorteio&amp;Cálculos'!$E$7:$P$80,4,FALSE)</f>
        <v>São Petersburgo</v>
      </c>
      <c r="F27" s="34" t="str">
        <f>VLOOKUP($B27,'Sorteio&amp;Cálculos'!$E$7:$P$80,5,FALSE)</f>
        <v>A</v>
      </c>
      <c r="G27" s="35" t="str">
        <f>VLOOKUP($B27,'Sorteio&amp;Cálculos'!$E$7:$P$80,6,FALSE)</f>
        <v>Rússia</v>
      </c>
      <c r="H27" s="28"/>
      <c r="I27" s="36" t="s">
        <v>2</v>
      </c>
      <c r="J27" s="28"/>
      <c r="K27" s="37" t="str">
        <f>VLOOKUP($B27,'Sorteio&amp;Cálculos'!$E$7:$P$80,10,FALSE)</f>
        <v>Egito</v>
      </c>
      <c r="L27" s="31"/>
      <c r="M27" s="31"/>
      <c r="N27" s="31"/>
      <c r="O27" s="240"/>
      <c r="P27" s="16"/>
      <c r="Q27" s="15"/>
      <c r="R27" s="15"/>
      <c r="S27" s="15"/>
      <c r="T27" s="16"/>
      <c r="U27" s="16"/>
      <c r="X27" s="3"/>
      <c r="Y27" s="3"/>
    </row>
    <row r="28" spans="2:25" ht="17.25" thickTop="1" thickBot="1" x14ac:dyDescent="0.3">
      <c r="B28" s="32">
        <v>19</v>
      </c>
      <c r="C28" s="33">
        <f>VLOOKUP($B28,'Sorteio&amp;Cálculos'!$E$7:$P$80,2,FALSE)</f>
        <v>43271</v>
      </c>
      <c r="D28" s="242">
        <f>VLOOKUP($B28,'Sorteio&amp;Cálculos'!$E$7:$P$80,3,FALSE)</f>
        <v>0.375</v>
      </c>
      <c r="E28" s="32" t="str">
        <f>VLOOKUP($B28,'Sorteio&amp;Cálculos'!$E$7:$P$80,4,FALSE)</f>
        <v>Moscou</v>
      </c>
      <c r="F28" s="34" t="str">
        <f>VLOOKUP($B28,'Sorteio&amp;Cálculos'!$E$7:$P$80,5,FALSE)</f>
        <v>B</v>
      </c>
      <c r="G28" s="35" t="str">
        <f>VLOOKUP($B28,'Sorteio&amp;Cálculos'!$E$7:$P$80,6,FALSE)</f>
        <v>Portugal</v>
      </c>
      <c r="H28" s="28"/>
      <c r="I28" s="36" t="s">
        <v>2</v>
      </c>
      <c r="J28" s="28"/>
      <c r="K28" s="37" t="str">
        <f>VLOOKUP($B28,'Sorteio&amp;Cálculos'!$E$7:$P$80,10,FALSE)</f>
        <v>Marrocos</v>
      </c>
      <c r="L28" s="31"/>
      <c r="M28" s="31"/>
      <c r="N28" s="31"/>
      <c r="O28" s="240"/>
      <c r="P28" s="16"/>
      <c r="Q28" s="15"/>
      <c r="R28" s="15"/>
      <c r="S28" s="15"/>
      <c r="T28" s="16"/>
      <c r="U28" s="16"/>
      <c r="X28" s="3"/>
      <c r="Y28" s="3"/>
    </row>
    <row r="29" spans="2:25" ht="17.25" thickTop="1" thickBot="1" x14ac:dyDescent="0.3">
      <c r="B29" s="32">
        <v>18</v>
      </c>
      <c r="C29" s="33">
        <f>VLOOKUP($B29,'Sorteio&amp;Cálculos'!$E$7:$P$80,2,FALSE)</f>
        <v>43271</v>
      </c>
      <c r="D29" s="242">
        <f>VLOOKUP($B29,'Sorteio&amp;Cálculos'!$E$7:$P$80,3,FALSE)</f>
        <v>0.5</v>
      </c>
      <c r="E29" s="32" t="str">
        <f>VLOOKUP($B29,'Sorteio&amp;Cálculos'!$E$7:$P$80,4,FALSE)</f>
        <v>Rostov do Don</v>
      </c>
      <c r="F29" s="34" t="str">
        <f>VLOOKUP($B29,'Sorteio&amp;Cálculos'!$E$7:$P$80,5,FALSE)</f>
        <v>A</v>
      </c>
      <c r="G29" s="35" t="str">
        <f>VLOOKUP($B29,'Sorteio&amp;Cálculos'!$E$7:$P$80,6,FALSE)</f>
        <v>Uruguai</v>
      </c>
      <c r="H29" s="28"/>
      <c r="I29" s="36" t="s">
        <v>2</v>
      </c>
      <c r="J29" s="28"/>
      <c r="K29" s="37" t="str">
        <f>VLOOKUP($B29,'Sorteio&amp;Cálculos'!$E$7:$P$80,10,FALSE)</f>
        <v>Arábia Saudita</v>
      </c>
      <c r="L29" s="31"/>
      <c r="M29" s="31"/>
      <c r="N29" s="31"/>
      <c r="O29" s="240"/>
      <c r="P29" s="16"/>
      <c r="Q29" s="15"/>
      <c r="R29" s="15"/>
      <c r="S29" s="15"/>
      <c r="T29" s="16"/>
      <c r="U29" s="16"/>
      <c r="X29" s="3"/>
      <c r="Y29" s="3"/>
    </row>
    <row r="30" spans="2:25" ht="17.25" thickTop="1" thickBot="1" x14ac:dyDescent="0.3">
      <c r="B30" s="32">
        <v>20</v>
      </c>
      <c r="C30" s="33">
        <f>VLOOKUP($B30,'Sorteio&amp;Cálculos'!$E$7:$P$80,2,FALSE)</f>
        <v>43271</v>
      </c>
      <c r="D30" s="242">
        <f>VLOOKUP($B30,'Sorteio&amp;Cálculos'!$E$7:$P$80,3,FALSE)</f>
        <v>0.625</v>
      </c>
      <c r="E30" s="32" t="str">
        <f>VLOOKUP($B30,'Sorteio&amp;Cálculos'!$E$7:$P$80,4,FALSE)</f>
        <v>Kazan</v>
      </c>
      <c r="F30" s="34" t="str">
        <f>VLOOKUP($B30,'Sorteio&amp;Cálculos'!$E$7:$P$80,5,FALSE)</f>
        <v>B</v>
      </c>
      <c r="G30" s="35" t="str">
        <f>VLOOKUP($B30,'Sorteio&amp;Cálculos'!$E$7:$P$80,6,FALSE)</f>
        <v>Irã</v>
      </c>
      <c r="H30" s="28"/>
      <c r="I30" s="36" t="s">
        <v>2</v>
      </c>
      <c r="J30" s="28"/>
      <c r="K30" s="37" t="str">
        <f>VLOOKUP($B30,'Sorteio&amp;Cálculos'!$E$7:$P$80,10,FALSE)</f>
        <v>Espanha</v>
      </c>
      <c r="L30" s="31"/>
      <c r="M30" s="31"/>
      <c r="N30" s="31"/>
      <c r="O30" s="240"/>
      <c r="P30" s="16"/>
      <c r="Q30" s="15"/>
      <c r="R30" s="15"/>
      <c r="S30" s="15"/>
      <c r="T30" s="16"/>
      <c r="U30" s="16"/>
      <c r="X30" s="3"/>
      <c r="Y30" s="3"/>
    </row>
    <row r="31" spans="2:25" ht="17.25" thickTop="1" thickBot="1" x14ac:dyDescent="0.3">
      <c r="B31" s="32">
        <v>22</v>
      </c>
      <c r="C31" s="33">
        <f>VLOOKUP($B31,'Sorteio&amp;Cálculos'!$E$7:$P$80,2,FALSE)</f>
        <v>43272</v>
      </c>
      <c r="D31" s="242">
        <f>VLOOKUP($B31,'Sorteio&amp;Cálculos'!$E$7:$P$80,3,FALSE)</f>
        <v>0.375</v>
      </c>
      <c r="E31" s="32" t="str">
        <f>VLOOKUP($B31,'Sorteio&amp;Cálculos'!$E$7:$P$80,4,FALSE)</f>
        <v>Samara</v>
      </c>
      <c r="F31" s="34" t="str">
        <f>VLOOKUP($B31,'Sorteio&amp;Cálculos'!$E$7:$P$80,5,FALSE)</f>
        <v>C</v>
      </c>
      <c r="G31" s="35" t="str">
        <f>VLOOKUP($B31,'Sorteio&amp;Cálculos'!$E$7:$P$80,6,FALSE)</f>
        <v>Dinamarca</v>
      </c>
      <c r="H31" s="28"/>
      <c r="I31" s="36" t="s">
        <v>2</v>
      </c>
      <c r="J31" s="28"/>
      <c r="K31" s="37" t="str">
        <f>VLOOKUP($B31,'Sorteio&amp;Cálculos'!$E$7:$P$80,10,FALSE)</f>
        <v>Austrália</v>
      </c>
      <c r="L31" s="31"/>
      <c r="M31" s="31"/>
      <c r="N31" s="31"/>
      <c r="O31" s="240"/>
      <c r="P31" s="16"/>
      <c r="Q31" s="15"/>
      <c r="R31" s="15"/>
      <c r="S31" s="15"/>
      <c r="T31" s="16"/>
      <c r="U31" s="16"/>
      <c r="X31" s="3"/>
      <c r="Y31" s="3"/>
    </row>
    <row r="32" spans="2:25" ht="17.25" thickTop="1" thickBot="1" x14ac:dyDescent="0.3">
      <c r="B32" s="32">
        <v>21</v>
      </c>
      <c r="C32" s="33">
        <f>VLOOKUP($B32,'Sorteio&amp;Cálculos'!$E$7:$P$80,2,FALSE)</f>
        <v>43272</v>
      </c>
      <c r="D32" s="242">
        <f>VLOOKUP($B32,'Sorteio&amp;Cálculos'!$E$7:$P$80,3,FALSE)</f>
        <v>0.5</v>
      </c>
      <c r="E32" s="32" t="str">
        <f>VLOOKUP($B32,'Sorteio&amp;Cálculos'!$E$7:$P$80,4,FALSE)</f>
        <v>Ecaterimburgo</v>
      </c>
      <c r="F32" s="34" t="str">
        <f>VLOOKUP($B32,'Sorteio&amp;Cálculos'!$E$7:$P$80,5,FALSE)</f>
        <v>C</v>
      </c>
      <c r="G32" s="35" t="str">
        <f>VLOOKUP($B32,'Sorteio&amp;Cálculos'!$E$7:$P$80,6,FALSE)</f>
        <v>França</v>
      </c>
      <c r="H32" s="28"/>
      <c r="I32" s="36" t="s">
        <v>2</v>
      </c>
      <c r="J32" s="28"/>
      <c r="K32" s="37" t="str">
        <f>VLOOKUP($B32,'Sorteio&amp;Cálculos'!$E$7:$P$80,10,FALSE)</f>
        <v>Peru</v>
      </c>
      <c r="L32" s="31"/>
      <c r="M32" s="31"/>
      <c r="N32" s="31"/>
      <c r="O32" s="240"/>
      <c r="P32" s="16"/>
      <c r="Q32" s="15"/>
      <c r="R32" s="15"/>
      <c r="S32" s="15"/>
      <c r="T32" s="16"/>
      <c r="U32" s="16"/>
      <c r="X32" s="3"/>
      <c r="Y32" s="3"/>
    </row>
    <row r="33" spans="2:25" ht="17.25" thickTop="1" thickBot="1" x14ac:dyDescent="0.3">
      <c r="B33" s="32">
        <v>23</v>
      </c>
      <c r="C33" s="33">
        <f>VLOOKUP($B33,'Sorteio&amp;Cálculos'!$E$7:$P$80,2,FALSE)</f>
        <v>43272</v>
      </c>
      <c r="D33" s="242">
        <f>VLOOKUP($B33,'Sorteio&amp;Cálculos'!$E$7:$P$80,3,FALSE)</f>
        <v>0.625</v>
      </c>
      <c r="E33" s="32" t="str">
        <f>VLOOKUP($B33,'Sorteio&amp;Cálculos'!$E$7:$P$80,4,FALSE)</f>
        <v>Níjni Novgorod</v>
      </c>
      <c r="F33" s="34" t="str">
        <f>VLOOKUP($B33,'Sorteio&amp;Cálculos'!$E$7:$P$80,5,FALSE)</f>
        <v>D</v>
      </c>
      <c r="G33" s="35" t="str">
        <f>VLOOKUP($B33,'Sorteio&amp;Cálculos'!$E$7:$P$80,6,FALSE)</f>
        <v>Argentina</v>
      </c>
      <c r="H33" s="28"/>
      <c r="I33" s="36" t="s">
        <v>2</v>
      </c>
      <c r="J33" s="28"/>
      <c r="K33" s="37" t="str">
        <f>VLOOKUP($B33,'Sorteio&amp;Cálculos'!$E$7:$P$80,10,FALSE)</f>
        <v>Croácia</v>
      </c>
      <c r="L33" s="31"/>
      <c r="M33" s="31"/>
      <c r="N33" s="31"/>
      <c r="O33" s="240"/>
      <c r="P33" s="16"/>
      <c r="Q33" s="15"/>
      <c r="R33" s="15"/>
      <c r="S33" s="15"/>
      <c r="T33" s="16"/>
      <c r="U33" s="16"/>
      <c r="X33" s="3"/>
      <c r="Y33" s="3"/>
    </row>
    <row r="34" spans="2:25" ht="17.25" thickTop="1" thickBot="1" x14ac:dyDescent="0.3">
      <c r="B34" s="32">
        <v>25</v>
      </c>
      <c r="C34" s="33">
        <f>VLOOKUP($B34,'Sorteio&amp;Cálculos'!$E$7:$P$80,2,FALSE)</f>
        <v>43273</v>
      </c>
      <c r="D34" s="242">
        <f>VLOOKUP($B34,'Sorteio&amp;Cálculos'!$E$7:$P$80,3,FALSE)</f>
        <v>0.375</v>
      </c>
      <c r="E34" s="32" t="str">
        <f>VLOOKUP($B34,'Sorteio&amp;Cálculos'!$E$7:$P$80,4,FALSE)</f>
        <v>São Petersburgo</v>
      </c>
      <c r="F34" s="34" t="str">
        <f>VLOOKUP($B34,'Sorteio&amp;Cálculos'!$E$7:$P$80,5,FALSE)</f>
        <v>E</v>
      </c>
      <c r="G34" s="35" t="str">
        <f>VLOOKUP($B34,'Sorteio&amp;Cálculos'!$E$7:$P$80,6,FALSE)</f>
        <v>BRASIL</v>
      </c>
      <c r="H34" s="28"/>
      <c r="I34" s="36" t="s">
        <v>2</v>
      </c>
      <c r="J34" s="28"/>
      <c r="K34" s="37" t="str">
        <f>VLOOKUP($B34,'Sorteio&amp;Cálculos'!$E$7:$P$80,10,FALSE)</f>
        <v>Costa Rica</v>
      </c>
      <c r="L34" s="31"/>
      <c r="M34" s="31"/>
      <c r="N34" s="31"/>
      <c r="O34" s="240"/>
      <c r="P34" s="16"/>
      <c r="Q34" s="15"/>
      <c r="R34" s="15"/>
      <c r="S34" s="15"/>
      <c r="T34" s="16"/>
      <c r="U34" s="16"/>
      <c r="X34" s="3"/>
      <c r="Y34" s="3"/>
    </row>
    <row r="35" spans="2:25" ht="17.25" thickTop="1" thickBot="1" x14ac:dyDescent="0.3">
      <c r="B35" s="32">
        <v>24</v>
      </c>
      <c r="C35" s="33">
        <f>VLOOKUP($B35,'Sorteio&amp;Cálculos'!$E$7:$P$80,2,FALSE)</f>
        <v>43273</v>
      </c>
      <c r="D35" s="242">
        <f>VLOOKUP($B35,'Sorteio&amp;Cálculos'!$E$7:$P$80,3,FALSE)</f>
        <v>0.5</v>
      </c>
      <c r="E35" s="32" t="str">
        <f>VLOOKUP($B35,'Sorteio&amp;Cálculos'!$E$7:$P$80,4,FALSE)</f>
        <v>Volgogrado</v>
      </c>
      <c r="F35" s="34" t="str">
        <f>VLOOKUP($B35,'Sorteio&amp;Cálculos'!$E$7:$P$80,5,FALSE)</f>
        <v>D</v>
      </c>
      <c r="G35" s="35" t="str">
        <f>VLOOKUP($B35,'Sorteio&amp;Cálculos'!$E$7:$P$80,6,FALSE)</f>
        <v>Nigéria</v>
      </c>
      <c r="H35" s="28"/>
      <c r="I35" s="36" t="s">
        <v>2</v>
      </c>
      <c r="J35" s="28"/>
      <c r="K35" s="37" t="str">
        <f>VLOOKUP($B35,'Sorteio&amp;Cálculos'!$E$7:$P$80,10,FALSE)</f>
        <v>Islândia</v>
      </c>
      <c r="L35" s="31"/>
      <c r="M35" s="31"/>
      <c r="N35" s="31"/>
      <c r="O35" s="240"/>
      <c r="P35" s="16"/>
      <c r="Q35" s="15"/>
      <c r="R35" s="15"/>
      <c r="S35" s="15"/>
      <c r="T35" s="16"/>
      <c r="U35" s="16"/>
      <c r="X35" s="3"/>
      <c r="Y35" s="3"/>
    </row>
    <row r="36" spans="2:25" ht="17.25" thickTop="1" thickBot="1" x14ac:dyDescent="0.3">
      <c r="B36" s="32">
        <v>26</v>
      </c>
      <c r="C36" s="33">
        <f>VLOOKUP($B36,'Sorteio&amp;Cálculos'!$E$7:$P$80,2,FALSE)</f>
        <v>43273</v>
      </c>
      <c r="D36" s="242">
        <f>VLOOKUP($B36,'Sorteio&amp;Cálculos'!$E$7:$P$80,3,FALSE)</f>
        <v>0.625</v>
      </c>
      <c r="E36" s="32" t="str">
        <f>VLOOKUP($B36,'Sorteio&amp;Cálculos'!$E$7:$P$80,4,FALSE)</f>
        <v>Caliningrado</v>
      </c>
      <c r="F36" s="34" t="str">
        <f>VLOOKUP($B36,'Sorteio&amp;Cálculos'!$E$7:$P$80,5,FALSE)</f>
        <v>E</v>
      </c>
      <c r="G36" s="35" t="str">
        <f>VLOOKUP($B36,'Sorteio&amp;Cálculos'!$E$7:$P$80,6,FALSE)</f>
        <v>Sérvia</v>
      </c>
      <c r="H36" s="28"/>
      <c r="I36" s="36" t="s">
        <v>2</v>
      </c>
      <c r="J36" s="28"/>
      <c r="K36" s="37" t="str">
        <f>VLOOKUP($B36,'Sorteio&amp;Cálculos'!$E$7:$P$80,10,FALSE)</f>
        <v>Suíça</v>
      </c>
      <c r="L36" s="31"/>
      <c r="M36" s="31"/>
      <c r="N36" s="31"/>
      <c r="O36" s="240"/>
      <c r="P36" s="16"/>
      <c r="Q36" s="15"/>
      <c r="R36" s="15"/>
      <c r="S36" s="15"/>
      <c r="T36" s="16"/>
      <c r="U36" s="16"/>
      <c r="X36" s="3"/>
      <c r="Y36" s="3"/>
    </row>
    <row r="37" spans="2:25" ht="17.25" thickTop="1" thickBot="1" x14ac:dyDescent="0.3">
      <c r="B37" s="32">
        <v>29</v>
      </c>
      <c r="C37" s="33">
        <f>VLOOKUP($B37,'Sorteio&amp;Cálculos'!$E$7:$P$80,2,FALSE)</f>
        <v>43274</v>
      </c>
      <c r="D37" s="242">
        <f>VLOOKUP($B37,'Sorteio&amp;Cálculos'!$E$7:$P$80,3,FALSE)</f>
        <v>0.375</v>
      </c>
      <c r="E37" s="32" t="str">
        <f>VLOOKUP($B37,'Sorteio&amp;Cálculos'!$E$7:$P$80,4,FALSE)</f>
        <v>Moscou</v>
      </c>
      <c r="F37" s="34" t="str">
        <f>VLOOKUP($B37,'Sorteio&amp;Cálculos'!$E$7:$P$80,5,FALSE)</f>
        <v>G</v>
      </c>
      <c r="G37" s="35" t="str">
        <f>VLOOKUP($B37,'Sorteio&amp;Cálculos'!$E$7:$P$80,6,FALSE)</f>
        <v>Bélgica</v>
      </c>
      <c r="H37" s="28"/>
      <c r="I37" s="36" t="s">
        <v>2</v>
      </c>
      <c r="J37" s="28"/>
      <c r="K37" s="37" t="str">
        <f>VLOOKUP($B37,'Sorteio&amp;Cálculos'!$E$7:$P$80,10,FALSE)</f>
        <v>Tunísia</v>
      </c>
      <c r="L37" s="31"/>
      <c r="M37" s="31"/>
      <c r="N37" s="31"/>
      <c r="O37" s="240"/>
      <c r="P37" s="16"/>
      <c r="Q37" s="15"/>
      <c r="R37" s="15"/>
      <c r="S37" s="15"/>
      <c r="T37" s="16"/>
      <c r="U37" s="16"/>
      <c r="X37" s="3"/>
      <c r="Y37" s="3"/>
    </row>
    <row r="38" spans="2:25" ht="17.25" thickTop="1" thickBot="1" x14ac:dyDescent="0.3">
      <c r="B38" s="32">
        <v>28</v>
      </c>
      <c r="C38" s="33">
        <f>VLOOKUP($B38,'Sorteio&amp;Cálculos'!$E$7:$P$80,2,FALSE)</f>
        <v>43274</v>
      </c>
      <c r="D38" s="242">
        <f>VLOOKUP($B38,'Sorteio&amp;Cálculos'!$E$7:$P$80,3,FALSE)</f>
        <v>0.5</v>
      </c>
      <c r="E38" s="32" t="str">
        <f>VLOOKUP($B38,'Sorteio&amp;Cálculos'!$E$7:$P$80,4,FALSE)</f>
        <v>Rostov do Don</v>
      </c>
      <c r="F38" s="34" t="str">
        <f>VLOOKUP($B38,'Sorteio&amp;Cálculos'!$E$7:$P$80,5,FALSE)</f>
        <v>F</v>
      </c>
      <c r="G38" s="35" t="str">
        <f>VLOOKUP($B38,'Sorteio&amp;Cálculos'!$E$7:$P$80,6,FALSE)</f>
        <v>Coreia do Sul</v>
      </c>
      <c r="H38" s="28"/>
      <c r="I38" s="36" t="s">
        <v>2</v>
      </c>
      <c r="J38" s="28"/>
      <c r="K38" s="37" t="str">
        <f>VLOOKUP($B38,'Sorteio&amp;Cálculos'!$E$7:$P$80,10,FALSE)</f>
        <v>México</v>
      </c>
      <c r="L38" s="31"/>
      <c r="M38" s="31"/>
      <c r="N38" s="31"/>
      <c r="O38" s="240"/>
      <c r="P38" s="16"/>
      <c r="Q38" s="15"/>
      <c r="R38" s="15"/>
      <c r="S38" s="15"/>
      <c r="T38" s="16"/>
      <c r="U38" s="16"/>
      <c r="X38" s="3"/>
      <c r="Y38" s="3"/>
    </row>
    <row r="39" spans="2:25" ht="17.25" thickTop="1" thickBot="1" x14ac:dyDescent="0.3">
      <c r="B39" s="32">
        <v>27</v>
      </c>
      <c r="C39" s="33">
        <f>VLOOKUP($B39,'Sorteio&amp;Cálculos'!$E$7:$P$80,2,FALSE)</f>
        <v>43274</v>
      </c>
      <c r="D39" s="242">
        <f>VLOOKUP($B39,'Sorteio&amp;Cálculos'!$E$7:$P$80,3,FALSE)</f>
        <v>0.625</v>
      </c>
      <c r="E39" s="32" t="str">
        <f>VLOOKUP($B39,'Sorteio&amp;Cálculos'!$E$7:$P$80,4,FALSE)</f>
        <v>Sóchi</v>
      </c>
      <c r="F39" s="34" t="str">
        <f>VLOOKUP($B39,'Sorteio&amp;Cálculos'!$E$7:$P$80,5,FALSE)</f>
        <v>F</v>
      </c>
      <c r="G39" s="35" t="str">
        <f>VLOOKUP($B39,'Sorteio&amp;Cálculos'!$E$7:$P$80,6,FALSE)</f>
        <v>Alemanha</v>
      </c>
      <c r="H39" s="28"/>
      <c r="I39" s="36" t="s">
        <v>2</v>
      </c>
      <c r="J39" s="28"/>
      <c r="K39" s="37" t="str">
        <f>VLOOKUP($B39,'Sorteio&amp;Cálculos'!$E$7:$P$80,10,FALSE)</f>
        <v>Suécia</v>
      </c>
      <c r="L39" s="31"/>
      <c r="M39" s="31"/>
      <c r="N39" s="31"/>
      <c r="O39" s="240"/>
      <c r="P39" s="16"/>
      <c r="Q39" s="15"/>
      <c r="R39" s="15"/>
      <c r="S39" s="15"/>
      <c r="T39" s="16"/>
      <c r="U39" s="16"/>
      <c r="X39" s="3"/>
      <c r="Y39" s="3"/>
    </row>
    <row r="40" spans="2:25" ht="17.25" thickTop="1" thickBot="1" x14ac:dyDescent="0.3">
      <c r="B40" s="32">
        <v>30</v>
      </c>
      <c r="C40" s="33">
        <f>VLOOKUP($B40,'Sorteio&amp;Cálculos'!$E$7:$P$80,2,FALSE)</f>
        <v>43275</v>
      </c>
      <c r="D40" s="242">
        <f>VLOOKUP($B40,'Sorteio&amp;Cálculos'!$E$7:$P$80,3,FALSE)</f>
        <v>0.375</v>
      </c>
      <c r="E40" s="32" t="str">
        <f>VLOOKUP($B40,'Sorteio&amp;Cálculos'!$E$7:$P$80,4,FALSE)</f>
        <v>Níjni Novgorod</v>
      </c>
      <c r="F40" s="34" t="str">
        <f>VLOOKUP($B40,'Sorteio&amp;Cálculos'!$E$7:$P$80,5,FALSE)</f>
        <v>G</v>
      </c>
      <c r="G40" s="35" t="str">
        <f>VLOOKUP($B40,'Sorteio&amp;Cálculos'!$E$7:$P$80,6,FALSE)</f>
        <v>Inglaterra</v>
      </c>
      <c r="H40" s="28"/>
      <c r="I40" s="36" t="s">
        <v>2</v>
      </c>
      <c r="J40" s="28"/>
      <c r="K40" s="37" t="str">
        <f>VLOOKUP($B40,'Sorteio&amp;Cálculos'!$E$7:$P$80,10,FALSE)</f>
        <v>Panamá</v>
      </c>
      <c r="L40" s="31"/>
      <c r="M40" s="31"/>
      <c r="N40" s="31"/>
      <c r="O40" s="240"/>
      <c r="P40" s="16"/>
      <c r="Q40" s="15"/>
      <c r="R40" s="15"/>
      <c r="S40" s="15"/>
      <c r="T40" s="16"/>
      <c r="U40" s="16"/>
      <c r="X40" s="3"/>
      <c r="Y40" s="3"/>
    </row>
    <row r="41" spans="2:25" ht="17.25" thickTop="1" thickBot="1" x14ac:dyDescent="0.3">
      <c r="B41" s="32">
        <v>32</v>
      </c>
      <c r="C41" s="33">
        <f>VLOOKUP($B41,'Sorteio&amp;Cálculos'!$E$7:$P$80,2,FALSE)</f>
        <v>43275</v>
      </c>
      <c r="D41" s="242">
        <f>VLOOKUP($B41,'Sorteio&amp;Cálculos'!$E$7:$P$80,3,FALSE)</f>
        <v>0.5</v>
      </c>
      <c r="E41" s="32" t="str">
        <f>VLOOKUP($B41,'Sorteio&amp;Cálculos'!$E$7:$P$80,4,FALSE)</f>
        <v>Ecaterimburgo</v>
      </c>
      <c r="F41" s="34" t="str">
        <f>VLOOKUP($B41,'Sorteio&amp;Cálculos'!$E$7:$P$80,5,FALSE)</f>
        <v>H</v>
      </c>
      <c r="G41" s="35" t="str">
        <f>VLOOKUP($B41,'Sorteio&amp;Cálculos'!$E$7:$P$80,6,FALSE)</f>
        <v>Japão</v>
      </c>
      <c r="H41" s="28"/>
      <c r="I41" s="36" t="s">
        <v>2</v>
      </c>
      <c r="J41" s="28"/>
      <c r="K41" s="37" t="str">
        <f>VLOOKUP($B41,'Sorteio&amp;Cálculos'!$E$7:$P$80,10,FALSE)</f>
        <v>Senegal</v>
      </c>
      <c r="L41" s="31"/>
      <c r="M41" s="31"/>
      <c r="N41" s="31"/>
      <c r="O41" s="240"/>
      <c r="P41" s="16"/>
      <c r="Q41" s="15"/>
      <c r="R41" s="15"/>
      <c r="S41" s="15"/>
      <c r="T41" s="16"/>
      <c r="U41" s="16"/>
      <c r="X41" s="3"/>
      <c r="Y41" s="3"/>
    </row>
    <row r="42" spans="2:25" ht="17.25" thickTop="1" thickBot="1" x14ac:dyDescent="0.3">
      <c r="B42" s="32">
        <v>31</v>
      </c>
      <c r="C42" s="33">
        <f>VLOOKUP($B42,'Sorteio&amp;Cálculos'!$E$7:$P$80,2,FALSE)</f>
        <v>43275</v>
      </c>
      <c r="D42" s="242">
        <f>VLOOKUP($B42,'Sorteio&amp;Cálculos'!$E$7:$P$80,3,FALSE)</f>
        <v>0.625</v>
      </c>
      <c r="E42" s="32" t="str">
        <f>VLOOKUP($B42,'Sorteio&amp;Cálculos'!$E$7:$P$80,4,FALSE)</f>
        <v>Kazan</v>
      </c>
      <c r="F42" s="34" t="str">
        <f>VLOOKUP($B42,'Sorteio&amp;Cálculos'!$E$7:$P$80,5,FALSE)</f>
        <v>H</v>
      </c>
      <c r="G42" s="35" t="str">
        <f>VLOOKUP($B42,'Sorteio&amp;Cálculos'!$E$7:$P$80,6,FALSE)</f>
        <v>Polônia</v>
      </c>
      <c r="H42" s="28"/>
      <c r="I42" s="36" t="s">
        <v>2</v>
      </c>
      <c r="J42" s="28"/>
      <c r="K42" s="37" t="str">
        <f>VLOOKUP($B42,'Sorteio&amp;Cálculos'!$E$7:$P$80,10,FALSE)</f>
        <v>Colômbia</v>
      </c>
      <c r="L42" s="31"/>
      <c r="M42" s="31"/>
      <c r="N42" s="31"/>
      <c r="O42" s="240"/>
      <c r="P42" s="16"/>
      <c r="Q42" s="15"/>
      <c r="R42" s="15"/>
      <c r="S42" s="15"/>
      <c r="T42" s="16"/>
      <c r="U42" s="16"/>
      <c r="X42" s="3"/>
      <c r="Y42" s="3"/>
    </row>
    <row r="43" spans="2:25" ht="17.25" thickTop="1" thickBot="1" x14ac:dyDescent="0.3">
      <c r="B43" s="32">
        <v>33</v>
      </c>
      <c r="C43" s="33">
        <f>VLOOKUP($B43,'Sorteio&amp;Cálculos'!$E$7:$P$80,2,FALSE)</f>
        <v>43276</v>
      </c>
      <c r="D43" s="242">
        <f>VLOOKUP($B43,'Sorteio&amp;Cálculos'!$E$7:$P$80,3,FALSE)</f>
        <v>0.45833333333333331</v>
      </c>
      <c r="E43" s="32" t="str">
        <f>VLOOKUP($B43,'Sorteio&amp;Cálculos'!$E$7:$P$80,4,FALSE)</f>
        <v>Samara</v>
      </c>
      <c r="F43" s="34" t="str">
        <f>VLOOKUP($B43,'Sorteio&amp;Cálculos'!$E$7:$P$80,5,FALSE)</f>
        <v>A</v>
      </c>
      <c r="G43" s="35" t="str">
        <f>VLOOKUP($B43,'Sorteio&amp;Cálculos'!$E$7:$P$80,6,FALSE)</f>
        <v>Uruguai</v>
      </c>
      <c r="H43" s="28"/>
      <c r="I43" s="36" t="s">
        <v>2</v>
      </c>
      <c r="J43" s="28"/>
      <c r="K43" s="37" t="str">
        <f>VLOOKUP($B43,'Sorteio&amp;Cálculos'!$E$7:$P$80,10,FALSE)</f>
        <v>Rússia</v>
      </c>
      <c r="L43" s="31"/>
      <c r="M43" s="31"/>
      <c r="N43" s="31"/>
      <c r="O43" s="240"/>
      <c r="P43" s="16"/>
      <c r="Q43" s="15"/>
      <c r="R43" s="15"/>
      <c r="S43" s="15"/>
      <c r="T43" s="16"/>
      <c r="U43" s="16"/>
      <c r="X43" s="3"/>
      <c r="Y43" s="3"/>
    </row>
    <row r="44" spans="2:25" ht="17.25" thickTop="1" thickBot="1" x14ac:dyDescent="0.3">
      <c r="B44" s="32">
        <v>34</v>
      </c>
      <c r="C44" s="33">
        <f>VLOOKUP($B44,'Sorteio&amp;Cálculos'!$E$7:$P$80,2,FALSE)</f>
        <v>43276</v>
      </c>
      <c r="D44" s="242">
        <f>VLOOKUP($B44,'Sorteio&amp;Cálculos'!$E$7:$P$80,3,FALSE)</f>
        <v>0.45833333333333331</v>
      </c>
      <c r="E44" s="32" t="str">
        <f>VLOOKUP($B44,'Sorteio&amp;Cálculos'!$E$7:$P$80,4,FALSE)</f>
        <v>Volgogrado</v>
      </c>
      <c r="F44" s="34" t="str">
        <f>VLOOKUP($B44,'Sorteio&amp;Cálculos'!$E$7:$P$80,5,FALSE)</f>
        <v>A</v>
      </c>
      <c r="G44" s="35" t="str">
        <f>VLOOKUP($B44,'Sorteio&amp;Cálculos'!$E$7:$P$80,6,FALSE)</f>
        <v>Arábia Saudita</v>
      </c>
      <c r="H44" s="28"/>
      <c r="I44" s="36" t="s">
        <v>2</v>
      </c>
      <c r="J44" s="28"/>
      <c r="K44" s="37" t="str">
        <f>VLOOKUP($B44,'Sorteio&amp;Cálculos'!$E$7:$P$80,10,FALSE)</f>
        <v>Egito</v>
      </c>
      <c r="L44" s="31"/>
      <c r="M44" s="31"/>
      <c r="N44" s="31"/>
      <c r="O44" s="240"/>
      <c r="P44" s="16"/>
      <c r="Q44" s="15"/>
      <c r="R44" s="15"/>
      <c r="S44" s="15"/>
      <c r="T44" s="16"/>
      <c r="U44" s="16"/>
      <c r="X44" s="3"/>
      <c r="Y44" s="3"/>
    </row>
    <row r="45" spans="2:25" ht="17.25" thickTop="1" thickBot="1" x14ac:dyDescent="0.3">
      <c r="B45" s="32">
        <v>35</v>
      </c>
      <c r="C45" s="33">
        <f>VLOOKUP($B45,'Sorteio&amp;Cálculos'!$E$7:$P$80,2,FALSE)</f>
        <v>43276</v>
      </c>
      <c r="D45" s="242">
        <f>VLOOKUP($B45,'Sorteio&amp;Cálculos'!$E$7:$P$80,3,FALSE)</f>
        <v>0.625</v>
      </c>
      <c r="E45" s="32" t="str">
        <f>VLOOKUP($B45,'Sorteio&amp;Cálculos'!$E$7:$P$80,4,FALSE)</f>
        <v>Saransk</v>
      </c>
      <c r="F45" s="34" t="str">
        <f>VLOOKUP($B45,'Sorteio&amp;Cálculos'!$E$7:$P$80,5,FALSE)</f>
        <v>B</v>
      </c>
      <c r="G45" s="35" t="str">
        <f>VLOOKUP($B45,'Sorteio&amp;Cálculos'!$E$7:$P$80,6,FALSE)</f>
        <v>Irã</v>
      </c>
      <c r="H45" s="28"/>
      <c r="I45" s="36" t="s">
        <v>2</v>
      </c>
      <c r="J45" s="28"/>
      <c r="K45" s="37" t="str">
        <f>VLOOKUP($B45,'Sorteio&amp;Cálculos'!$E$7:$P$80,10,FALSE)</f>
        <v>Portugal</v>
      </c>
      <c r="L45" s="31"/>
      <c r="M45" s="31"/>
      <c r="N45" s="31"/>
      <c r="O45" s="240"/>
      <c r="P45" s="16"/>
      <c r="Q45" s="15"/>
      <c r="R45" s="15"/>
      <c r="S45" s="15"/>
      <c r="T45" s="16"/>
      <c r="U45" s="16"/>
      <c r="X45" s="3"/>
      <c r="Y45" s="3"/>
    </row>
    <row r="46" spans="2:25" ht="17.25" thickTop="1" thickBot="1" x14ac:dyDescent="0.3">
      <c r="B46" s="32">
        <v>36</v>
      </c>
      <c r="C46" s="33">
        <f>VLOOKUP($B46,'Sorteio&amp;Cálculos'!$E$7:$P$80,2,FALSE)</f>
        <v>43276</v>
      </c>
      <c r="D46" s="242">
        <f>VLOOKUP($B46,'Sorteio&amp;Cálculos'!$E$7:$P$80,3,FALSE)</f>
        <v>0.625</v>
      </c>
      <c r="E46" s="32" t="str">
        <f>VLOOKUP($B46,'Sorteio&amp;Cálculos'!$E$7:$P$80,4,FALSE)</f>
        <v>Caliningrado</v>
      </c>
      <c r="F46" s="34" t="str">
        <f>VLOOKUP($B46,'Sorteio&amp;Cálculos'!$E$7:$P$80,5,FALSE)</f>
        <v>B</v>
      </c>
      <c r="G46" s="35" t="str">
        <f>VLOOKUP($B46,'Sorteio&amp;Cálculos'!$E$7:$P$80,6,FALSE)</f>
        <v>Espanha</v>
      </c>
      <c r="H46" s="28"/>
      <c r="I46" s="36" t="s">
        <v>2</v>
      </c>
      <c r="J46" s="28"/>
      <c r="K46" s="37" t="str">
        <f>VLOOKUP($B46,'Sorteio&amp;Cálculos'!$E$7:$P$80,10,FALSE)</f>
        <v>Marrocos</v>
      </c>
      <c r="L46" s="31"/>
      <c r="M46" s="31"/>
      <c r="N46" s="31"/>
      <c r="O46" s="240"/>
      <c r="P46" s="16"/>
      <c r="Q46" s="15"/>
      <c r="R46" s="15"/>
      <c r="S46" s="15"/>
      <c r="T46" s="16"/>
      <c r="U46" s="16"/>
      <c r="X46" s="3"/>
      <c r="Y46" s="3"/>
    </row>
    <row r="47" spans="2:25" ht="17.25" thickTop="1" thickBot="1" x14ac:dyDescent="0.3">
      <c r="B47" s="32">
        <v>37</v>
      </c>
      <c r="C47" s="33">
        <f>VLOOKUP($B47,'Sorteio&amp;Cálculos'!$E$7:$P$80,2,FALSE)</f>
        <v>43277</v>
      </c>
      <c r="D47" s="242">
        <f>VLOOKUP($B47,'Sorteio&amp;Cálculos'!$E$7:$P$80,3,FALSE)</f>
        <v>0.45833333333333331</v>
      </c>
      <c r="E47" s="32" t="str">
        <f>VLOOKUP($B47,'Sorteio&amp;Cálculos'!$E$7:$P$80,4,FALSE)</f>
        <v>Moscou</v>
      </c>
      <c r="F47" s="34" t="str">
        <f>VLOOKUP($B47,'Sorteio&amp;Cálculos'!$E$7:$P$80,5,FALSE)</f>
        <v>C</v>
      </c>
      <c r="G47" s="35" t="str">
        <f>VLOOKUP($B47,'Sorteio&amp;Cálculos'!$E$7:$P$80,6,FALSE)</f>
        <v>Dinamarca</v>
      </c>
      <c r="H47" s="28"/>
      <c r="I47" s="36" t="s">
        <v>2</v>
      </c>
      <c r="J47" s="28"/>
      <c r="K47" s="37" t="str">
        <f>VLOOKUP($B47,'Sorteio&amp;Cálculos'!$E$7:$P$80,10,FALSE)</f>
        <v>França</v>
      </c>
      <c r="L47" s="31"/>
      <c r="M47" s="31"/>
      <c r="N47" s="31"/>
      <c r="O47" s="240"/>
      <c r="P47" s="16"/>
      <c r="Q47" s="15"/>
      <c r="R47" s="15"/>
      <c r="S47" s="15"/>
      <c r="T47" s="16"/>
      <c r="U47" s="16"/>
      <c r="X47" s="3"/>
      <c r="Y47" s="3"/>
    </row>
    <row r="48" spans="2:25" ht="17.25" thickTop="1" thickBot="1" x14ac:dyDescent="0.3">
      <c r="B48" s="32">
        <v>38</v>
      </c>
      <c r="C48" s="33">
        <f>VLOOKUP($B48,'Sorteio&amp;Cálculos'!$E$7:$P$80,2,FALSE)</f>
        <v>43277</v>
      </c>
      <c r="D48" s="242">
        <f>VLOOKUP($B48,'Sorteio&amp;Cálculos'!$E$7:$P$80,3,FALSE)</f>
        <v>0.45833333333333331</v>
      </c>
      <c r="E48" s="32" t="str">
        <f>VLOOKUP($B48,'Sorteio&amp;Cálculos'!$E$7:$P$80,4,FALSE)</f>
        <v>Sóchi</v>
      </c>
      <c r="F48" s="34" t="str">
        <f>VLOOKUP($B48,'Sorteio&amp;Cálculos'!$E$7:$P$80,5,FALSE)</f>
        <v>C</v>
      </c>
      <c r="G48" s="35" t="str">
        <f>VLOOKUP($B48,'Sorteio&amp;Cálculos'!$E$7:$P$80,6,FALSE)</f>
        <v>Austrália</v>
      </c>
      <c r="H48" s="28"/>
      <c r="I48" s="36" t="s">
        <v>2</v>
      </c>
      <c r="J48" s="28"/>
      <c r="K48" s="37" t="str">
        <f>VLOOKUP($B48,'Sorteio&amp;Cálculos'!$E$7:$P$80,10,FALSE)</f>
        <v>Peru</v>
      </c>
      <c r="L48" s="31"/>
      <c r="M48" s="31"/>
      <c r="N48" s="31"/>
      <c r="O48" s="240"/>
      <c r="P48" s="16"/>
      <c r="Q48" s="15"/>
      <c r="R48" s="15"/>
      <c r="S48" s="15"/>
      <c r="T48" s="16"/>
      <c r="U48" s="16"/>
      <c r="X48" s="3"/>
      <c r="Y48" s="3"/>
    </row>
    <row r="49" spans="2:29" ht="17.25" thickTop="1" thickBot="1" x14ac:dyDescent="0.3">
      <c r="B49" s="32">
        <v>39</v>
      </c>
      <c r="C49" s="33">
        <f>VLOOKUP($B49,'Sorteio&amp;Cálculos'!$E$7:$P$80,2,FALSE)</f>
        <v>43277</v>
      </c>
      <c r="D49" s="242">
        <f>VLOOKUP($B49,'Sorteio&amp;Cálculos'!$E$7:$P$80,3,FALSE)</f>
        <v>0.625</v>
      </c>
      <c r="E49" s="32" t="str">
        <f>VLOOKUP($B49,'Sorteio&amp;Cálculos'!$E$7:$P$80,4,FALSE)</f>
        <v>São Petersburgo</v>
      </c>
      <c r="F49" s="34" t="str">
        <f>VLOOKUP($B49,'Sorteio&amp;Cálculos'!$E$7:$P$80,5,FALSE)</f>
        <v>D</v>
      </c>
      <c r="G49" s="35" t="str">
        <f>VLOOKUP($B49,'Sorteio&amp;Cálculos'!$E$7:$P$80,6,FALSE)</f>
        <v>Nigéria</v>
      </c>
      <c r="H49" s="28"/>
      <c r="I49" s="36" t="s">
        <v>2</v>
      </c>
      <c r="J49" s="28"/>
      <c r="K49" s="37" t="str">
        <f>VLOOKUP($B49,'Sorteio&amp;Cálculos'!$E$7:$P$80,10,FALSE)</f>
        <v>Argentina</v>
      </c>
      <c r="L49" s="31"/>
      <c r="M49" s="31"/>
      <c r="N49" s="31"/>
      <c r="O49" s="240"/>
      <c r="P49" s="16"/>
      <c r="Q49" s="15"/>
      <c r="R49" s="15"/>
      <c r="S49" s="15"/>
      <c r="T49" s="16"/>
      <c r="U49" s="16"/>
      <c r="X49" s="3"/>
      <c r="Y49" s="3"/>
    </row>
    <row r="50" spans="2:29" ht="17.25" thickTop="1" thickBot="1" x14ac:dyDescent="0.3">
      <c r="B50" s="32">
        <v>40</v>
      </c>
      <c r="C50" s="33">
        <f>VLOOKUP($B50,'Sorteio&amp;Cálculos'!$E$7:$P$80,2,FALSE)</f>
        <v>43277</v>
      </c>
      <c r="D50" s="242">
        <f>VLOOKUP($B50,'Sorteio&amp;Cálculos'!$E$7:$P$80,3,FALSE)</f>
        <v>0.625</v>
      </c>
      <c r="E50" s="32" t="str">
        <f>VLOOKUP($B50,'Sorteio&amp;Cálculos'!$E$7:$P$80,4,FALSE)</f>
        <v>Rostov do Don</v>
      </c>
      <c r="F50" s="34" t="str">
        <f>VLOOKUP($B50,'Sorteio&amp;Cálculos'!$E$7:$P$80,5,FALSE)</f>
        <v>D</v>
      </c>
      <c r="G50" s="35" t="str">
        <f>VLOOKUP($B50,'Sorteio&amp;Cálculos'!$E$7:$P$80,6,FALSE)</f>
        <v>Islândia</v>
      </c>
      <c r="H50" s="28"/>
      <c r="I50" s="36" t="s">
        <v>2</v>
      </c>
      <c r="J50" s="28"/>
      <c r="K50" s="37" t="str">
        <f>VLOOKUP($B50,'Sorteio&amp;Cálculos'!$E$7:$P$80,10,FALSE)</f>
        <v>Croácia</v>
      </c>
      <c r="L50" s="31"/>
      <c r="M50" s="31"/>
      <c r="N50" s="31"/>
      <c r="O50" s="240"/>
      <c r="P50" s="16"/>
      <c r="Q50" s="15"/>
      <c r="R50" s="15"/>
      <c r="S50" s="15"/>
      <c r="T50" s="16"/>
      <c r="U50" s="16"/>
      <c r="X50" s="3"/>
      <c r="Y50" s="3"/>
    </row>
    <row r="51" spans="2:29" ht="17.25" thickTop="1" thickBot="1" x14ac:dyDescent="0.3">
      <c r="B51" s="32">
        <v>43</v>
      </c>
      <c r="C51" s="33">
        <f>VLOOKUP($B51,'Sorteio&amp;Cálculos'!$E$7:$P$80,2,FALSE)</f>
        <v>43278</v>
      </c>
      <c r="D51" s="242">
        <f>VLOOKUP($B51,'Sorteio&amp;Cálculos'!$E$7:$P$80,3,FALSE)</f>
        <v>0.45833333333333331</v>
      </c>
      <c r="E51" s="32" t="str">
        <f>VLOOKUP($B51,'Sorteio&amp;Cálculos'!$E$7:$P$80,4,FALSE)</f>
        <v>Kazan</v>
      </c>
      <c r="F51" s="34" t="str">
        <f>VLOOKUP($B51,'Sorteio&amp;Cálculos'!$E$7:$P$80,5,FALSE)</f>
        <v>F</v>
      </c>
      <c r="G51" s="35" t="str">
        <f>VLOOKUP($B51,'Sorteio&amp;Cálculos'!$E$7:$P$80,6,FALSE)</f>
        <v>Coreia do Sul</v>
      </c>
      <c r="H51" s="28"/>
      <c r="I51" s="36" t="s">
        <v>2</v>
      </c>
      <c r="J51" s="28"/>
      <c r="K51" s="37" t="str">
        <f>VLOOKUP($B51,'Sorteio&amp;Cálculos'!$E$7:$P$80,10,FALSE)</f>
        <v>Alemanha</v>
      </c>
      <c r="L51" s="31"/>
      <c r="M51" s="31"/>
      <c r="N51" s="31"/>
      <c r="O51" s="240"/>
      <c r="P51" s="16"/>
      <c r="Q51" s="15"/>
      <c r="R51" s="15"/>
      <c r="S51" s="15"/>
      <c r="T51" s="16"/>
      <c r="U51" s="16"/>
      <c r="X51" s="3"/>
      <c r="Y51" s="3"/>
    </row>
    <row r="52" spans="2:29" ht="17.25" thickTop="1" thickBot="1" x14ac:dyDescent="0.3">
      <c r="B52" s="32">
        <v>44</v>
      </c>
      <c r="C52" s="33">
        <f>VLOOKUP($B52,'Sorteio&amp;Cálculos'!$E$7:$P$80,2,FALSE)</f>
        <v>43278</v>
      </c>
      <c r="D52" s="242">
        <f>VLOOKUP($B52,'Sorteio&amp;Cálculos'!$E$7:$P$80,3,FALSE)</f>
        <v>0.45833333333333331</v>
      </c>
      <c r="E52" s="32" t="str">
        <f>VLOOKUP($B52,'Sorteio&amp;Cálculos'!$E$7:$P$80,4,FALSE)</f>
        <v>Ecaterimburgo</v>
      </c>
      <c r="F52" s="34" t="str">
        <f>VLOOKUP($B52,'Sorteio&amp;Cálculos'!$E$7:$P$80,5,FALSE)</f>
        <v>F</v>
      </c>
      <c r="G52" s="35" t="str">
        <f>VLOOKUP($B52,'Sorteio&amp;Cálculos'!$E$7:$P$80,6,FALSE)</f>
        <v>México</v>
      </c>
      <c r="H52" s="28"/>
      <c r="I52" s="36" t="s">
        <v>2</v>
      </c>
      <c r="J52" s="28"/>
      <c r="K52" s="37" t="str">
        <f>VLOOKUP($B52,'Sorteio&amp;Cálculos'!$E$7:$P$80,10,FALSE)</f>
        <v>Suécia</v>
      </c>
      <c r="L52" s="31"/>
      <c r="M52" s="31"/>
      <c r="N52" s="31"/>
      <c r="O52" s="240"/>
      <c r="P52" s="16"/>
      <c r="Q52" s="15"/>
      <c r="R52" s="15"/>
      <c r="S52" s="15"/>
      <c r="T52" s="16"/>
      <c r="U52" s="16"/>
      <c r="X52" s="3"/>
      <c r="Y52" s="3"/>
    </row>
    <row r="53" spans="2:29" ht="17.25" thickTop="1" thickBot="1" x14ac:dyDescent="0.3">
      <c r="B53" s="32">
        <v>41</v>
      </c>
      <c r="C53" s="33">
        <f>VLOOKUP($B53,'Sorteio&amp;Cálculos'!$E$7:$P$80,2,FALSE)</f>
        <v>43278</v>
      </c>
      <c r="D53" s="242">
        <f>VLOOKUP($B53,'Sorteio&amp;Cálculos'!$E$7:$P$80,3,FALSE)</f>
        <v>0.625</v>
      </c>
      <c r="E53" s="32" t="str">
        <f>VLOOKUP($B53,'Sorteio&amp;Cálculos'!$E$7:$P$80,4,FALSE)</f>
        <v>Moscou</v>
      </c>
      <c r="F53" s="34" t="str">
        <f>VLOOKUP($B53,'Sorteio&amp;Cálculos'!$E$7:$P$80,5,FALSE)</f>
        <v>E</v>
      </c>
      <c r="G53" s="35" t="str">
        <f>VLOOKUP($B53,'Sorteio&amp;Cálculos'!$E$7:$P$80,6,FALSE)</f>
        <v>Sérvia</v>
      </c>
      <c r="H53" s="28"/>
      <c r="I53" s="36" t="s">
        <v>2</v>
      </c>
      <c r="J53" s="28"/>
      <c r="K53" s="37" t="str">
        <f>VLOOKUP($B53,'Sorteio&amp;Cálculos'!$E$7:$P$80,10,FALSE)</f>
        <v>BRASIL</v>
      </c>
      <c r="L53" s="31"/>
      <c r="M53" s="31"/>
      <c r="N53" s="31"/>
      <c r="O53" s="240"/>
      <c r="P53" s="16"/>
      <c r="Q53" s="15"/>
      <c r="R53" s="15"/>
      <c r="S53" s="15"/>
      <c r="T53" s="16"/>
      <c r="U53" s="16"/>
      <c r="X53" s="3"/>
      <c r="Y53" s="3"/>
    </row>
    <row r="54" spans="2:29" ht="17.25" thickTop="1" thickBot="1" x14ac:dyDescent="0.3">
      <c r="B54" s="32">
        <v>42</v>
      </c>
      <c r="C54" s="33">
        <f>VLOOKUP($B54,'Sorteio&amp;Cálculos'!$E$7:$P$80,2,FALSE)</f>
        <v>43278</v>
      </c>
      <c r="D54" s="242">
        <f>VLOOKUP($B54,'Sorteio&amp;Cálculos'!$E$7:$P$80,3,FALSE)</f>
        <v>0.625</v>
      </c>
      <c r="E54" s="32" t="str">
        <f>VLOOKUP($B54,'Sorteio&amp;Cálculos'!$E$7:$P$80,4,FALSE)</f>
        <v>Níjni Novgorod</v>
      </c>
      <c r="F54" s="34" t="str">
        <f>VLOOKUP($B54,'Sorteio&amp;Cálculos'!$E$7:$P$80,5,FALSE)</f>
        <v>E</v>
      </c>
      <c r="G54" s="35" t="str">
        <f>VLOOKUP($B54,'Sorteio&amp;Cálculos'!$E$7:$P$80,6,FALSE)</f>
        <v>Suíça</v>
      </c>
      <c r="H54" s="28"/>
      <c r="I54" s="36" t="s">
        <v>2</v>
      </c>
      <c r="J54" s="28"/>
      <c r="K54" s="37" t="str">
        <f>VLOOKUP($B54,'Sorteio&amp;Cálculos'!$E$7:$P$80,10,FALSE)</f>
        <v>Costa Rica</v>
      </c>
      <c r="L54" s="31"/>
      <c r="M54" s="31"/>
      <c r="N54" s="31"/>
      <c r="O54" s="240"/>
      <c r="P54" s="16"/>
      <c r="Q54" s="15"/>
      <c r="R54" s="15"/>
      <c r="S54" s="15"/>
      <c r="T54" s="16"/>
      <c r="U54" s="16"/>
      <c r="X54" s="3"/>
      <c r="Y54" s="3"/>
    </row>
    <row r="55" spans="2:29" ht="17.25" thickTop="1" thickBot="1" x14ac:dyDescent="0.3">
      <c r="B55" s="32">
        <v>47</v>
      </c>
      <c r="C55" s="33">
        <f>VLOOKUP($B55,'Sorteio&amp;Cálculos'!$E$7:$P$80,2,FALSE)</f>
        <v>43279</v>
      </c>
      <c r="D55" s="242">
        <f>VLOOKUP($B55,'Sorteio&amp;Cálculos'!$E$7:$P$80,3,FALSE)</f>
        <v>0.45833333333333331</v>
      </c>
      <c r="E55" s="32" t="str">
        <f>VLOOKUP($B55,'Sorteio&amp;Cálculos'!$E$7:$P$80,4,FALSE)</f>
        <v>Volgogrado</v>
      </c>
      <c r="F55" s="34" t="str">
        <f>VLOOKUP($B55,'Sorteio&amp;Cálculos'!$E$7:$P$80,5,FALSE)</f>
        <v>H</v>
      </c>
      <c r="G55" s="35" t="str">
        <f>VLOOKUP($B55,'Sorteio&amp;Cálculos'!$E$7:$P$80,6,FALSE)</f>
        <v>Japão</v>
      </c>
      <c r="H55" s="28"/>
      <c r="I55" s="36" t="s">
        <v>2</v>
      </c>
      <c r="J55" s="28"/>
      <c r="K55" s="37" t="str">
        <f>VLOOKUP($B55,'Sorteio&amp;Cálculos'!$E$7:$P$80,10,FALSE)</f>
        <v>Polônia</v>
      </c>
      <c r="L55" s="31"/>
      <c r="M55" s="31"/>
      <c r="N55" s="31"/>
      <c r="O55" s="240"/>
      <c r="P55" s="16"/>
      <c r="Q55" s="15"/>
      <c r="R55" s="15"/>
      <c r="S55" s="15"/>
      <c r="T55" s="16"/>
      <c r="U55" s="16"/>
      <c r="X55" s="3"/>
      <c r="Y55" s="3"/>
    </row>
    <row r="56" spans="2:29" ht="17.25" thickTop="1" thickBot="1" x14ac:dyDescent="0.3">
      <c r="B56" s="32">
        <v>48</v>
      </c>
      <c r="C56" s="33">
        <f>VLOOKUP($B56,'Sorteio&amp;Cálculos'!$E$7:$P$80,2,FALSE)</f>
        <v>43279</v>
      </c>
      <c r="D56" s="242">
        <f>VLOOKUP($B56,'Sorteio&amp;Cálculos'!$E$7:$P$80,3,FALSE)</f>
        <v>0.45833333333333331</v>
      </c>
      <c r="E56" s="32" t="str">
        <f>VLOOKUP($B56,'Sorteio&amp;Cálculos'!$E$7:$P$80,4,FALSE)</f>
        <v>Samara</v>
      </c>
      <c r="F56" s="34" t="str">
        <f>VLOOKUP($B56,'Sorteio&amp;Cálculos'!$E$7:$P$80,5,FALSE)</f>
        <v>H</v>
      </c>
      <c r="G56" s="35" t="str">
        <f>VLOOKUP($B56,'Sorteio&amp;Cálculos'!$E$7:$P$80,6,FALSE)</f>
        <v>Senegal</v>
      </c>
      <c r="H56" s="28"/>
      <c r="I56" s="36" t="s">
        <v>2</v>
      </c>
      <c r="J56" s="28"/>
      <c r="K56" s="37" t="str">
        <f>VLOOKUP($B56,'Sorteio&amp;Cálculos'!$E$7:$P$80,10,FALSE)</f>
        <v>Colômbia</v>
      </c>
      <c r="L56" s="31"/>
      <c r="M56" s="31"/>
      <c r="N56" s="31"/>
      <c r="O56" s="240"/>
      <c r="P56" s="16"/>
      <c r="Q56" s="15"/>
      <c r="R56" s="15"/>
      <c r="S56" s="15"/>
      <c r="T56" s="16"/>
      <c r="U56" s="16"/>
      <c r="X56" s="3"/>
      <c r="Y56" s="3"/>
    </row>
    <row r="57" spans="2:29" ht="17.25" thickTop="1" thickBot="1" x14ac:dyDescent="0.3">
      <c r="B57" s="32">
        <v>45</v>
      </c>
      <c r="C57" s="33">
        <f>VLOOKUP($B57,'Sorteio&amp;Cálculos'!$E$7:$P$80,2,FALSE)</f>
        <v>43279</v>
      </c>
      <c r="D57" s="242">
        <f>VLOOKUP($B57,'Sorteio&amp;Cálculos'!$E$7:$P$80,3,FALSE)</f>
        <v>0.625</v>
      </c>
      <c r="E57" s="32" t="str">
        <f>VLOOKUP($B57,'Sorteio&amp;Cálculos'!$E$7:$P$80,4,FALSE)</f>
        <v>Caliningrado</v>
      </c>
      <c r="F57" s="34" t="str">
        <f>VLOOKUP($B57,'Sorteio&amp;Cálculos'!$E$7:$P$80,5,FALSE)</f>
        <v>G</v>
      </c>
      <c r="G57" s="35" t="str">
        <f>VLOOKUP($B57,'Sorteio&amp;Cálculos'!$E$7:$P$80,6,FALSE)</f>
        <v>Inglaterra</v>
      </c>
      <c r="H57" s="28"/>
      <c r="I57" s="36" t="s">
        <v>2</v>
      </c>
      <c r="J57" s="28"/>
      <c r="K57" s="37" t="str">
        <f>VLOOKUP($B57,'Sorteio&amp;Cálculos'!$E$7:$P$80,10,FALSE)</f>
        <v>Bélgica</v>
      </c>
      <c r="L57" s="31"/>
      <c r="M57" s="31"/>
      <c r="N57" s="31"/>
      <c r="O57" s="240"/>
      <c r="P57" s="16"/>
      <c r="Q57" s="15"/>
      <c r="R57" s="15"/>
      <c r="S57" s="15"/>
      <c r="T57" s="16"/>
      <c r="U57" s="16"/>
      <c r="X57" s="3"/>
      <c r="Y57" s="3"/>
    </row>
    <row r="58" spans="2:29" ht="17.25" thickTop="1" thickBot="1" x14ac:dyDescent="0.3">
      <c r="B58" s="32">
        <v>46</v>
      </c>
      <c r="C58" s="33">
        <f>VLOOKUP($B58,'Sorteio&amp;Cálculos'!$E$7:$P$80,2,FALSE)</f>
        <v>43279</v>
      </c>
      <c r="D58" s="242">
        <f>VLOOKUP($B58,'Sorteio&amp;Cálculos'!$E$7:$P$80,3,FALSE)</f>
        <v>0.625</v>
      </c>
      <c r="E58" s="32" t="str">
        <f>VLOOKUP($B58,'Sorteio&amp;Cálculos'!$E$7:$P$80,4,FALSE)</f>
        <v>Saransk</v>
      </c>
      <c r="F58" s="34" t="str">
        <f>VLOOKUP($B58,'Sorteio&amp;Cálculos'!$E$7:$P$80,5,FALSE)</f>
        <v>G</v>
      </c>
      <c r="G58" s="35" t="str">
        <f>VLOOKUP($B58,'Sorteio&amp;Cálculos'!$E$7:$P$80,6,FALSE)</f>
        <v>Panamá</v>
      </c>
      <c r="H58" s="28"/>
      <c r="I58" s="36" t="s">
        <v>2</v>
      </c>
      <c r="J58" s="28"/>
      <c r="K58" s="37" t="str">
        <f>VLOOKUP($B58,'Sorteio&amp;Cálculos'!$E$7:$P$80,10,FALSE)</f>
        <v>Tunísia</v>
      </c>
      <c r="L58" s="31"/>
      <c r="M58" s="31"/>
      <c r="N58" s="31"/>
      <c r="O58" s="240"/>
      <c r="P58" s="16"/>
      <c r="Q58" s="15"/>
      <c r="R58" s="15"/>
      <c r="S58" s="15"/>
      <c r="T58" s="16"/>
      <c r="U58" s="16"/>
      <c r="X58" s="3"/>
      <c r="Y58" s="3"/>
    </row>
    <row r="59" spans="2:29" ht="16.5" thickTop="1" thickBot="1" x14ac:dyDescent="0.3">
      <c r="B59" s="244" t="str">
        <f>IF(P59=1,"ATENÇÃO: Falta definir ordem de classificação de um ou mais grupos para os jogos das Oitavas. Vide tela de Classificação.","")</f>
        <v/>
      </c>
      <c r="C59" s="244"/>
      <c r="D59" s="244"/>
      <c r="E59" s="244"/>
      <c r="F59" s="244"/>
      <c r="G59" s="244"/>
      <c r="H59" s="244"/>
      <c r="I59" s="244"/>
      <c r="J59" s="244"/>
      <c r="K59" s="244"/>
      <c r="L59" s="244"/>
      <c r="M59" s="244"/>
      <c r="N59" s="244"/>
      <c r="O59" s="244"/>
      <c r="P59" s="16">
        <f>'Sorteio&amp;Cálculos'!BB6</f>
        <v>0</v>
      </c>
      <c r="Q59" s="15"/>
      <c r="R59" s="15"/>
      <c r="S59" s="16"/>
      <c r="T59" s="16"/>
    </row>
    <row r="60" spans="2:29" ht="16.5" thickBot="1" x14ac:dyDescent="0.3">
      <c r="B60" s="17" t="s">
        <v>66</v>
      </c>
      <c r="C60" s="18" t="s">
        <v>0</v>
      </c>
      <c r="D60" s="18" t="s">
        <v>68</v>
      </c>
      <c r="E60" s="17" t="s">
        <v>67</v>
      </c>
      <c r="F60" s="18" t="s">
        <v>19</v>
      </c>
      <c r="G60" s="40"/>
      <c r="H60" s="20"/>
      <c r="I60" s="21" t="s">
        <v>87</v>
      </c>
      <c r="J60" s="20"/>
      <c r="K60" s="41"/>
      <c r="L60" s="176" t="s">
        <v>38</v>
      </c>
      <c r="M60" s="177"/>
      <c r="N60" s="178"/>
      <c r="O60" s="240"/>
      <c r="P60" s="16"/>
      <c r="Q60" s="15"/>
      <c r="R60" s="15"/>
      <c r="S60" s="15"/>
      <c r="T60" s="16"/>
      <c r="X60" s="3"/>
      <c r="Y60" s="3"/>
      <c r="AC60" s="43"/>
    </row>
    <row r="61" spans="2:29" ht="17.25" thickTop="1" thickBot="1" x14ac:dyDescent="0.3">
      <c r="B61" s="24">
        <v>50</v>
      </c>
      <c r="C61" s="33">
        <f>VLOOKUP($B61,'Sorteio&amp;Cálculos'!$E$7:$P$80,2,FALSE)</f>
        <v>43281</v>
      </c>
      <c r="D61" s="242">
        <f>VLOOKUP($B61,'Sorteio&amp;Cálculos'!$E$7:$P$80,3,FALSE)</f>
        <v>0.45833333333333331</v>
      </c>
      <c r="E61" s="32" t="str">
        <f>VLOOKUP($B61,'Sorteio&amp;Cálculos'!$E$7:$P$80,4,FALSE)</f>
        <v>Kazan</v>
      </c>
      <c r="F61" s="39" t="str">
        <f>VLOOKUP($B61,'Sorteio&amp;Cálculos'!$E$7:$P$80,5,FALSE)</f>
        <v>O3</v>
      </c>
      <c r="G61" s="35" t="str">
        <f>VLOOKUP($B61,'Sorteio&amp;Cálculos'!$E$7:$P$80,6,FALSE)</f>
        <v>1º Grupo C</v>
      </c>
      <c r="H61" s="28"/>
      <c r="I61" s="36" t="s">
        <v>2</v>
      </c>
      <c r="J61" s="28"/>
      <c r="K61" s="37" t="str">
        <f>VLOOKUP($B61,'Sorteio&amp;Cálculos'!$E$7:$P$80,10,FALSE)</f>
        <v>2º Grupo D</v>
      </c>
      <c r="L61" s="44"/>
      <c r="M61" s="45" t="str">
        <f t="shared" ref="M61:M68" si="0">IF(P61=1,"x","")</f>
        <v/>
      </c>
      <c r="N61" s="44"/>
      <c r="O61" s="240"/>
      <c r="P61" s="16">
        <f>VLOOKUP($B61,'Sorteio&amp;Cálculos'!$E$7:$V$80,18,FALSE)</f>
        <v>0</v>
      </c>
      <c r="Q61" s="15"/>
      <c r="R61" s="15"/>
      <c r="S61" s="15"/>
      <c r="T61" s="16"/>
      <c r="U61" s="16"/>
      <c r="X61" s="3"/>
      <c r="Y61" s="3"/>
    </row>
    <row r="62" spans="2:29" ht="17.25" thickTop="1" thickBot="1" x14ac:dyDescent="0.3">
      <c r="B62" s="46">
        <v>49</v>
      </c>
      <c r="C62" s="33">
        <f>VLOOKUP($B62,'Sorteio&amp;Cálculos'!$E$7:$P$80,2,FALSE)</f>
        <v>43281</v>
      </c>
      <c r="D62" s="242">
        <f>VLOOKUP($B62,'Sorteio&amp;Cálculos'!$E$7:$P$80,3,FALSE)</f>
        <v>0.625</v>
      </c>
      <c r="E62" s="32" t="str">
        <f>VLOOKUP($B62,'Sorteio&amp;Cálculos'!$E$7:$P$80,4,FALSE)</f>
        <v>Sóchi</v>
      </c>
      <c r="F62" s="39" t="str">
        <f>VLOOKUP($B62,'Sorteio&amp;Cálculos'!$E$7:$P$80,5,FALSE)</f>
        <v>O1</v>
      </c>
      <c r="G62" s="35" t="str">
        <f>VLOOKUP($B62,'Sorteio&amp;Cálculos'!$E$7:$P$80,6,FALSE)</f>
        <v>1º Grupo A</v>
      </c>
      <c r="H62" s="28"/>
      <c r="I62" s="36" t="s">
        <v>2</v>
      </c>
      <c r="J62" s="28"/>
      <c r="K62" s="37" t="str">
        <f>VLOOKUP($B62,'Sorteio&amp;Cálculos'!$E$7:$P$80,10,FALSE)</f>
        <v>2º Grupo B</v>
      </c>
      <c r="L62" s="44"/>
      <c r="M62" s="45" t="str">
        <f t="shared" si="0"/>
        <v/>
      </c>
      <c r="N62" s="44"/>
      <c r="O62" s="240"/>
      <c r="P62" s="16">
        <f>VLOOKUP($B62,'Sorteio&amp;Cálculos'!$E$7:$V$80,18,FALSE)</f>
        <v>0</v>
      </c>
      <c r="Q62" s="15"/>
      <c r="R62" s="15"/>
      <c r="S62" s="15"/>
      <c r="T62" s="16"/>
      <c r="U62" s="16"/>
      <c r="X62" s="3"/>
      <c r="Y62" s="3"/>
    </row>
    <row r="63" spans="2:29" ht="17.25" thickTop="1" thickBot="1" x14ac:dyDescent="0.3">
      <c r="B63" s="46">
        <v>51</v>
      </c>
      <c r="C63" s="33">
        <f>VLOOKUP($B63,'Sorteio&amp;Cálculos'!$E$7:$P$80,2,FALSE)</f>
        <v>43282</v>
      </c>
      <c r="D63" s="242">
        <f>VLOOKUP($B63,'Sorteio&amp;Cálculos'!$E$7:$P$80,3,FALSE)</f>
        <v>0.45833333333333331</v>
      </c>
      <c r="E63" s="32" t="str">
        <f>VLOOKUP($B63,'Sorteio&amp;Cálculos'!$E$7:$P$80,4,FALSE)</f>
        <v>Moscou</v>
      </c>
      <c r="F63" s="39" t="str">
        <f>VLOOKUP($B63,'Sorteio&amp;Cálculos'!$E$7:$P$80,5,FALSE)</f>
        <v>O2</v>
      </c>
      <c r="G63" s="35" t="str">
        <f>VLOOKUP($B63,'Sorteio&amp;Cálculos'!$E$7:$P$80,6,FALSE)</f>
        <v>1º Grupo B</v>
      </c>
      <c r="H63" s="28"/>
      <c r="I63" s="36" t="s">
        <v>2</v>
      </c>
      <c r="J63" s="28"/>
      <c r="K63" s="37" t="str">
        <f>VLOOKUP($B63,'Sorteio&amp;Cálculos'!$E$7:$P$80,10,FALSE)</f>
        <v>2º Grupo A</v>
      </c>
      <c r="L63" s="44"/>
      <c r="M63" s="45" t="str">
        <f t="shared" si="0"/>
        <v/>
      </c>
      <c r="N63" s="44"/>
      <c r="O63" s="240"/>
      <c r="P63" s="16">
        <f>VLOOKUP($B63,'Sorteio&amp;Cálculos'!$E$7:$V$80,18,FALSE)</f>
        <v>0</v>
      </c>
      <c r="Q63" s="15"/>
      <c r="R63" s="15"/>
      <c r="S63" s="15"/>
      <c r="T63" s="16"/>
      <c r="U63" s="16"/>
      <c r="X63" s="3"/>
      <c r="Y63" s="3"/>
    </row>
    <row r="64" spans="2:29" ht="17.25" thickTop="1" thickBot="1" x14ac:dyDescent="0.3">
      <c r="B64" s="46">
        <v>52</v>
      </c>
      <c r="C64" s="33">
        <f>VLOOKUP($B64,'Sorteio&amp;Cálculos'!$E$7:$P$80,2,FALSE)</f>
        <v>43282</v>
      </c>
      <c r="D64" s="242">
        <f>VLOOKUP($B64,'Sorteio&amp;Cálculos'!$E$7:$P$80,3,FALSE)</f>
        <v>0.625</v>
      </c>
      <c r="E64" s="32" t="str">
        <f>VLOOKUP($B64,'Sorteio&amp;Cálculos'!$E$7:$P$80,4,FALSE)</f>
        <v>Níjni Novgorod</v>
      </c>
      <c r="F64" s="39" t="str">
        <f>VLOOKUP($B64,'Sorteio&amp;Cálculos'!$E$7:$P$80,5,FALSE)</f>
        <v>O4</v>
      </c>
      <c r="G64" s="35" t="str">
        <f>VLOOKUP($B64,'Sorteio&amp;Cálculos'!$E$7:$P$80,6,FALSE)</f>
        <v>1º Grupo D</v>
      </c>
      <c r="H64" s="28"/>
      <c r="I64" s="36" t="s">
        <v>2</v>
      </c>
      <c r="J64" s="28"/>
      <c r="K64" s="37" t="str">
        <f>VLOOKUP($B64,'Sorteio&amp;Cálculos'!$E$7:$P$80,10,FALSE)</f>
        <v>2º Grupo C</v>
      </c>
      <c r="L64" s="44"/>
      <c r="M64" s="45" t="str">
        <f t="shared" si="0"/>
        <v/>
      </c>
      <c r="N64" s="44"/>
      <c r="O64" s="240"/>
      <c r="P64" s="16">
        <f>VLOOKUP($B64,'Sorteio&amp;Cálculos'!$E$7:$V$80,18,FALSE)</f>
        <v>0</v>
      </c>
      <c r="Q64" s="15"/>
      <c r="R64" s="15"/>
      <c r="S64" s="15"/>
      <c r="T64" s="16"/>
      <c r="U64" s="16"/>
      <c r="X64" s="3"/>
      <c r="Y64" s="3"/>
    </row>
    <row r="65" spans="2:25" ht="17.25" thickTop="1" thickBot="1" x14ac:dyDescent="0.3">
      <c r="B65" s="46">
        <v>53</v>
      </c>
      <c r="C65" s="33">
        <f>VLOOKUP($B65,'Sorteio&amp;Cálculos'!$E$7:$P$80,2,FALSE)</f>
        <v>43283</v>
      </c>
      <c r="D65" s="242">
        <f>VLOOKUP($B65,'Sorteio&amp;Cálculos'!$E$7:$P$80,3,FALSE)</f>
        <v>0.45833333333333331</v>
      </c>
      <c r="E65" s="32" t="str">
        <f>VLOOKUP($B65,'Sorteio&amp;Cálculos'!$E$7:$P$80,4,FALSE)</f>
        <v>Samara</v>
      </c>
      <c r="F65" s="39" t="str">
        <f>VLOOKUP($B65,'Sorteio&amp;Cálculos'!$E$7:$P$80,5,FALSE)</f>
        <v>O5</v>
      </c>
      <c r="G65" s="35" t="str">
        <f>VLOOKUP($B65,'Sorteio&amp;Cálculos'!$E$7:$P$80,6,FALSE)</f>
        <v>1º Grupo E</v>
      </c>
      <c r="H65" s="28"/>
      <c r="I65" s="36" t="s">
        <v>2</v>
      </c>
      <c r="J65" s="28"/>
      <c r="K65" s="37" t="str">
        <f>VLOOKUP($B65,'Sorteio&amp;Cálculos'!$E$7:$P$80,10,FALSE)</f>
        <v>2º Grupo F</v>
      </c>
      <c r="L65" s="44"/>
      <c r="M65" s="45" t="str">
        <f t="shared" si="0"/>
        <v/>
      </c>
      <c r="N65" s="44"/>
      <c r="O65" s="240"/>
      <c r="P65" s="16">
        <f>VLOOKUP($B65,'Sorteio&amp;Cálculos'!$E$7:$V$80,18,FALSE)</f>
        <v>0</v>
      </c>
      <c r="Q65" s="15"/>
      <c r="R65" s="15"/>
      <c r="S65" s="15"/>
      <c r="T65" s="16"/>
      <c r="U65" s="16"/>
      <c r="X65" s="3"/>
      <c r="Y65" s="3"/>
    </row>
    <row r="66" spans="2:25" ht="17.25" thickTop="1" thickBot="1" x14ac:dyDescent="0.3">
      <c r="B66" s="46">
        <v>54</v>
      </c>
      <c r="C66" s="33">
        <f>VLOOKUP($B66,'Sorteio&amp;Cálculos'!$E$7:$P$80,2,FALSE)</f>
        <v>43283</v>
      </c>
      <c r="D66" s="242">
        <f>VLOOKUP($B66,'Sorteio&amp;Cálculos'!$E$7:$P$80,3,FALSE)</f>
        <v>0.625</v>
      </c>
      <c r="E66" s="32" t="str">
        <f>VLOOKUP($B66,'Sorteio&amp;Cálculos'!$E$7:$P$80,4,FALSE)</f>
        <v>Rostov do Don</v>
      </c>
      <c r="F66" s="39" t="str">
        <f>VLOOKUP($B66,'Sorteio&amp;Cálculos'!$E$7:$P$80,5,FALSE)</f>
        <v>O7</v>
      </c>
      <c r="G66" s="35" t="str">
        <f>VLOOKUP($B66,'Sorteio&amp;Cálculos'!$E$7:$P$80,6,FALSE)</f>
        <v>1º Grupo G</v>
      </c>
      <c r="H66" s="28"/>
      <c r="I66" s="36" t="s">
        <v>2</v>
      </c>
      <c r="J66" s="28"/>
      <c r="K66" s="37" t="str">
        <f>VLOOKUP($B66,'Sorteio&amp;Cálculos'!$E$7:$P$80,10,FALSE)</f>
        <v>2º Grupo H</v>
      </c>
      <c r="L66" s="44"/>
      <c r="M66" s="45" t="str">
        <f t="shared" si="0"/>
        <v/>
      </c>
      <c r="N66" s="44"/>
      <c r="O66" s="240"/>
      <c r="P66" s="16">
        <f>VLOOKUP($B66,'Sorteio&amp;Cálculos'!$E$7:$V$80,18,FALSE)</f>
        <v>0</v>
      </c>
      <c r="Q66" s="15"/>
      <c r="R66" s="15"/>
      <c r="S66" s="15"/>
      <c r="T66" s="16"/>
      <c r="U66" s="16"/>
      <c r="X66" s="3"/>
      <c r="Y66" s="3"/>
    </row>
    <row r="67" spans="2:25" ht="17.25" thickTop="1" thickBot="1" x14ac:dyDescent="0.3">
      <c r="B67" s="46">
        <v>55</v>
      </c>
      <c r="C67" s="33">
        <f>VLOOKUP($B67,'Sorteio&amp;Cálculos'!$E$7:$P$80,2,FALSE)</f>
        <v>43284</v>
      </c>
      <c r="D67" s="242">
        <f>VLOOKUP($B67,'Sorteio&amp;Cálculos'!$E$7:$P$80,3,FALSE)</f>
        <v>0.45833333333333331</v>
      </c>
      <c r="E67" s="32" t="str">
        <f>VLOOKUP($B67,'Sorteio&amp;Cálculos'!$E$7:$P$80,4,FALSE)</f>
        <v>São Petersburgo</v>
      </c>
      <c r="F67" s="39" t="str">
        <f>VLOOKUP($B67,'Sorteio&amp;Cálculos'!$E$7:$P$80,5,FALSE)</f>
        <v>O6</v>
      </c>
      <c r="G67" s="35" t="str">
        <f>VLOOKUP($B67,'Sorteio&amp;Cálculos'!$E$7:$P$80,6,FALSE)</f>
        <v>1º Grupo F</v>
      </c>
      <c r="H67" s="28"/>
      <c r="I67" s="36" t="s">
        <v>2</v>
      </c>
      <c r="J67" s="28"/>
      <c r="K67" s="37" t="str">
        <f>VLOOKUP($B67,'Sorteio&amp;Cálculos'!$E$7:$P$80,10,FALSE)</f>
        <v>2º Grupo E</v>
      </c>
      <c r="L67" s="44"/>
      <c r="M67" s="45" t="str">
        <f t="shared" si="0"/>
        <v/>
      </c>
      <c r="N67" s="44"/>
      <c r="O67" s="240"/>
      <c r="P67" s="16">
        <f>VLOOKUP($B67,'Sorteio&amp;Cálculos'!$E$7:$V$80,18,FALSE)</f>
        <v>0</v>
      </c>
      <c r="Q67" s="15"/>
      <c r="R67" s="15"/>
      <c r="S67" s="15"/>
      <c r="T67" s="16"/>
      <c r="U67" s="16"/>
      <c r="X67" s="3"/>
      <c r="Y67" s="3"/>
    </row>
    <row r="68" spans="2:25" ht="17.25" thickTop="1" thickBot="1" x14ac:dyDescent="0.3">
      <c r="B68" s="32">
        <v>56</v>
      </c>
      <c r="C68" s="33">
        <f>VLOOKUP($B68,'Sorteio&amp;Cálculos'!$E$7:$P$80,2,FALSE)</f>
        <v>43284</v>
      </c>
      <c r="D68" s="242">
        <f>VLOOKUP($B68,'Sorteio&amp;Cálculos'!$E$7:$P$80,3,FALSE)</f>
        <v>0.625</v>
      </c>
      <c r="E68" s="32" t="str">
        <f>VLOOKUP($B68,'Sorteio&amp;Cálculos'!$E$7:$P$80,4,FALSE)</f>
        <v>Moscou</v>
      </c>
      <c r="F68" s="39" t="str">
        <f>VLOOKUP($B68,'Sorteio&amp;Cálculos'!$E$7:$P$80,5,FALSE)</f>
        <v>O8</v>
      </c>
      <c r="G68" s="35" t="str">
        <f>VLOOKUP($B68,'Sorteio&amp;Cálculos'!$E$7:$P$80,6,FALSE)</f>
        <v>1º Grupo H</v>
      </c>
      <c r="H68" s="28"/>
      <c r="I68" s="36" t="s">
        <v>2</v>
      </c>
      <c r="J68" s="28"/>
      <c r="K68" s="37" t="str">
        <f>VLOOKUP($B68,'Sorteio&amp;Cálculos'!$E$7:$P$80,10,FALSE)</f>
        <v>2º Grupo G</v>
      </c>
      <c r="L68" s="44"/>
      <c r="M68" s="45" t="str">
        <f t="shared" si="0"/>
        <v/>
      </c>
      <c r="N68" s="44"/>
      <c r="O68" s="240"/>
      <c r="P68" s="16">
        <f>VLOOKUP($B68,'Sorteio&amp;Cálculos'!$E$7:$V$80,18,FALSE)</f>
        <v>0</v>
      </c>
      <c r="Q68" s="15"/>
      <c r="R68" s="15"/>
      <c r="S68" s="15"/>
      <c r="T68" s="16"/>
      <c r="U68" s="16"/>
      <c r="X68" s="3"/>
      <c r="Y68" s="3"/>
    </row>
    <row r="69" spans="2:25" ht="16.5" thickTop="1" thickBot="1" x14ac:dyDescent="0.3">
      <c r="P69" s="16"/>
      <c r="Q69" s="15"/>
      <c r="R69" s="15"/>
      <c r="S69" s="16"/>
      <c r="T69" s="16"/>
    </row>
    <row r="70" spans="2:25" ht="16.5" thickBot="1" x14ac:dyDescent="0.3">
      <c r="B70" s="17" t="s">
        <v>66</v>
      </c>
      <c r="C70" s="18" t="s">
        <v>0</v>
      </c>
      <c r="D70" s="18" t="s">
        <v>68</v>
      </c>
      <c r="E70" s="17" t="s">
        <v>67</v>
      </c>
      <c r="F70" s="18" t="s">
        <v>19</v>
      </c>
      <c r="G70" s="40"/>
      <c r="H70" s="20"/>
      <c r="I70" s="21" t="s">
        <v>124</v>
      </c>
      <c r="J70" s="20"/>
      <c r="K70" s="41"/>
      <c r="L70" s="176" t="s">
        <v>38</v>
      </c>
      <c r="M70" s="177"/>
      <c r="N70" s="178"/>
      <c r="O70" s="240"/>
      <c r="P70" s="16"/>
      <c r="Q70" s="15"/>
      <c r="R70" s="15"/>
      <c r="S70" s="15"/>
      <c r="T70" s="16"/>
      <c r="X70" s="3"/>
      <c r="Y70" s="3"/>
    </row>
    <row r="71" spans="2:25" ht="17.25" thickTop="1" thickBot="1" x14ac:dyDescent="0.3">
      <c r="B71" s="24">
        <v>57</v>
      </c>
      <c r="C71" s="33">
        <f>VLOOKUP($B71,'Sorteio&amp;Cálculos'!$E$7:$P$80,2,FALSE)</f>
        <v>43287</v>
      </c>
      <c r="D71" s="242">
        <f>VLOOKUP($B71,'Sorteio&amp;Cálculos'!$E$7:$P$80,3,FALSE)</f>
        <v>0.45833333333333331</v>
      </c>
      <c r="E71" s="32" t="str">
        <f>VLOOKUP($B71,'Sorteio&amp;Cálculos'!$E$7:$P$80,4,FALSE)</f>
        <v>Níjni Novgorod</v>
      </c>
      <c r="F71" s="39" t="str">
        <f>VLOOKUP($B71,'Sorteio&amp;Cálculos'!$E$7:$P$80,5,FALSE)</f>
        <v>QA</v>
      </c>
      <c r="G71" s="35" t="str">
        <f>VLOOKUP($B71,'Sorteio&amp;Cálculos'!$E$7:$P$80,6,FALSE)</f>
        <v>Venc. Jogo 49</v>
      </c>
      <c r="H71" s="28"/>
      <c r="I71" s="36" t="s">
        <v>2</v>
      </c>
      <c r="J71" s="28"/>
      <c r="K71" s="37" t="str">
        <f>VLOOKUP($B71,'Sorteio&amp;Cálculos'!$E$7:$P$80,10,FALSE)</f>
        <v>Venc. Jogo 50</v>
      </c>
      <c r="L71" s="44"/>
      <c r="M71" s="45" t="str">
        <f>IF(P71=1,"x","")</f>
        <v/>
      </c>
      <c r="N71" s="44"/>
      <c r="O71" s="240"/>
      <c r="P71" s="16">
        <f>VLOOKUP($B71,'Sorteio&amp;Cálculos'!$E$7:$V$80,18,FALSE)</f>
        <v>0</v>
      </c>
      <c r="Q71" s="15"/>
      <c r="R71" s="15"/>
      <c r="S71" s="15"/>
      <c r="T71" s="16"/>
      <c r="U71" s="16"/>
      <c r="X71" s="3"/>
      <c r="Y71" s="3"/>
    </row>
    <row r="72" spans="2:25" ht="17.25" thickTop="1" thickBot="1" x14ac:dyDescent="0.3">
      <c r="B72" s="46">
        <v>58</v>
      </c>
      <c r="C72" s="33">
        <f>VLOOKUP($B72,'Sorteio&amp;Cálculos'!$E$7:$P$80,2,FALSE)</f>
        <v>43287</v>
      </c>
      <c r="D72" s="242">
        <f>VLOOKUP($B72,'Sorteio&amp;Cálculos'!$E$7:$P$80,3,FALSE)</f>
        <v>0.625</v>
      </c>
      <c r="E72" s="32" t="str">
        <f>VLOOKUP($B72,'Sorteio&amp;Cálculos'!$E$7:$P$80,4,FALSE)</f>
        <v>Kazan</v>
      </c>
      <c r="F72" s="39" t="str">
        <f>VLOOKUP($B72,'Sorteio&amp;Cálculos'!$E$7:$P$80,5,FALSE)</f>
        <v>QC</v>
      </c>
      <c r="G72" s="35" t="str">
        <f>VLOOKUP($B72,'Sorteio&amp;Cálculos'!$E$7:$P$80,6,FALSE)</f>
        <v>Venc. Jogo 53</v>
      </c>
      <c r="H72" s="28"/>
      <c r="I72" s="36" t="s">
        <v>2</v>
      </c>
      <c r="J72" s="28"/>
      <c r="K72" s="37" t="str">
        <f>VLOOKUP($B72,'Sorteio&amp;Cálculos'!$E$7:$P$80,10,FALSE)</f>
        <v>Venc. Jogo 54</v>
      </c>
      <c r="L72" s="44"/>
      <c r="M72" s="45" t="str">
        <f>IF(P72=1,"x","")</f>
        <v/>
      </c>
      <c r="N72" s="44"/>
      <c r="O72" s="240"/>
      <c r="P72" s="16">
        <f>VLOOKUP($B72,'Sorteio&amp;Cálculos'!$E$7:$V$80,18,FALSE)</f>
        <v>0</v>
      </c>
      <c r="Q72" s="15"/>
      <c r="R72" s="15"/>
      <c r="S72" s="15"/>
      <c r="T72" s="16"/>
      <c r="U72" s="16"/>
      <c r="X72" s="3"/>
      <c r="Y72" s="3"/>
    </row>
    <row r="73" spans="2:25" ht="17.25" thickTop="1" thickBot="1" x14ac:dyDescent="0.3">
      <c r="B73" s="46">
        <v>60</v>
      </c>
      <c r="C73" s="33">
        <f>VLOOKUP($B73,'Sorteio&amp;Cálculos'!$E$7:$P$80,2,FALSE)</f>
        <v>43288</v>
      </c>
      <c r="D73" s="242">
        <f>VLOOKUP($B73,'Sorteio&amp;Cálculos'!$E$7:$P$80,3,FALSE)</f>
        <v>0.45833333333333331</v>
      </c>
      <c r="E73" s="32" t="str">
        <f>VLOOKUP($B73,'Sorteio&amp;Cálculos'!$E$7:$P$80,4,FALSE)</f>
        <v>Samara</v>
      </c>
      <c r="F73" s="39" t="str">
        <f>VLOOKUP($B73,'Sorteio&amp;Cálculos'!$E$7:$P$80,5,FALSE)</f>
        <v>QD</v>
      </c>
      <c r="G73" s="35" t="str">
        <f>VLOOKUP($B73,'Sorteio&amp;Cálculos'!$E$7:$P$80,6,FALSE)</f>
        <v>Venc. Jogo 55</v>
      </c>
      <c r="H73" s="28"/>
      <c r="I73" s="36" t="s">
        <v>2</v>
      </c>
      <c r="J73" s="28"/>
      <c r="K73" s="37" t="str">
        <f>VLOOKUP($B73,'Sorteio&amp;Cálculos'!$E$7:$P$80,10,FALSE)</f>
        <v>Venc. Jogo 56</v>
      </c>
      <c r="L73" s="44"/>
      <c r="M73" s="45" t="str">
        <f>IF(P73=1,"x","")</f>
        <v/>
      </c>
      <c r="N73" s="44"/>
      <c r="O73" s="240"/>
      <c r="P73" s="16">
        <f>VLOOKUP($B73,'Sorteio&amp;Cálculos'!$E$7:$V$80,18,FALSE)</f>
        <v>0</v>
      </c>
      <c r="Q73" s="15"/>
      <c r="R73" s="15"/>
      <c r="S73" s="15"/>
      <c r="T73" s="16"/>
      <c r="U73" s="16"/>
      <c r="X73" s="3"/>
      <c r="Y73" s="3"/>
    </row>
    <row r="74" spans="2:25" ht="17.25" thickTop="1" thickBot="1" x14ac:dyDescent="0.3">
      <c r="B74" s="46">
        <v>59</v>
      </c>
      <c r="C74" s="33">
        <f>VLOOKUP($B74,'Sorteio&amp;Cálculos'!$E$7:$P$80,2,FALSE)</f>
        <v>43288</v>
      </c>
      <c r="D74" s="242">
        <f>VLOOKUP($B74,'Sorteio&amp;Cálculos'!$E$7:$P$80,3,FALSE)</f>
        <v>0.625</v>
      </c>
      <c r="E74" s="32" t="str">
        <f>VLOOKUP($B74,'Sorteio&amp;Cálculos'!$E$7:$P$80,4,FALSE)</f>
        <v>Sóchi</v>
      </c>
      <c r="F74" s="39" t="str">
        <f>VLOOKUP($B74,'Sorteio&amp;Cálculos'!$E$7:$P$80,5,FALSE)</f>
        <v>QB</v>
      </c>
      <c r="G74" s="35" t="str">
        <f>VLOOKUP($B74,'Sorteio&amp;Cálculos'!$E$7:$P$80,6,FALSE)</f>
        <v>Venc. Jogo 51</v>
      </c>
      <c r="H74" s="28"/>
      <c r="I74" s="36" t="s">
        <v>2</v>
      </c>
      <c r="J74" s="28"/>
      <c r="K74" s="37" t="str">
        <f>VLOOKUP($B74,'Sorteio&amp;Cálculos'!$E$7:$P$80,10,FALSE)</f>
        <v>Venc. Jogo 52</v>
      </c>
      <c r="L74" s="44"/>
      <c r="M74" s="45" t="str">
        <f>IF(P74=1,"x","")</f>
        <v/>
      </c>
      <c r="N74" s="44"/>
      <c r="O74" s="240"/>
      <c r="P74" s="16">
        <f>VLOOKUP($B74,'Sorteio&amp;Cálculos'!$E$7:$V$80,18,FALSE)</f>
        <v>0</v>
      </c>
      <c r="Q74" s="15"/>
      <c r="R74" s="15"/>
      <c r="S74" s="15"/>
      <c r="T74" s="16"/>
      <c r="U74" s="16"/>
      <c r="X74" s="3"/>
      <c r="Y74" s="3"/>
    </row>
    <row r="75" spans="2:25" ht="16.5" thickTop="1" thickBot="1" x14ac:dyDescent="0.3">
      <c r="B75" s="47"/>
      <c r="D75" s="48"/>
      <c r="E75" s="47"/>
      <c r="F75" s="49"/>
      <c r="G75" s="50"/>
      <c r="H75" s="51"/>
      <c r="I75" s="49"/>
      <c r="J75" s="51"/>
      <c r="K75" s="31"/>
      <c r="L75" s="42"/>
      <c r="M75" s="45"/>
      <c r="N75" s="42"/>
      <c r="O75" s="42"/>
      <c r="P75" s="16"/>
      <c r="Q75" s="15"/>
      <c r="R75" s="15"/>
      <c r="S75" s="15"/>
      <c r="T75" s="16"/>
      <c r="U75" s="16"/>
      <c r="X75" s="3"/>
      <c r="Y75" s="3"/>
    </row>
    <row r="76" spans="2:25" ht="16.5" thickBot="1" x14ac:dyDescent="0.3">
      <c r="B76" s="17" t="s">
        <v>66</v>
      </c>
      <c r="C76" s="18" t="s">
        <v>0</v>
      </c>
      <c r="D76" s="18" t="s">
        <v>68</v>
      </c>
      <c r="E76" s="17" t="s">
        <v>67</v>
      </c>
      <c r="F76" s="18" t="s">
        <v>19</v>
      </c>
      <c r="G76" s="40"/>
      <c r="H76" s="20"/>
      <c r="I76" s="21" t="s">
        <v>125</v>
      </c>
      <c r="J76" s="20"/>
      <c r="K76" s="41"/>
      <c r="L76" s="176" t="s">
        <v>38</v>
      </c>
      <c r="M76" s="177"/>
      <c r="N76" s="178"/>
      <c r="O76" s="240"/>
      <c r="P76" s="16"/>
      <c r="Q76" s="15"/>
      <c r="R76" s="15"/>
      <c r="S76" s="15"/>
      <c r="T76" s="16"/>
      <c r="X76" s="3"/>
      <c r="Y76" s="3"/>
    </row>
    <row r="77" spans="2:25" ht="17.25" thickTop="1" thickBot="1" x14ac:dyDescent="0.3">
      <c r="B77" s="24">
        <v>61</v>
      </c>
      <c r="C77" s="33">
        <f>VLOOKUP($B77,'Sorteio&amp;Cálculos'!$E$7:$P$80,2,FALSE)</f>
        <v>43291</v>
      </c>
      <c r="D77" s="242">
        <f>VLOOKUP($B77,'Sorteio&amp;Cálculos'!$E$7:$P$80,3,FALSE)</f>
        <v>0.625</v>
      </c>
      <c r="E77" s="32" t="str">
        <f>VLOOKUP($B77,'Sorteio&amp;Cálculos'!$E$7:$P$80,4,FALSE)</f>
        <v>São Petersburgo</v>
      </c>
      <c r="F77" s="39" t="str">
        <f>VLOOKUP($B77,'Sorteio&amp;Cálculos'!$E$7:$P$80,5,FALSE)</f>
        <v>S1</v>
      </c>
      <c r="G77" s="35" t="str">
        <f>VLOOKUP($B77,'Sorteio&amp;Cálculos'!$E$7:$P$80,6,FALSE)</f>
        <v>Venc. Jogo 57</v>
      </c>
      <c r="H77" s="28"/>
      <c r="I77" s="36" t="s">
        <v>2</v>
      </c>
      <c r="J77" s="28"/>
      <c r="K77" s="37" t="str">
        <f>VLOOKUP($B77,'Sorteio&amp;Cálculos'!$E$7:$P$80,10,FALSE)</f>
        <v>Venc. Jogo 58</v>
      </c>
      <c r="L77" s="44"/>
      <c r="M77" s="45" t="str">
        <f t="shared" ref="M77:M78" si="1">IF(P77=1,"x","")</f>
        <v/>
      </c>
      <c r="N77" s="44"/>
      <c r="O77" s="240"/>
      <c r="P77" s="16">
        <f>VLOOKUP($B77,'Sorteio&amp;Cálculos'!$E$7:$V$80,18,FALSE)</f>
        <v>0</v>
      </c>
      <c r="Q77" s="15"/>
      <c r="R77" s="15"/>
      <c r="S77" s="15"/>
      <c r="T77" s="16"/>
      <c r="U77" s="16"/>
      <c r="X77" s="3"/>
      <c r="Y77" s="3"/>
    </row>
    <row r="78" spans="2:25" ht="17.25" thickTop="1" thickBot="1" x14ac:dyDescent="0.3">
      <c r="B78" s="46">
        <v>62</v>
      </c>
      <c r="C78" s="33">
        <f>VLOOKUP($B78,'Sorteio&amp;Cálculos'!$E$7:$P$80,2,FALSE)</f>
        <v>43292</v>
      </c>
      <c r="D78" s="242">
        <f>VLOOKUP($B78,'Sorteio&amp;Cálculos'!$E$7:$P$80,3,FALSE)</f>
        <v>0.625</v>
      </c>
      <c r="E78" s="32" t="str">
        <f>VLOOKUP($B78,'Sorteio&amp;Cálculos'!$E$7:$P$80,4,FALSE)</f>
        <v>Moscou</v>
      </c>
      <c r="F78" s="39" t="str">
        <f>VLOOKUP($B78,'Sorteio&amp;Cálculos'!$E$7:$P$80,5,FALSE)</f>
        <v>S2</v>
      </c>
      <c r="G78" s="35" t="str">
        <f>VLOOKUP($B78,'Sorteio&amp;Cálculos'!$E$7:$P$80,6,FALSE)</f>
        <v>Venc. Jogo 59</v>
      </c>
      <c r="H78" s="28"/>
      <c r="I78" s="36" t="s">
        <v>2</v>
      </c>
      <c r="J78" s="28"/>
      <c r="K78" s="37" t="str">
        <f>VLOOKUP($B78,'Sorteio&amp;Cálculos'!$E$7:$P$80,10,FALSE)</f>
        <v>Venc. Jogo 60</v>
      </c>
      <c r="L78" s="44"/>
      <c r="M78" s="45" t="str">
        <f t="shared" si="1"/>
        <v/>
      </c>
      <c r="N78" s="44"/>
      <c r="O78" s="240"/>
      <c r="P78" s="16">
        <f>VLOOKUP($B78,'Sorteio&amp;Cálculos'!$E$7:$V$80,18,FALSE)</f>
        <v>0</v>
      </c>
      <c r="Q78" s="15"/>
      <c r="R78" s="15"/>
      <c r="S78" s="15"/>
      <c r="T78" s="16"/>
      <c r="U78" s="16"/>
      <c r="X78" s="3"/>
      <c r="Y78" s="3"/>
    </row>
    <row r="79" spans="2:25" ht="16.5" thickTop="1" thickBot="1" x14ac:dyDescent="0.3">
      <c r="B79" s="47"/>
      <c r="D79" s="48"/>
      <c r="E79" s="47"/>
      <c r="F79" s="49"/>
      <c r="G79" s="50"/>
      <c r="H79" s="51"/>
      <c r="I79" s="49"/>
      <c r="J79" s="51"/>
      <c r="K79" s="31"/>
      <c r="L79" s="42"/>
      <c r="M79" s="45"/>
      <c r="N79" s="42"/>
      <c r="O79" s="42"/>
      <c r="P79" s="16"/>
      <c r="Q79" s="15"/>
      <c r="R79" s="15"/>
      <c r="S79" s="15"/>
      <c r="T79" s="16"/>
      <c r="U79" s="16"/>
      <c r="X79" s="3"/>
      <c r="Y79" s="3"/>
    </row>
    <row r="80" spans="2:25" ht="16.5" thickBot="1" x14ac:dyDescent="0.3">
      <c r="B80" s="17" t="s">
        <v>66</v>
      </c>
      <c r="C80" s="18" t="s">
        <v>0</v>
      </c>
      <c r="D80" s="18" t="s">
        <v>68</v>
      </c>
      <c r="E80" s="17" t="s">
        <v>67</v>
      </c>
      <c r="F80" s="18" t="s">
        <v>19</v>
      </c>
      <c r="G80" s="40"/>
      <c r="H80" s="20"/>
      <c r="I80" s="21" t="s">
        <v>62</v>
      </c>
      <c r="J80" s="20"/>
      <c r="K80" s="41"/>
      <c r="L80" s="176" t="s">
        <v>38</v>
      </c>
      <c r="M80" s="177"/>
      <c r="N80" s="178"/>
      <c r="O80" s="240"/>
      <c r="P80" s="16"/>
      <c r="Q80" s="15"/>
      <c r="R80" s="15"/>
      <c r="S80" s="16"/>
      <c r="T80" s="16"/>
    </row>
    <row r="81" spans="2:25" ht="17.25" thickTop="1" thickBot="1" x14ac:dyDescent="0.3">
      <c r="B81" s="24">
        <v>63</v>
      </c>
      <c r="C81" s="33">
        <f>VLOOKUP($B81,'Sorteio&amp;Cálculos'!$E$7:$P$80,2,FALSE)</f>
        <v>43295</v>
      </c>
      <c r="D81" s="242">
        <f>VLOOKUP($B81,'Sorteio&amp;Cálculos'!$E$7:$P$80,3,FALSE)</f>
        <v>0.45833333333333331</v>
      </c>
      <c r="E81" s="32" t="str">
        <f>VLOOKUP($B81,'Sorteio&amp;Cálculos'!$E$7:$P$80,4,FALSE)</f>
        <v>São Petersburgo</v>
      </c>
      <c r="F81" s="39" t="str">
        <f>VLOOKUP($B81,'Sorteio&amp;Cálculos'!$E$7:$P$80,5,FALSE)</f>
        <v>T</v>
      </c>
      <c r="G81" s="35" t="str">
        <f>VLOOKUP($B81,'Sorteio&amp;Cálculos'!$E$7:$P$80,6,FALSE)</f>
        <v>Perd. Jogo 61</v>
      </c>
      <c r="H81" s="28"/>
      <c r="I81" s="36" t="s">
        <v>2</v>
      </c>
      <c r="J81" s="28"/>
      <c r="K81" s="37" t="str">
        <f>VLOOKUP($B81,'Sorteio&amp;Cálculos'!$E$7:$P$80,10,FALSE)</f>
        <v>Perd. Jogo 62</v>
      </c>
      <c r="L81" s="44"/>
      <c r="M81" s="45" t="str">
        <f t="shared" ref="M81" si="2">IF(P81=1,"x","")</f>
        <v/>
      </c>
      <c r="N81" s="44"/>
      <c r="O81" s="240"/>
      <c r="P81" s="16">
        <f>VLOOKUP($B81,'Sorteio&amp;Cálculos'!$E$7:$V$80,18,FALSE)</f>
        <v>0</v>
      </c>
      <c r="Q81" s="15"/>
      <c r="R81" s="15"/>
      <c r="S81" s="15"/>
      <c r="T81" s="16"/>
      <c r="U81" s="16"/>
      <c r="X81" s="3"/>
      <c r="Y81" s="3"/>
    </row>
    <row r="82" spans="2:25" ht="16.5" thickTop="1" thickBot="1" x14ac:dyDescent="0.3">
      <c r="E82" s="47"/>
      <c r="F82" s="48"/>
      <c r="G82" s="50"/>
      <c r="H82" s="51"/>
      <c r="I82" s="49"/>
      <c r="J82" s="51"/>
      <c r="K82" s="31"/>
      <c r="L82" s="31"/>
      <c r="M82" s="31"/>
      <c r="N82" s="31"/>
      <c r="O82" s="42"/>
      <c r="P82" s="16"/>
      <c r="Q82" s="15"/>
      <c r="R82" s="15"/>
      <c r="S82" s="15"/>
      <c r="T82" s="16"/>
      <c r="X82" s="3"/>
      <c r="Y82" s="3"/>
    </row>
    <row r="83" spans="2:25" ht="16.5" thickBot="1" x14ac:dyDescent="0.3">
      <c r="B83" s="17" t="s">
        <v>66</v>
      </c>
      <c r="C83" s="18" t="s">
        <v>0</v>
      </c>
      <c r="D83" s="18" t="s">
        <v>68</v>
      </c>
      <c r="E83" s="17" t="s">
        <v>67</v>
      </c>
      <c r="F83" s="18" t="s">
        <v>19</v>
      </c>
      <c r="G83" s="40"/>
      <c r="H83" s="20"/>
      <c r="I83" s="21" t="s">
        <v>55</v>
      </c>
      <c r="J83" s="20"/>
      <c r="K83" s="41"/>
      <c r="L83" s="176" t="s">
        <v>38</v>
      </c>
      <c r="M83" s="177"/>
      <c r="N83" s="178"/>
      <c r="O83" s="240"/>
      <c r="P83" s="16"/>
      <c r="Q83" s="15"/>
      <c r="R83" s="15"/>
      <c r="S83" s="16"/>
      <c r="T83" s="16"/>
    </row>
    <row r="84" spans="2:25" ht="17.25" thickTop="1" thickBot="1" x14ac:dyDescent="0.3">
      <c r="B84" s="24">
        <v>64</v>
      </c>
      <c r="C84" s="33">
        <f>VLOOKUP($B84,'Sorteio&amp;Cálculos'!$E$7:$P$80,2,FALSE)</f>
        <v>43296</v>
      </c>
      <c r="D84" s="242">
        <f>VLOOKUP($B84,'Sorteio&amp;Cálculos'!$E$7:$P$80,3,FALSE)</f>
        <v>0.5</v>
      </c>
      <c r="E84" s="32" t="str">
        <f>VLOOKUP($B84,'Sorteio&amp;Cálculos'!$E$7:$P$80,4,FALSE)</f>
        <v>Moscou</v>
      </c>
      <c r="F84" s="39" t="s">
        <v>158</v>
      </c>
      <c r="G84" s="35" t="str">
        <f>VLOOKUP($B84,'Sorteio&amp;Cálculos'!$E$7:$P$80,6,FALSE)</f>
        <v>Venc. Jogo 61</v>
      </c>
      <c r="H84" s="52"/>
      <c r="I84" s="36" t="s">
        <v>2</v>
      </c>
      <c r="J84" s="28"/>
      <c r="K84" s="37" t="str">
        <f>VLOOKUP($B84,'Sorteio&amp;Cálculos'!$E$7:$P$80,10,FALSE)</f>
        <v>Venc. Jogo 62</v>
      </c>
      <c r="L84" s="44"/>
      <c r="M84" s="45" t="str">
        <f t="shared" ref="M84" si="3">IF(P84=1,"x","")</f>
        <v/>
      </c>
      <c r="N84" s="44"/>
      <c r="O84" s="240"/>
      <c r="P84" s="16">
        <f>VLOOKUP($B84,'Sorteio&amp;Cálculos'!$E$7:$V$80,18,FALSE)</f>
        <v>0</v>
      </c>
      <c r="Q84" s="15"/>
      <c r="R84" s="15"/>
      <c r="S84" s="15"/>
      <c r="T84" s="16"/>
      <c r="U84" s="16"/>
      <c r="X84" s="3"/>
      <c r="Y84" s="3"/>
    </row>
    <row r="85" spans="2:25" ht="15.75" thickTop="1" x14ac:dyDescent="0.25">
      <c r="E85" s="47"/>
      <c r="F85" s="49"/>
      <c r="G85" s="50"/>
      <c r="H85" s="51"/>
      <c r="I85" s="49"/>
      <c r="J85" s="51"/>
      <c r="K85" s="31"/>
      <c r="L85" s="42"/>
      <c r="M85" s="45"/>
      <c r="N85" s="42"/>
      <c r="O85" s="42"/>
      <c r="P85" s="16"/>
      <c r="Q85" s="15"/>
      <c r="R85" s="15"/>
      <c r="S85" s="15"/>
      <c r="T85" s="16"/>
      <c r="X85" s="3"/>
      <c r="Y85" s="3"/>
    </row>
    <row r="86" spans="2:25" ht="15.75" thickBot="1" x14ac:dyDescent="0.3">
      <c r="P86" s="16"/>
      <c r="Q86" s="15"/>
      <c r="R86" s="15"/>
      <c r="S86" s="16"/>
      <c r="T86" s="16"/>
    </row>
    <row r="87" spans="2:25" ht="15.75" customHeight="1" thickTop="1" x14ac:dyDescent="0.25">
      <c r="B87" s="158" t="s">
        <v>58</v>
      </c>
      <c r="C87" s="159"/>
      <c r="D87" s="159"/>
      <c r="E87" s="160"/>
      <c r="F87" s="164" t="str">
        <f>'Sorteio&amp;Cálculos'!AE80</f>
        <v>Venc. Jogo 64</v>
      </c>
      <c r="G87" s="165"/>
      <c r="H87" s="165"/>
      <c r="I87" s="165"/>
      <c r="J87" s="165"/>
      <c r="K87" s="166"/>
      <c r="L87" s="53"/>
      <c r="M87" s="54"/>
      <c r="N87" s="54"/>
      <c r="P87" s="16">
        <f>'Sorteio&amp;Cálculos'!Z80</f>
        <v>0</v>
      </c>
      <c r="Q87" s="15"/>
      <c r="R87" s="15"/>
      <c r="S87" s="16"/>
      <c r="T87" s="16"/>
    </row>
    <row r="88" spans="2:25" ht="15" customHeight="1" thickBot="1" x14ac:dyDescent="0.3">
      <c r="B88" s="161"/>
      <c r="C88" s="162"/>
      <c r="D88" s="162"/>
      <c r="E88" s="163"/>
      <c r="F88" s="167"/>
      <c r="G88" s="168"/>
      <c r="H88" s="168"/>
      <c r="I88" s="168"/>
      <c r="J88" s="168"/>
      <c r="K88" s="169"/>
      <c r="L88" s="53"/>
      <c r="M88" s="54"/>
      <c r="N88" s="54"/>
      <c r="P88" s="55" t="str">
        <f>IF(P87=0,"NENHUM",F87)</f>
        <v>NENHUM</v>
      </c>
      <c r="Q88" s="15"/>
      <c r="R88" s="15"/>
      <c r="S88" s="16"/>
      <c r="T88" s="16"/>
    </row>
    <row r="89" spans="2:25" ht="19.5" thickTop="1" x14ac:dyDescent="0.3">
      <c r="B89" s="245" t="s">
        <v>201</v>
      </c>
    </row>
  </sheetData>
  <sheetProtection password="CD12" sheet="1" objects="1" scenarios="1" selectLockedCells="1"/>
  <sortState ref="B7:K54">
    <sortCondition ref="C7:C54"/>
    <sortCondition ref="D7:D54"/>
    <sortCondition ref="B7:B54"/>
  </sortState>
  <mergeCells count="19">
    <mergeCell ref="L5:O5"/>
    <mergeCell ref="L6:O6"/>
    <mergeCell ref="B59:O59"/>
    <mergeCell ref="B87:E88"/>
    <mergeCell ref="F87:K88"/>
    <mergeCell ref="A1:O1"/>
    <mergeCell ref="A2:O2"/>
    <mergeCell ref="L83:N83"/>
    <mergeCell ref="L60:N60"/>
    <mergeCell ref="L80:N80"/>
    <mergeCell ref="L70:N70"/>
    <mergeCell ref="L76:N76"/>
    <mergeCell ref="C8:D8"/>
    <mergeCell ref="E3:K3"/>
    <mergeCell ref="E4:K4"/>
    <mergeCell ref="E5:K5"/>
    <mergeCell ref="E6:K6"/>
    <mergeCell ref="L3:O3"/>
    <mergeCell ref="L4:O4"/>
  </mergeCells>
  <conditionalFormatting sqref="L61:L84 N61:N84">
    <cfRule type="expression" dxfId="10" priority="170">
      <formula>$P61=1</formula>
    </cfRule>
  </conditionalFormatting>
  <conditionalFormatting sqref="L68 N68">
    <cfRule type="expression" dxfId="9" priority="172">
      <formula>$P$68=1</formula>
    </cfRule>
  </conditionalFormatting>
  <conditionalFormatting sqref="C84 C81 C61:C68 C11:C58 C71:C74 C77:C78">
    <cfRule type="cellIs" dxfId="8" priority="21" operator="equal">
      <formula>$T$8</formula>
    </cfRule>
    <cfRule type="cellIs" dxfId="7" priority="235" operator="greaterThanOrEqual">
      <formula>$T$8</formula>
    </cfRule>
    <cfRule type="cellIs" priority="236" operator="lessThan">
      <formula>$T$8</formula>
    </cfRule>
    <cfRule type="containsBlanks" dxfId="6" priority="237">
      <formula>LEN(TRIM(C11))=0</formula>
    </cfRule>
  </conditionalFormatting>
  <conditionalFormatting sqref="G61:G68 K61:K68 G81 K81 G84 K84 K71:K79 G11:G58 K11:K58 G71:G79">
    <cfRule type="cellIs" dxfId="5" priority="3" stopIfTrue="1" operator="equal">
      <formula>$Q$8</formula>
    </cfRule>
  </conditionalFormatting>
  <conditionalFormatting sqref="B59">
    <cfRule type="expression" dxfId="4" priority="5">
      <formula>$P$59=1</formula>
    </cfRule>
  </conditionalFormatting>
  <conditionalFormatting sqref="F87:K88">
    <cfRule type="expression" dxfId="3" priority="4">
      <formula>$P$87=1</formula>
    </cfRule>
  </conditionalFormatting>
  <conditionalFormatting sqref="B11:K58">
    <cfRule type="expression" dxfId="2" priority="238">
      <formula>$F11=$Q$9</formula>
    </cfRule>
  </conditionalFormatting>
  <conditionalFormatting sqref="E3:K3">
    <cfRule type="containsBlanks" dxfId="1" priority="239">
      <formula>LEN(TRIM(E3))=0</formula>
    </cfRule>
  </conditionalFormatting>
  <conditionalFormatting sqref="E4:K6">
    <cfRule type="containsBlanks" dxfId="0" priority="1">
      <formula>LEN(TRIM(E4))=0</formula>
    </cfRule>
  </conditionalFormatting>
  <hyperlinks>
    <hyperlink ref="C8" location="DIAGRAMA!H4" display="DIAGRAMA"/>
    <hyperlink ref="K8" location="CLASSIFICAÇÃO!N4" display="CLASSIFICAÇÃO"/>
  </hyperlinks>
  <pageMargins left="0.11811023622047245" right="0.11811023622047245" top="0.78740157480314965" bottom="0.78740157480314965" header="0.31496062992125984" footer="0.31496062992125984"/>
  <pageSetup paperSize="9" scale="8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locked="0" defaultSize="0" autoLine="0" autoPict="0">
                <anchor moveWithCells="1">
                  <from>
                    <xdr:col>5</xdr:col>
                    <xdr:colOff>19050</xdr:colOff>
                    <xdr:row>7</xdr:row>
                    <xdr:rowOff>38100</xdr:rowOff>
                  </from>
                  <to>
                    <xdr:col>6</xdr:col>
                    <xdr:colOff>723900</xdr:colOff>
                    <xdr:row>7</xdr:row>
                    <xdr:rowOff>209550</xdr:rowOff>
                  </to>
                </anchor>
              </controlPr>
            </control>
          </mc:Choice>
        </mc:AlternateContent>
        <mc:AlternateContent xmlns:mc="http://schemas.openxmlformats.org/markup-compatibility/2006">
          <mc:Choice Requires="x14">
            <control shapeId="1052" r:id="rId5" name="Drop Down 28">
              <controlPr locked="0" defaultSize="0" autoLine="0" autoPict="0">
                <anchor moveWithCells="1">
                  <from>
                    <xdr:col>5</xdr:col>
                    <xdr:colOff>19050</xdr:colOff>
                    <xdr:row>8</xdr:row>
                    <xdr:rowOff>9525</xdr:rowOff>
                  </from>
                  <to>
                    <xdr:col>6</xdr:col>
                    <xdr:colOff>104775</xdr:colOff>
                    <xdr:row>8</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pageSetUpPr fitToPage="1"/>
  </sheetPr>
  <dimension ref="A1:AF28"/>
  <sheetViews>
    <sheetView showGridLines="0" showRowColHeaders="0" zoomScaleNormal="100" workbookViewId="0">
      <pane ySplit="4" topLeftCell="A5" activePane="bottomLeft" state="frozen"/>
      <selection pane="bottomLeft" activeCell="M14" sqref="M14"/>
    </sheetView>
  </sheetViews>
  <sheetFormatPr defaultColWidth="9.140625" defaultRowHeight="15" x14ac:dyDescent="0.25"/>
  <cols>
    <col min="1" max="1" width="2.7109375" style="3" customWidth="1"/>
    <col min="2" max="2" width="3.5703125" style="2" bestFit="1" customWidth="1"/>
    <col min="3" max="3" width="17.85546875" style="2" bestFit="1" customWidth="1"/>
    <col min="4" max="11" width="4.5703125" style="2" customWidth="1"/>
    <col min="12" max="12" width="15.42578125" style="3" bestFit="1" customWidth="1"/>
    <col min="13" max="13" width="2.28515625" style="3" bestFit="1" customWidth="1"/>
    <col min="14" max="14" width="5.5703125" style="3" customWidth="1"/>
    <col min="15" max="15" width="3.5703125" style="3" customWidth="1"/>
    <col min="16" max="16" width="17.85546875" style="3" customWidth="1"/>
    <col min="17" max="24" width="4.5703125" style="3" customWidth="1"/>
    <col min="25" max="25" width="15.28515625" style="3" customWidth="1"/>
    <col min="26" max="26" width="2.28515625" style="3" customWidth="1"/>
    <col min="27" max="27" width="2.7109375" style="3" customWidth="1"/>
    <col min="28" max="28" width="3.5703125" style="15" hidden="1" customWidth="1"/>
    <col min="29" max="32" width="3.7109375" style="16" hidden="1" customWidth="1"/>
    <col min="33" max="16384" width="9.140625" style="3"/>
  </cols>
  <sheetData>
    <row r="1" spans="1:32" ht="27.75" thickTop="1" thickBot="1" x14ac:dyDescent="0.45">
      <c r="A1" s="184" t="s">
        <v>156</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6"/>
      <c r="AB1" s="55"/>
    </row>
    <row r="2" spans="1:32" ht="21.75" thickTop="1" thickBot="1" x14ac:dyDescent="0.35">
      <c r="A2" s="173" t="s">
        <v>191</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5"/>
      <c r="AB2" s="55"/>
    </row>
    <row r="3" spans="1:32" ht="16.5" thickTop="1" thickBot="1" x14ac:dyDescent="0.3">
      <c r="AB3" s="12"/>
      <c r="AC3" s="13"/>
      <c r="AD3" s="13"/>
      <c r="AE3" s="13"/>
      <c r="AF3" s="13"/>
    </row>
    <row r="4" spans="1:32" ht="16.5" customHeight="1" thickTop="1" thickBot="1" x14ac:dyDescent="0.3">
      <c r="B4" s="56"/>
      <c r="M4" s="179" t="s">
        <v>1</v>
      </c>
      <c r="N4" s="183"/>
      <c r="O4" s="180"/>
      <c r="AC4" s="16" t="str">
        <f>JOGOS!Q8</f>
        <v>BRASIL</v>
      </c>
      <c r="AF4" s="16">
        <f>'Sorteio&amp;Cálculos'!BB6</f>
        <v>0</v>
      </c>
    </row>
    <row r="5" spans="1:32" ht="16.5" thickTop="1" thickBot="1" x14ac:dyDescent="0.3">
      <c r="B5" s="57"/>
      <c r="C5" s="57"/>
      <c r="D5" s="57"/>
      <c r="E5" s="57"/>
      <c r="F5" s="57"/>
      <c r="G5" s="57"/>
      <c r="H5" s="57"/>
      <c r="I5" s="57"/>
      <c r="J5" s="57"/>
      <c r="K5" s="57"/>
      <c r="L5" s="58"/>
      <c r="M5" s="58"/>
      <c r="N5" s="243" t="str">
        <f>IF(AF4=1,"ATENÇÃO: Falta definir ordem de classificação de um ou mais grupos. Utilizar campos em azul para definição de confrontos diretos ou resultados de sorteio, onde maior número digitado, melhor colocação.","")</f>
        <v/>
      </c>
      <c r="O5" s="58"/>
      <c r="P5" s="58"/>
      <c r="Q5" s="58"/>
      <c r="R5" s="58"/>
      <c r="S5" s="58"/>
      <c r="T5" s="58"/>
      <c r="U5" s="58"/>
      <c r="V5" s="58"/>
      <c r="W5" s="58"/>
      <c r="X5" s="58"/>
      <c r="Y5" s="58"/>
      <c r="Z5" s="58"/>
    </row>
    <row r="6" spans="1:32" s="63" customFormat="1" ht="16.5" thickBot="1" x14ac:dyDescent="0.3">
      <c r="A6" s="59"/>
      <c r="B6" s="60" t="s">
        <v>5</v>
      </c>
      <c r="C6" s="61" t="s">
        <v>36</v>
      </c>
      <c r="D6" s="61" t="s">
        <v>6</v>
      </c>
      <c r="E6" s="61" t="s">
        <v>7</v>
      </c>
      <c r="F6" s="61" t="s">
        <v>8</v>
      </c>
      <c r="G6" s="61" t="s">
        <v>9</v>
      </c>
      <c r="H6" s="61" t="s">
        <v>10</v>
      </c>
      <c r="I6" s="61" t="s">
        <v>11</v>
      </c>
      <c r="J6" s="61" t="s">
        <v>12</v>
      </c>
      <c r="K6" s="62" t="s">
        <v>13</v>
      </c>
      <c r="L6" s="181" t="s">
        <v>157</v>
      </c>
      <c r="M6" s="182"/>
      <c r="O6" s="60" t="s">
        <v>5</v>
      </c>
      <c r="P6" s="61" t="s">
        <v>37</v>
      </c>
      <c r="Q6" s="61" t="s">
        <v>6</v>
      </c>
      <c r="R6" s="61" t="s">
        <v>7</v>
      </c>
      <c r="S6" s="61" t="s">
        <v>8</v>
      </c>
      <c r="T6" s="61" t="s">
        <v>9</v>
      </c>
      <c r="U6" s="61" t="s">
        <v>10</v>
      </c>
      <c r="V6" s="61" t="s">
        <v>11</v>
      </c>
      <c r="W6" s="61" t="s">
        <v>12</v>
      </c>
      <c r="X6" s="62" t="s">
        <v>13</v>
      </c>
      <c r="Y6" s="181" t="s">
        <v>157</v>
      </c>
      <c r="Z6" s="182"/>
      <c r="AB6" s="3"/>
      <c r="AC6" s="16" t="s">
        <v>20</v>
      </c>
      <c r="AD6" s="16" t="s">
        <v>32</v>
      </c>
      <c r="AE6" s="16"/>
      <c r="AF6" s="16"/>
    </row>
    <row r="7" spans="1:32" x14ac:dyDescent="0.25">
      <c r="A7" s="64"/>
      <c r="B7" s="65">
        <v>1</v>
      </c>
      <c r="C7" s="66" t="str">
        <f>'Sorteio&amp;Cálculos'!AL7</f>
        <v>Rússia</v>
      </c>
      <c r="D7" s="24">
        <f>'Sorteio&amp;Cálculos'!AM7</f>
        <v>0</v>
      </c>
      <c r="E7" s="24">
        <f>'Sorteio&amp;Cálculos'!AN7</f>
        <v>0</v>
      </c>
      <c r="F7" s="24">
        <f>'Sorteio&amp;Cálculos'!AO7</f>
        <v>0</v>
      </c>
      <c r="G7" s="24">
        <f>'Sorteio&amp;Cálculos'!AP7</f>
        <v>0</v>
      </c>
      <c r="H7" s="24">
        <f>'Sorteio&amp;Cálculos'!AQ7</f>
        <v>0</v>
      </c>
      <c r="I7" s="24">
        <f>'Sorteio&amp;Cálculos'!AR7</f>
        <v>0</v>
      </c>
      <c r="J7" s="24">
        <f>'Sorteio&amp;Cálculos'!AS7</f>
        <v>0</v>
      </c>
      <c r="K7" s="67">
        <f>'Sorteio&amp;Cálculos'!AT7</f>
        <v>0</v>
      </c>
      <c r="L7" s="68" t="str">
        <f>'Sorteio&amp;Cálculos'!Y7</f>
        <v>Rússia</v>
      </c>
      <c r="M7" s="69"/>
      <c r="N7" s="70"/>
      <c r="O7" s="65">
        <v>1</v>
      </c>
      <c r="P7" s="66" t="str">
        <f>'Sorteio&amp;Cálculos'!AL11</f>
        <v>Portugal</v>
      </c>
      <c r="Q7" s="24">
        <f>'Sorteio&amp;Cálculos'!AM11</f>
        <v>0</v>
      </c>
      <c r="R7" s="24">
        <f>'Sorteio&amp;Cálculos'!AN11</f>
        <v>0</v>
      </c>
      <c r="S7" s="24">
        <f>'Sorteio&amp;Cálculos'!AO11</f>
        <v>0</v>
      </c>
      <c r="T7" s="24">
        <f>'Sorteio&amp;Cálculos'!AP11</f>
        <v>0</v>
      </c>
      <c r="U7" s="24">
        <f>'Sorteio&amp;Cálculos'!AQ11</f>
        <v>0</v>
      </c>
      <c r="V7" s="24">
        <f>'Sorteio&amp;Cálculos'!AR11</f>
        <v>0</v>
      </c>
      <c r="W7" s="24">
        <f>'Sorteio&amp;Cálculos'!AS11</f>
        <v>0</v>
      </c>
      <c r="X7" s="67">
        <f>'Sorteio&amp;Cálculos'!AT11</f>
        <v>0</v>
      </c>
      <c r="Y7" s="68" t="str">
        <f>'Sorteio&amp;Cálculos'!Y11</f>
        <v>Portugal</v>
      </c>
      <c r="Z7" s="69"/>
      <c r="AA7" s="71"/>
      <c r="AB7" s="3"/>
      <c r="AC7" s="72">
        <f>'Sorteio&amp;Cálculos'!BA7</f>
        <v>0</v>
      </c>
      <c r="AD7" s="73">
        <f>'Sorteio&amp;Cálculos'!BA11</f>
        <v>0</v>
      </c>
      <c r="AE7" s="16">
        <f>'Sorteio&amp;Cálculos'!$AV7</f>
        <v>0</v>
      </c>
      <c r="AF7" s="16">
        <f>'Sorteio&amp;Cálculos'!$AV11</f>
        <v>0</v>
      </c>
    </row>
    <row r="8" spans="1:32" x14ac:dyDescent="0.25">
      <c r="A8" s="64"/>
      <c r="B8" s="74">
        <v>2</v>
      </c>
      <c r="C8" s="39" t="str">
        <f>'Sorteio&amp;Cálculos'!AL8</f>
        <v>Arábia Saudita</v>
      </c>
      <c r="D8" s="32">
        <f>'Sorteio&amp;Cálculos'!AM8</f>
        <v>0</v>
      </c>
      <c r="E8" s="32">
        <f>'Sorteio&amp;Cálculos'!AN8</f>
        <v>0</v>
      </c>
      <c r="F8" s="32">
        <f>'Sorteio&amp;Cálculos'!AO8</f>
        <v>0</v>
      </c>
      <c r="G8" s="32">
        <f>'Sorteio&amp;Cálculos'!AP8</f>
        <v>0</v>
      </c>
      <c r="H8" s="32">
        <f>'Sorteio&amp;Cálculos'!AQ8</f>
        <v>0</v>
      </c>
      <c r="I8" s="32">
        <f>'Sorteio&amp;Cálculos'!AR8</f>
        <v>0</v>
      </c>
      <c r="J8" s="32">
        <f>'Sorteio&amp;Cálculos'!AS8</f>
        <v>0</v>
      </c>
      <c r="K8" s="75">
        <f>'Sorteio&amp;Cálculos'!AT8</f>
        <v>0</v>
      </c>
      <c r="L8" s="76" t="str">
        <f>'Sorteio&amp;Cálculos'!Y8</f>
        <v>Arábia Saudita</v>
      </c>
      <c r="M8" s="77"/>
      <c r="N8" s="70"/>
      <c r="O8" s="74">
        <v>2</v>
      </c>
      <c r="P8" s="39" t="str">
        <f>'Sorteio&amp;Cálculos'!AL12</f>
        <v>Espanha</v>
      </c>
      <c r="Q8" s="32">
        <f>'Sorteio&amp;Cálculos'!AM12</f>
        <v>0</v>
      </c>
      <c r="R8" s="32">
        <f>'Sorteio&amp;Cálculos'!AN12</f>
        <v>0</v>
      </c>
      <c r="S8" s="32">
        <f>'Sorteio&amp;Cálculos'!AO12</f>
        <v>0</v>
      </c>
      <c r="T8" s="32">
        <f>'Sorteio&amp;Cálculos'!AP12</f>
        <v>0</v>
      </c>
      <c r="U8" s="32">
        <f>'Sorteio&amp;Cálculos'!AQ12</f>
        <v>0</v>
      </c>
      <c r="V8" s="32">
        <f>'Sorteio&amp;Cálculos'!AR12</f>
        <v>0</v>
      </c>
      <c r="W8" s="32">
        <f>'Sorteio&amp;Cálculos'!AS12</f>
        <v>0</v>
      </c>
      <c r="X8" s="75">
        <f>'Sorteio&amp;Cálculos'!AT12</f>
        <v>0</v>
      </c>
      <c r="Y8" s="76" t="str">
        <f>'Sorteio&amp;Cálculos'!Y12</f>
        <v>Espanha</v>
      </c>
      <c r="Z8" s="77"/>
      <c r="AA8" s="71"/>
      <c r="AB8" s="3"/>
      <c r="AC8" s="72">
        <f>'Sorteio&amp;Cálculos'!BA8</f>
        <v>0</v>
      </c>
      <c r="AD8" s="72">
        <f>'Sorteio&amp;Cálculos'!BA12</f>
        <v>0</v>
      </c>
      <c r="AE8" s="16">
        <f>'Sorteio&amp;Cálculos'!$AV8</f>
        <v>0</v>
      </c>
      <c r="AF8" s="16">
        <f>'Sorteio&amp;Cálculos'!$AV12</f>
        <v>0</v>
      </c>
    </row>
    <row r="9" spans="1:32" x14ac:dyDescent="0.25">
      <c r="A9" s="64"/>
      <c r="B9" s="78">
        <v>3</v>
      </c>
      <c r="C9" s="39" t="str">
        <f>'Sorteio&amp;Cálculos'!AL9</f>
        <v>Egito</v>
      </c>
      <c r="D9" s="32">
        <f>'Sorteio&amp;Cálculos'!AM9</f>
        <v>0</v>
      </c>
      <c r="E9" s="32">
        <f>'Sorteio&amp;Cálculos'!AN9</f>
        <v>0</v>
      </c>
      <c r="F9" s="32">
        <f>'Sorteio&amp;Cálculos'!AO9</f>
        <v>0</v>
      </c>
      <c r="G9" s="32">
        <f>'Sorteio&amp;Cálculos'!AP9</f>
        <v>0</v>
      </c>
      <c r="H9" s="32">
        <f>'Sorteio&amp;Cálculos'!AQ9</f>
        <v>0</v>
      </c>
      <c r="I9" s="32">
        <f>'Sorteio&amp;Cálculos'!AR9</f>
        <v>0</v>
      </c>
      <c r="J9" s="32">
        <f>'Sorteio&amp;Cálculos'!AS9</f>
        <v>0</v>
      </c>
      <c r="K9" s="75">
        <f>'Sorteio&amp;Cálculos'!AT9</f>
        <v>0</v>
      </c>
      <c r="L9" s="76" t="str">
        <f>'Sorteio&amp;Cálculos'!Y9</f>
        <v>Egito</v>
      </c>
      <c r="M9" s="77"/>
      <c r="N9" s="70"/>
      <c r="O9" s="78">
        <v>3</v>
      </c>
      <c r="P9" s="39" t="str">
        <f>'Sorteio&amp;Cálculos'!AL13</f>
        <v>Marrocos</v>
      </c>
      <c r="Q9" s="32">
        <f>'Sorteio&amp;Cálculos'!AM13</f>
        <v>0</v>
      </c>
      <c r="R9" s="32">
        <f>'Sorteio&amp;Cálculos'!AN13</f>
        <v>0</v>
      </c>
      <c r="S9" s="32">
        <f>'Sorteio&amp;Cálculos'!AO13</f>
        <v>0</v>
      </c>
      <c r="T9" s="32">
        <f>'Sorteio&amp;Cálculos'!AP13</f>
        <v>0</v>
      </c>
      <c r="U9" s="32">
        <f>'Sorteio&amp;Cálculos'!AQ13</f>
        <v>0</v>
      </c>
      <c r="V9" s="32">
        <f>'Sorteio&amp;Cálculos'!AR13</f>
        <v>0</v>
      </c>
      <c r="W9" s="32">
        <f>'Sorteio&amp;Cálculos'!AS13</f>
        <v>0</v>
      </c>
      <c r="X9" s="75">
        <f>'Sorteio&amp;Cálculos'!AT13</f>
        <v>0</v>
      </c>
      <c r="Y9" s="76" t="str">
        <f>'Sorteio&amp;Cálculos'!Y13</f>
        <v>Marrocos</v>
      </c>
      <c r="Z9" s="77"/>
      <c r="AA9" s="71"/>
      <c r="AB9" s="3"/>
      <c r="AC9" s="79">
        <f>'Sorteio&amp;Cálculos'!BA9</f>
        <v>0</v>
      </c>
      <c r="AD9" s="79">
        <f>'Sorteio&amp;Cálculos'!BA13</f>
        <v>0</v>
      </c>
      <c r="AE9" s="16">
        <f>'Sorteio&amp;Cálculos'!$AV9</f>
        <v>0</v>
      </c>
      <c r="AF9" s="16">
        <f>'Sorteio&amp;Cálculos'!$AV13</f>
        <v>0</v>
      </c>
    </row>
    <row r="10" spans="1:32" ht="15.75" thickBot="1" x14ac:dyDescent="0.3">
      <c r="A10" s="64"/>
      <c r="B10" s="80">
        <v>4</v>
      </c>
      <c r="C10" s="81" t="str">
        <f>'Sorteio&amp;Cálculos'!AL10</f>
        <v>Uruguai</v>
      </c>
      <c r="D10" s="82">
        <f>'Sorteio&amp;Cálculos'!AM10</f>
        <v>0</v>
      </c>
      <c r="E10" s="82">
        <f>'Sorteio&amp;Cálculos'!AN10</f>
        <v>0</v>
      </c>
      <c r="F10" s="82">
        <f>'Sorteio&amp;Cálculos'!AO10</f>
        <v>0</v>
      </c>
      <c r="G10" s="82">
        <f>'Sorteio&amp;Cálculos'!AP10</f>
        <v>0</v>
      </c>
      <c r="H10" s="82">
        <f>'Sorteio&amp;Cálculos'!AQ10</f>
        <v>0</v>
      </c>
      <c r="I10" s="82">
        <f>'Sorteio&amp;Cálculos'!AR10</f>
        <v>0</v>
      </c>
      <c r="J10" s="82">
        <f>'Sorteio&amp;Cálculos'!AS10</f>
        <v>0</v>
      </c>
      <c r="K10" s="83">
        <f>'Sorteio&amp;Cálculos'!AT10</f>
        <v>0</v>
      </c>
      <c r="L10" s="84" t="str">
        <f>'Sorteio&amp;Cálculos'!Y10</f>
        <v>Uruguai</v>
      </c>
      <c r="M10" s="85"/>
      <c r="N10" s="70"/>
      <c r="O10" s="80">
        <v>4</v>
      </c>
      <c r="P10" s="81" t="str">
        <f>'Sorteio&amp;Cálculos'!AL14</f>
        <v>Irã</v>
      </c>
      <c r="Q10" s="82">
        <f>'Sorteio&amp;Cálculos'!AM14</f>
        <v>0</v>
      </c>
      <c r="R10" s="82">
        <f>'Sorteio&amp;Cálculos'!AN14</f>
        <v>0</v>
      </c>
      <c r="S10" s="82">
        <f>'Sorteio&amp;Cálculos'!AO14</f>
        <v>0</v>
      </c>
      <c r="T10" s="82">
        <f>'Sorteio&amp;Cálculos'!AP14</f>
        <v>0</v>
      </c>
      <c r="U10" s="82">
        <f>'Sorteio&amp;Cálculos'!AQ14</f>
        <v>0</v>
      </c>
      <c r="V10" s="82">
        <f>'Sorteio&amp;Cálculos'!AR14</f>
        <v>0</v>
      </c>
      <c r="W10" s="82">
        <f>'Sorteio&amp;Cálculos'!AS14</f>
        <v>0</v>
      </c>
      <c r="X10" s="83">
        <f>'Sorteio&amp;Cálculos'!AT14</f>
        <v>0</v>
      </c>
      <c r="Y10" s="84" t="str">
        <f>'Sorteio&amp;Cálculos'!Y14</f>
        <v>Irã</v>
      </c>
      <c r="Z10" s="85"/>
      <c r="AA10" s="71"/>
      <c r="AB10" s="3"/>
      <c r="AC10" s="79">
        <f>'Sorteio&amp;Cálculos'!BA10</f>
        <v>0</v>
      </c>
      <c r="AD10" s="79">
        <f>'Sorteio&amp;Cálculos'!BA14</f>
        <v>0</v>
      </c>
      <c r="AE10" s="16">
        <f>'Sorteio&amp;Cálculos'!$AV10</f>
        <v>0</v>
      </c>
      <c r="AF10" s="16">
        <f>'Sorteio&amp;Cálculos'!$AV14</f>
        <v>0</v>
      </c>
    </row>
    <row r="11" spans="1:32" ht="15.75" thickBot="1" x14ac:dyDescent="0.3">
      <c r="A11" s="64"/>
      <c r="E11" s="86"/>
      <c r="N11" s="64"/>
      <c r="O11" s="64"/>
      <c r="P11" s="64"/>
      <c r="Q11" s="64"/>
      <c r="R11" s="64"/>
      <c r="S11" s="64"/>
      <c r="T11" s="64"/>
      <c r="U11" s="64"/>
      <c r="V11" s="64"/>
      <c r="W11" s="64"/>
      <c r="X11" s="64"/>
      <c r="Y11" s="64"/>
      <c r="Z11" s="64"/>
      <c r="AA11" s="64"/>
      <c r="AB11" s="3"/>
    </row>
    <row r="12" spans="1:32" s="63" customFormat="1" ht="16.5" thickBot="1" x14ac:dyDescent="0.3">
      <c r="A12" s="59"/>
      <c r="B12" s="60" t="s">
        <v>5</v>
      </c>
      <c r="C12" s="61" t="s">
        <v>88</v>
      </c>
      <c r="D12" s="61" t="s">
        <v>6</v>
      </c>
      <c r="E12" s="61" t="s">
        <v>7</v>
      </c>
      <c r="F12" s="61" t="s">
        <v>8</v>
      </c>
      <c r="G12" s="61" t="s">
        <v>9</v>
      </c>
      <c r="H12" s="61" t="s">
        <v>10</v>
      </c>
      <c r="I12" s="61" t="s">
        <v>11</v>
      </c>
      <c r="J12" s="61" t="s">
        <v>12</v>
      </c>
      <c r="K12" s="62" t="s">
        <v>13</v>
      </c>
      <c r="L12" s="181" t="s">
        <v>157</v>
      </c>
      <c r="M12" s="182"/>
      <c r="N12" s="59"/>
      <c r="O12" s="60" t="s">
        <v>5</v>
      </c>
      <c r="P12" s="61" t="s">
        <v>89</v>
      </c>
      <c r="Q12" s="61" t="s">
        <v>6</v>
      </c>
      <c r="R12" s="61" t="s">
        <v>7</v>
      </c>
      <c r="S12" s="61" t="s">
        <v>8</v>
      </c>
      <c r="T12" s="61" t="s">
        <v>9</v>
      </c>
      <c r="U12" s="61" t="s">
        <v>10</v>
      </c>
      <c r="V12" s="61" t="s">
        <v>11</v>
      </c>
      <c r="W12" s="61" t="s">
        <v>12</v>
      </c>
      <c r="X12" s="62" t="s">
        <v>13</v>
      </c>
      <c r="Y12" s="181" t="s">
        <v>157</v>
      </c>
      <c r="Z12" s="182"/>
      <c r="AA12" s="59"/>
      <c r="AB12" s="3"/>
      <c r="AC12" s="16" t="s">
        <v>5</v>
      </c>
      <c r="AD12" s="16" t="s">
        <v>10</v>
      </c>
      <c r="AE12" s="16"/>
      <c r="AF12" s="16"/>
    </row>
    <row r="13" spans="1:32" x14ac:dyDescent="0.25">
      <c r="A13" s="64"/>
      <c r="B13" s="65">
        <v>1</v>
      </c>
      <c r="C13" s="66" t="str">
        <f>'Sorteio&amp;Cálculos'!AL15</f>
        <v>França</v>
      </c>
      <c r="D13" s="24">
        <f>'Sorteio&amp;Cálculos'!AM15</f>
        <v>0</v>
      </c>
      <c r="E13" s="24">
        <f>'Sorteio&amp;Cálculos'!AN15</f>
        <v>0</v>
      </c>
      <c r="F13" s="24">
        <f>'Sorteio&amp;Cálculos'!AO15</f>
        <v>0</v>
      </c>
      <c r="G13" s="24">
        <f>'Sorteio&amp;Cálculos'!AP15</f>
        <v>0</v>
      </c>
      <c r="H13" s="24">
        <f>'Sorteio&amp;Cálculos'!AQ15</f>
        <v>0</v>
      </c>
      <c r="I13" s="24">
        <f>'Sorteio&amp;Cálculos'!AR15</f>
        <v>0</v>
      </c>
      <c r="J13" s="24">
        <f>'Sorteio&amp;Cálculos'!AS15</f>
        <v>0</v>
      </c>
      <c r="K13" s="67">
        <f>'Sorteio&amp;Cálculos'!AT15</f>
        <v>0</v>
      </c>
      <c r="L13" s="68" t="str">
        <f>'Sorteio&amp;Cálculos'!Y15</f>
        <v>França</v>
      </c>
      <c r="M13" s="69"/>
      <c r="N13" s="71"/>
      <c r="O13" s="65">
        <v>1</v>
      </c>
      <c r="P13" s="66" t="str">
        <f>'Sorteio&amp;Cálculos'!AL19</f>
        <v>Argentina</v>
      </c>
      <c r="Q13" s="24">
        <f>'Sorteio&amp;Cálculos'!AM19</f>
        <v>0</v>
      </c>
      <c r="R13" s="24">
        <f>'Sorteio&amp;Cálculos'!AN19</f>
        <v>0</v>
      </c>
      <c r="S13" s="24">
        <f>'Sorteio&amp;Cálculos'!AO19</f>
        <v>0</v>
      </c>
      <c r="T13" s="24">
        <f>'Sorteio&amp;Cálculos'!AP19</f>
        <v>0</v>
      </c>
      <c r="U13" s="24">
        <f>'Sorteio&amp;Cálculos'!AQ19</f>
        <v>0</v>
      </c>
      <c r="V13" s="24">
        <f>'Sorteio&amp;Cálculos'!AR19</f>
        <v>0</v>
      </c>
      <c r="W13" s="24">
        <f>'Sorteio&amp;Cálculos'!AS19</f>
        <v>0</v>
      </c>
      <c r="X13" s="67">
        <f>'Sorteio&amp;Cálculos'!AT19</f>
        <v>0</v>
      </c>
      <c r="Y13" s="68" t="str">
        <f>'Sorteio&amp;Cálculos'!Y19</f>
        <v>Argentina</v>
      </c>
      <c r="Z13" s="69"/>
      <c r="AA13" s="71"/>
      <c r="AB13" s="3"/>
      <c r="AC13" s="72">
        <f>'Sorteio&amp;Cálculos'!BA15</f>
        <v>0</v>
      </c>
      <c r="AD13" s="73">
        <f>'Sorteio&amp;Cálculos'!BA19</f>
        <v>0</v>
      </c>
      <c r="AE13" s="16">
        <f>'Sorteio&amp;Cálculos'!$AV15</f>
        <v>0</v>
      </c>
      <c r="AF13" s="16">
        <f>'Sorteio&amp;Cálculos'!$AV19</f>
        <v>0</v>
      </c>
    </row>
    <row r="14" spans="1:32" x14ac:dyDescent="0.25">
      <c r="A14" s="64"/>
      <c r="B14" s="74">
        <v>2</v>
      </c>
      <c r="C14" s="39" t="str">
        <f>'Sorteio&amp;Cálculos'!AL16</f>
        <v>Austrália</v>
      </c>
      <c r="D14" s="32">
        <f>'Sorteio&amp;Cálculos'!AM16</f>
        <v>0</v>
      </c>
      <c r="E14" s="32">
        <f>'Sorteio&amp;Cálculos'!AN16</f>
        <v>0</v>
      </c>
      <c r="F14" s="32">
        <f>'Sorteio&amp;Cálculos'!AO16</f>
        <v>0</v>
      </c>
      <c r="G14" s="32">
        <f>'Sorteio&amp;Cálculos'!AP16</f>
        <v>0</v>
      </c>
      <c r="H14" s="32">
        <f>'Sorteio&amp;Cálculos'!AQ16</f>
        <v>0</v>
      </c>
      <c r="I14" s="32">
        <f>'Sorteio&amp;Cálculos'!AR16</f>
        <v>0</v>
      </c>
      <c r="J14" s="32">
        <f>'Sorteio&amp;Cálculos'!AS16</f>
        <v>0</v>
      </c>
      <c r="K14" s="75">
        <f>'Sorteio&amp;Cálculos'!AT16</f>
        <v>0</v>
      </c>
      <c r="L14" s="76" t="str">
        <f>'Sorteio&amp;Cálculos'!Y16</f>
        <v>Austrália</v>
      </c>
      <c r="M14" s="77"/>
      <c r="N14" s="71"/>
      <c r="O14" s="74">
        <v>2</v>
      </c>
      <c r="P14" s="39" t="str">
        <f>'Sorteio&amp;Cálculos'!AL20</f>
        <v>Islândia</v>
      </c>
      <c r="Q14" s="32">
        <f>'Sorteio&amp;Cálculos'!AM20</f>
        <v>0</v>
      </c>
      <c r="R14" s="32">
        <f>'Sorteio&amp;Cálculos'!AN20</f>
        <v>0</v>
      </c>
      <c r="S14" s="32">
        <f>'Sorteio&amp;Cálculos'!AO20</f>
        <v>0</v>
      </c>
      <c r="T14" s="32">
        <f>'Sorteio&amp;Cálculos'!AP20</f>
        <v>0</v>
      </c>
      <c r="U14" s="32">
        <f>'Sorteio&amp;Cálculos'!AQ20</f>
        <v>0</v>
      </c>
      <c r="V14" s="32">
        <f>'Sorteio&amp;Cálculos'!AR20</f>
        <v>0</v>
      </c>
      <c r="W14" s="32">
        <f>'Sorteio&amp;Cálculos'!AS20</f>
        <v>0</v>
      </c>
      <c r="X14" s="75">
        <f>'Sorteio&amp;Cálculos'!AT20</f>
        <v>0</v>
      </c>
      <c r="Y14" s="76" t="str">
        <f>'Sorteio&amp;Cálculos'!Y20</f>
        <v>Islândia</v>
      </c>
      <c r="Z14" s="77"/>
      <c r="AA14" s="71"/>
      <c r="AB14" s="3"/>
      <c r="AC14" s="72">
        <f>'Sorteio&amp;Cálculos'!BA16</f>
        <v>0</v>
      </c>
      <c r="AD14" s="72">
        <f>'Sorteio&amp;Cálculos'!BA20</f>
        <v>0</v>
      </c>
      <c r="AE14" s="16">
        <f>'Sorteio&amp;Cálculos'!$AV16</f>
        <v>0</v>
      </c>
      <c r="AF14" s="16">
        <f>'Sorteio&amp;Cálculos'!$AV20</f>
        <v>0</v>
      </c>
    </row>
    <row r="15" spans="1:32" x14ac:dyDescent="0.25">
      <c r="A15" s="64"/>
      <c r="B15" s="78">
        <v>3</v>
      </c>
      <c r="C15" s="39" t="str">
        <f>'Sorteio&amp;Cálculos'!AL17</f>
        <v>Peru</v>
      </c>
      <c r="D15" s="32">
        <f>'Sorteio&amp;Cálculos'!AM17</f>
        <v>0</v>
      </c>
      <c r="E15" s="32">
        <f>'Sorteio&amp;Cálculos'!AN17</f>
        <v>0</v>
      </c>
      <c r="F15" s="32">
        <f>'Sorteio&amp;Cálculos'!AO17</f>
        <v>0</v>
      </c>
      <c r="G15" s="32">
        <f>'Sorteio&amp;Cálculos'!AP17</f>
        <v>0</v>
      </c>
      <c r="H15" s="32">
        <f>'Sorteio&amp;Cálculos'!AQ17</f>
        <v>0</v>
      </c>
      <c r="I15" s="32">
        <f>'Sorteio&amp;Cálculos'!AR17</f>
        <v>0</v>
      </c>
      <c r="J15" s="32">
        <f>'Sorteio&amp;Cálculos'!AS17</f>
        <v>0</v>
      </c>
      <c r="K15" s="75">
        <f>'Sorteio&amp;Cálculos'!AT17</f>
        <v>0</v>
      </c>
      <c r="L15" s="76" t="str">
        <f>'Sorteio&amp;Cálculos'!Y17</f>
        <v>Peru</v>
      </c>
      <c r="M15" s="77"/>
      <c r="N15" s="71"/>
      <c r="O15" s="78">
        <v>3</v>
      </c>
      <c r="P15" s="39" t="str">
        <f>'Sorteio&amp;Cálculos'!AL21</f>
        <v>Croácia</v>
      </c>
      <c r="Q15" s="32">
        <f>'Sorteio&amp;Cálculos'!AM21</f>
        <v>0</v>
      </c>
      <c r="R15" s="32">
        <f>'Sorteio&amp;Cálculos'!AN21</f>
        <v>0</v>
      </c>
      <c r="S15" s="32">
        <f>'Sorteio&amp;Cálculos'!AO21</f>
        <v>0</v>
      </c>
      <c r="T15" s="32">
        <f>'Sorteio&amp;Cálculos'!AP21</f>
        <v>0</v>
      </c>
      <c r="U15" s="32">
        <f>'Sorteio&amp;Cálculos'!AQ21</f>
        <v>0</v>
      </c>
      <c r="V15" s="32">
        <f>'Sorteio&amp;Cálculos'!AR21</f>
        <v>0</v>
      </c>
      <c r="W15" s="32">
        <f>'Sorteio&amp;Cálculos'!AS21</f>
        <v>0</v>
      </c>
      <c r="X15" s="75">
        <f>'Sorteio&amp;Cálculos'!AT21</f>
        <v>0</v>
      </c>
      <c r="Y15" s="76" t="str">
        <f>'Sorteio&amp;Cálculos'!Y21</f>
        <v>Croácia</v>
      </c>
      <c r="Z15" s="77"/>
      <c r="AA15" s="71"/>
      <c r="AB15" s="3"/>
      <c r="AC15" s="79">
        <f>'Sorteio&amp;Cálculos'!BA17</f>
        <v>0</v>
      </c>
      <c r="AD15" s="79">
        <f>'Sorteio&amp;Cálculos'!BA21</f>
        <v>0</v>
      </c>
      <c r="AE15" s="16">
        <f>'Sorteio&amp;Cálculos'!$AV17</f>
        <v>0</v>
      </c>
      <c r="AF15" s="16">
        <f>'Sorteio&amp;Cálculos'!$AV21</f>
        <v>0</v>
      </c>
    </row>
    <row r="16" spans="1:32" ht="15.75" thickBot="1" x14ac:dyDescent="0.3">
      <c r="A16" s="64"/>
      <c r="B16" s="80">
        <v>4</v>
      </c>
      <c r="C16" s="81" t="str">
        <f>'Sorteio&amp;Cálculos'!AL18</f>
        <v>Dinamarca</v>
      </c>
      <c r="D16" s="82">
        <f>'Sorteio&amp;Cálculos'!AM18</f>
        <v>0</v>
      </c>
      <c r="E16" s="82">
        <f>'Sorteio&amp;Cálculos'!AN18</f>
        <v>0</v>
      </c>
      <c r="F16" s="82">
        <f>'Sorteio&amp;Cálculos'!AO18</f>
        <v>0</v>
      </c>
      <c r="G16" s="82">
        <f>'Sorteio&amp;Cálculos'!AP18</f>
        <v>0</v>
      </c>
      <c r="H16" s="82">
        <f>'Sorteio&amp;Cálculos'!AQ18</f>
        <v>0</v>
      </c>
      <c r="I16" s="82">
        <f>'Sorteio&amp;Cálculos'!AR18</f>
        <v>0</v>
      </c>
      <c r="J16" s="82">
        <f>'Sorteio&amp;Cálculos'!AS18</f>
        <v>0</v>
      </c>
      <c r="K16" s="83">
        <f>'Sorteio&amp;Cálculos'!AT18</f>
        <v>0</v>
      </c>
      <c r="L16" s="84" t="str">
        <f>'Sorteio&amp;Cálculos'!Y18</f>
        <v>Dinamarca</v>
      </c>
      <c r="M16" s="85"/>
      <c r="N16" s="71"/>
      <c r="O16" s="80">
        <v>4</v>
      </c>
      <c r="P16" s="81" t="str">
        <f>'Sorteio&amp;Cálculos'!AL22</f>
        <v>Nigéria</v>
      </c>
      <c r="Q16" s="82">
        <f>'Sorteio&amp;Cálculos'!AM22</f>
        <v>0</v>
      </c>
      <c r="R16" s="82">
        <f>'Sorteio&amp;Cálculos'!AN22</f>
        <v>0</v>
      </c>
      <c r="S16" s="82">
        <f>'Sorteio&amp;Cálculos'!AO22</f>
        <v>0</v>
      </c>
      <c r="T16" s="82">
        <f>'Sorteio&amp;Cálculos'!AP22</f>
        <v>0</v>
      </c>
      <c r="U16" s="82">
        <f>'Sorteio&amp;Cálculos'!AQ22</f>
        <v>0</v>
      </c>
      <c r="V16" s="82">
        <f>'Sorteio&amp;Cálculos'!AR22</f>
        <v>0</v>
      </c>
      <c r="W16" s="82">
        <f>'Sorteio&amp;Cálculos'!AS22</f>
        <v>0</v>
      </c>
      <c r="X16" s="83">
        <f>'Sorteio&amp;Cálculos'!AT22</f>
        <v>0</v>
      </c>
      <c r="Y16" s="84" t="str">
        <f>'Sorteio&amp;Cálculos'!Y22</f>
        <v>Nigéria</v>
      </c>
      <c r="Z16" s="85"/>
      <c r="AA16" s="71"/>
      <c r="AB16" s="3"/>
      <c r="AC16" s="79">
        <f>'Sorteio&amp;Cálculos'!BA18</f>
        <v>0</v>
      </c>
      <c r="AD16" s="79">
        <f>'Sorteio&amp;Cálculos'!BA22</f>
        <v>0</v>
      </c>
      <c r="AE16" s="16">
        <f>'Sorteio&amp;Cálculos'!$AV18</f>
        <v>0</v>
      </c>
      <c r="AF16" s="16">
        <f>'Sorteio&amp;Cálculos'!$AV22</f>
        <v>0</v>
      </c>
    </row>
    <row r="17" spans="1:32" ht="15.75" thickBot="1" x14ac:dyDescent="0.3">
      <c r="A17" s="64"/>
      <c r="E17" s="86"/>
      <c r="N17" s="64"/>
      <c r="O17" s="64"/>
      <c r="P17" s="64"/>
      <c r="Q17" s="64"/>
      <c r="R17" s="64"/>
      <c r="S17" s="64"/>
      <c r="T17" s="64"/>
      <c r="U17" s="64"/>
      <c r="V17" s="64"/>
      <c r="W17" s="64"/>
      <c r="X17" s="64"/>
      <c r="Y17" s="64"/>
      <c r="Z17" s="64"/>
      <c r="AA17" s="64"/>
      <c r="AB17" s="3"/>
    </row>
    <row r="18" spans="1:32" ht="16.5" thickBot="1" x14ac:dyDescent="0.3">
      <c r="B18" s="60" t="s">
        <v>5</v>
      </c>
      <c r="C18" s="61" t="s">
        <v>90</v>
      </c>
      <c r="D18" s="61" t="s">
        <v>6</v>
      </c>
      <c r="E18" s="61" t="s">
        <v>7</v>
      </c>
      <c r="F18" s="61" t="s">
        <v>8</v>
      </c>
      <c r="G18" s="61" t="s">
        <v>9</v>
      </c>
      <c r="H18" s="61" t="s">
        <v>10</v>
      </c>
      <c r="I18" s="61" t="s">
        <v>11</v>
      </c>
      <c r="J18" s="61" t="s">
        <v>12</v>
      </c>
      <c r="K18" s="62" t="s">
        <v>13</v>
      </c>
      <c r="L18" s="181" t="s">
        <v>157</v>
      </c>
      <c r="M18" s="182"/>
      <c r="O18" s="60" t="s">
        <v>5</v>
      </c>
      <c r="P18" s="61" t="s">
        <v>91</v>
      </c>
      <c r="Q18" s="61" t="s">
        <v>6</v>
      </c>
      <c r="R18" s="61" t="s">
        <v>7</v>
      </c>
      <c r="S18" s="61" t="s">
        <v>8</v>
      </c>
      <c r="T18" s="61" t="s">
        <v>9</v>
      </c>
      <c r="U18" s="61" t="s">
        <v>10</v>
      </c>
      <c r="V18" s="61" t="s">
        <v>11</v>
      </c>
      <c r="W18" s="61" t="s">
        <v>12</v>
      </c>
      <c r="X18" s="62" t="s">
        <v>13</v>
      </c>
      <c r="Y18" s="181" t="s">
        <v>157</v>
      </c>
      <c r="Z18" s="182"/>
      <c r="AB18" s="3"/>
      <c r="AC18" s="16" t="s">
        <v>9</v>
      </c>
      <c r="AD18" s="16" t="s">
        <v>69</v>
      </c>
    </row>
    <row r="19" spans="1:32" x14ac:dyDescent="0.25">
      <c r="B19" s="65">
        <v>1</v>
      </c>
      <c r="C19" s="66" t="str">
        <f>'Sorteio&amp;Cálculos'!AL23</f>
        <v>BRASIL</v>
      </c>
      <c r="D19" s="24">
        <f>'Sorteio&amp;Cálculos'!AM23</f>
        <v>0</v>
      </c>
      <c r="E19" s="24">
        <f>'Sorteio&amp;Cálculos'!AN23</f>
        <v>0</v>
      </c>
      <c r="F19" s="24">
        <f>'Sorteio&amp;Cálculos'!AO23</f>
        <v>0</v>
      </c>
      <c r="G19" s="24">
        <f>'Sorteio&amp;Cálculos'!AP23</f>
        <v>0</v>
      </c>
      <c r="H19" s="24">
        <f>'Sorteio&amp;Cálculos'!AQ23</f>
        <v>0</v>
      </c>
      <c r="I19" s="24">
        <f>'Sorteio&amp;Cálculos'!AR23</f>
        <v>0</v>
      </c>
      <c r="J19" s="24">
        <f>'Sorteio&amp;Cálculos'!AS23</f>
        <v>0</v>
      </c>
      <c r="K19" s="67">
        <f>'Sorteio&amp;Cálculos'!AT23</f>
        <v>0</v>
      </c>
      <c r="L19" s="68" t="str">
        <f>'Sorteio&amp;Cálculos'!Y23</f>
        <v>BRASIL</v>
      </c>
      <c r="M19" s="69"/>
      <c r="N19" s="71"/>
      <c r="O19" s="65">
        <v>1</v>
      </c>
      <c r="P19" s="66" t="str">
        <f>'Sorteio&amp;Cálculos'!AL27</f>
        <v>Alemanha</v>
      </c>
      <c r="Q19" s="24">
        <f>'Sorteio&amp;Cálculos'!AM27</f>
        <v>0</v>
      </c>
      <c r="R19" s="24">
        <f>'Sorteio&amp;Cálculos'!AN27</f>
        <v>0</v>
      </c>
      <c r="S19" s="24">
        <f>'Sorteio&amp;Cálculos'!AO27</f>
        <v>0</v>
      </c>
      <c r="T19" s="24">
        <f>'Sorteio&amp;Cálculos'!AP27</f>
        <v>0</v>
      </c>
      <c r="U19" s="24">
        <f>'Sorteio&amp;Cálculos'!AQ27</f>
        <v>0</v>
      </c>
      <c r="V19" s="24">
        <f>'Sorteio&amp;Cálculos'!AR27</f>
        <v>0</v>
      </c>
      <c r="W19" s="24">
        <f>'Sorteio&amp;Cálculos'!AS27</f>
        <v>0</v>
      </c>
      <c r="X19" s="67">
        <f>'Sorteio&amp;Cálculos'!AT27</f>
        <v>0</v>
      </c>
      <c r="Y19" s="68" t="str">
        <f>'Sorteio&amp;Cálculos'!Y27</f>
        <v>Alemanha</v>
      </c>
      <c r="Z19" s="69"/>
      <c r="AA19" s="71"/>
      <c r="AB19" s="3"/>
      <c r="AC19" s="72">
        <f>'Sorteio&amp;Cálculos'!BA23</f>
        <v>0</v>
      </c>
      <c r="AD19" s="73">
        <f>'Sorteio&amp;Cálculos'!BA27</f>
        <v>0</v>
      </c>
      <c r="AE19" s="16">
        <f>'Sorteio&amp;Cálculos'!$AV23</f>
        <v>0</v>
      </c>
      <c r="AF19" s="16">
        <f>'Sorteio&amp;Cálculos'!$AV27</f>
        <v>0</v>
      </c>
    </row>
    <row r="20" spans="1:32" x14ac:dyDescent="0.25">
      <c r="B20" s="74">
        <v>2</v>
      </c>
      <c r="C20" s="39" t="str">
        <f>'Sorteio&amp;Cálculos'!AL24</f>
        <v>Suíça</v>
      </c>
      <c r="D20" s="32">
        <f>'Sorteio&amp;Cálculos'!AM24</f>
        <v>0</v>
      </c>
      <c r="E20" s="32">
        <f>'Sorteio&amp;Cálculos'!AN24</f>
        <v>0</v>
      </c>
      <c r="F20" s="32">
        <f>'Sorteio&amp;Cálculos'!AO24</f>
        <v>0</v>
      </c>
      <c r="G20" s="32">
        <f>'Sorteio&amp;Cálculos'!AP24</f>
        <v>0</v>
      </c>
      <c r="H20" s="32">
        <f>'Sorteio&amp;Cálculos'!AQ24</f>
        <v>0</v>
      </c>
      <c r="I20" s="32">
        <f>'Sorteio&amp;Cálculos'!AR24</f>
        <v>0</v>
      </c>
      <c r="J20" s="32">
        <f>'Sorteio&amp;Cálculos'!AS24</f>
        <v>0</v>
      </c>
      <c r="K20" s="75">
        <f>'Sorteio&amp;Cálculos'!AT24</f>
        <v>0</v>
      </c>
      <c r="L20" s="76" t="str">
        <f>'Sorteio&amp;Cálculos'!Y24</f>
        <v>Suíça</v>
      </c>
      <c r="M20" s="77"/>
      <c r="N20" s="71"/>
      <c r="O20" s="74">
        <v>2</v>
      </c>
      <c r="P20" s="39" t="str">
        <f>'Sorteio&amp;Cálculos'!AL28</f>
        <v>México</v>
      </c>
      <c r="Q20" s="32">
        <f>'Sorteio&amp;Cálculos'!AM28</f>
        <v>0</v>
      </c>
      <c r="R20" s="32">
        <f>'Sorteio&amp;Cálculos'!AN28</f>
        <v>0</v>
      </c>
      <c r="S20" s="32">
        <f>'Sorteio&amp;Cálculos'!AO28</f>
        <v>0</v>
      </c>
      <c r="T20" s="32">
        <f>'Sorteio&amp;Cálculos'!AP28</f>
        <v>0</v>
      </c>
      <c r="U20" s="32">
        <f>'Sorteio&amp;Cálculos'!AQ28</f>
        <v>0</v>
      </c>
      <c r="V20" s="32">
        <f>'Sorteio&amp;Cálculos'!AR28</f>
        <v>0</v>
      </c>
      <c r="W20" s="32">
        <f>'Sorteio&amp;Cálculos'!AS28</f>
        <v>0</v>
      </c>
      <c r="X20" s="75">
        <f>'Sorteio&amp;Cálculos'!AT28</f>
        <v>0</v>
      </c>
      <c r="Y20" s="76" t="str">
        <f>'Sorteio&amp;Cálculos'!Y28</f>
        <v>México</v>
      </c>
      <c r="Z20" s="77"/>
      <c r="AA20" s="71"/>
      <c r="AB20" s="3"/>
      <c r="AC20" s="72">
        <f>'Sorteio&amp;Cálculos'!BA24</f>
        <v>0</v>
      </c>
      <c r="AD20" s="72">
        <f>'Sorteio&amp;Cálculos'!BA28</f>
        <v>0</v>
      </c>
      <c r="AE20" s="16">
        <f>'Sorteio&amp;Cálculos'!$AV24</f>
        <v>0</v>
      </c>
      <c r="AF20" s="16">
        <f>'Sorteio&amp;Cálculos'!$AV28</f>
        <v>0</v>
      </c>
    </row>
    <row r="21" spans="1:32" x14ac:dyDescent="0.25">
      <c r="B21" s="78">
        <v>3</v>
      </c>
      <c r="C21" s="39" t="str">
        <f>'Sorteio&amp;Cálculos'!AL25</f>
        <v>Costa Rica</v>
      </c>
      <c r="D21" s="32">
        <f>'Sorteio&amp;Cálculos'!AM25</f>
        <v>0</v>
      </c>
      <c r="E21" s="32">
        <f>'Sorteio&amp;Cálculos'!AN25</f>
        <v>0</v>
      </c>
      <c r="F21" s="32">
        <f>'Sorteio&amp;Cálculos'!AO25</f>
        <v>0</v>
      </c>
      <c r="G21" s="32">
        <f>'Sorteio&amp;Cálculos'!AP25</f>
        <v>0</v>
      </c>
      <c r="H21" s="32">
        <f>'Sorteio&amp;Cálculos'!AQ25</f>
        <v>0</v>
      </c>
      <c r="I21" s="32">
        <f>'Sorteio&amp;Cálculos'!AR25</f>
        <v>0</v>
      </c>
      <c r="J21" s="32">
        <f>'Sorteio&amp;Cálculos'!AS25</f>
        <v>0</v>
      </c>
      <c r="K21" s="75">
        <f>'Sorteio&amp;Cálculos'!AT25</f>
        <v>0</v>
      </c>
      <c r="L21" s="76" t="str">
        <f>'Sorteio&amp;Cálculos'!Y25</f>
        <v>Costa Rica</v>
      </c>
      <c r="M21" s="77"/>
      <c r="N21" s="71"/>
      <c r="O21" s="78">
        <v>3</v>
      </c>
      <c r="P21" s="39" t="str">
        <f>'Sorteio&amp;Cálculos'!AL29</f>
        <v>Suécia</v>
      </c>
      <c r="Q21" s="32">
        <f>'Sorteio&amp;Cálculos'!AM29</f>
        <v>0</v>
      </c>
      <c r="R21" s="32">
        <f>'Sorteio&amp;Cálculos'!AN29</f>
        <v>0</v>
      </c>
      <c r="S21" s="32">
        <f>'Sorteio&amp;Cálculos'!AO29</f>
        <v>0</v>
      </c>
      <c r="T21" s="32">
        <f>'Sorteio&amp;Cálculos'!AP29</f>
        <v>0</v>
      </c>
      <c r="U21" s="32">
        <f>'Sorteio&amp;Cálculos'!AQ29</f>
        <v>0</v>
      </c>
      <c r="V21" s="32">
        <f>'Sorteio&amp;Cálculos'!AR29</f>
        <v>0</v>
      </c>
      <c r="W21" s="32">
        <f>'Sorteio&amp;Cálculos'!AS29</f>
        <v>0</v>
      </c>
      <c r="X21" s="75">
        <f>'Sorteio&amp;Cálculos'!AT29</f>
        <v>0</v>
      </c>
      <c r="Y21" s="76" t="str">
        <f>'Sorteio&amp;Cálculos'!Y29</f>
        <v>Suécia</v>
      </c>
      <c r="Z21" s="77"/>
      <c r="AA21" s="71"/>
      <c r="AB21" s="3"/>
      <c r="AC21" s="79">
        <f>'Sorteio&amp;Cálculos'!BA25</f>
        <v>0</v>
      </c>
      <c r="AD21" s="79">
        <f>'Sorteio&amp;Cálculos'!BA29</f>
        <v>0</v>
      </c>
      <c r="AE21" s="16">
        <f>'Sorteio&amp;Cálculos'!$AV25</f>
        <v>0</v>
      </c>
      <c r="AF21" s="16">
        <f>'Sorteio&amp;Cálculos'!$AV29</f>
        <v>0</v>
      </c>
    </row>
    <row r="22" spans="1:32" ht="15.75" thickBot="1" x14ac:dyDescent="0.3">
      <c r="B22" s="80">
        <v>4</v>
      </c>
      <c r="C22" s="81" t="str">
        <f>'Sorteio&amp;Cálculos'!AL26</f>
        <v>Sérvia</v>
      </c>
      <c r="D22" s="82">
        <f>'Sorteio&amp;Cálculos'!AM26</f>
        <v>0</v>
      </c>
      <c r="E22" s="82">
        <f>'Sorteio&amp;Cálculos'!AN26</f>
        <v>0</v>
      </c>
      <c r="F22" s="82">
        <f>'Sorteio&amp;Cálculos'!AO26</f>
        <v>0</v>
      </c>
      <c r="G22" s="82">
        <f>'Sorteio&amp;Cálculos'!AP26</f>
        <v>0</v>
      </c>
      <c r="H22" s="82">
        <f>'Sorteio&amp;Cálculos'!AQ26</f>
        <v>0</v>
      </c>
      <c r="I22" s="82">
        <f>'Sorteio&amp;Cálculos'!AR26</f>
        <v>0</v>
      </c>
      <c r="J22" s="82">
        <f>'Sorteio&amp;Cálculos'!AS26</f>
        <v>0</v>
      </c>
      <c r="K22" s="83">
        <f>'Sorteio&amp;Cálculos'!AT26</f>
        <v>0</v>
      </c>
      <c r="L22" s="84" t="str">
        <f>'Sorteio&amp;Cálculos'!Y26</f>
        <v>Sérvia</v>
      </c>
      <c r="M22" s="85"/>
      <c r="N22" s="71"/>
      <c r="O22" s="80">
        <v>4</v>
      </c>
      <c r="P22" s="81" t="str">
        <f>'Sorteio&amp;Cálculos'!AL30</f>
        <v>Coreia do Sul</v>
      </c>
      <c r="Q22" s="82">
        <f>'Sorteio&amp;Cálculos'!AM30</f>
        <v>0</v>
      </c>
      <c r="R22" s="82">
        <f>'Sorteio&amp;Cálculos'!AN30</f>
        <v>0</v>
      </c>
      <c r="S22" s="82">
        <f>'Sorteio&amp;Cálculos'!AO30</f>
        <v>0</v>
      </c>
      <c r="T22" s="82">
        <f>'Sorteio&amp;Cálculos'!AP30</f>
        <v>0</v>
      </c>
      <c r="U22" s="82">
        <f>'Sorteio&amp;Cálculos'!AQ30</f>
        <v>0</v>
      </c>
      <c r="V22" s="82">
        <f>'Sorteio&amp;Cálculos'!AR30</f>
        <v>0</v>
      </c>
      <c r="W22" s="82">
        <f>'Sorteio&amp;Cálculos'!AS30</f>
        <v>0</v>
      </c>
      <c r="X22" s="83">
        <f>'Sorteio&amp;Cálculos'!AT30</f>
        <v>0</v>
      </c>
      <c r="Y22" s="84" t="str">
        <f>'Sorteio&amp;Cálculos'!Y30</f>
        <v>Coreia do Sul</v>
      </c>
      <c r="Z22" s="85"/>
      <c r="AA22" s="71"/>
      <c r="AB22" s="3"/>
      <c r="AC22" s="79">
        <f>'Sorteio&amp;Cálculos'!BA26</f>
        <v>0</v>
      </c>
      <c r="AD22" s="79">
        <f>'Sorteio&amp;Cálculos'!BA30</f>
        <v>0</v>
      </c>
      <c r="AE22" s="16">
        <f>'Sorteio&amp;Cálculos'!$AV26</f>
        <v>0</v>
      </c>
      <c r="AF22" s="16">
        <f>'Sorteio&amp;Cálculos'!$AV30</f>
        <v>0</v>
      </c>
    </row>
    <row r="23" spans="1:32" ht="15.75" thickBot="1" x14ac:dyDescent="0.3">
      <c r="N23" s="64"/>
      <c r="AA23" s="64"/>
    </row>
    <row r="24" spans="1:32" ht="16.5" thickBot="1" x14ac:dyDescent="0.3">
      <c r="B24" s="60" t="s">
        <v>5</v>
      </c>
      <c r="C24" s="61" t="s">
        <v>150</v>
      </c>
      <c r="D24" s="61" t="s">
        <v>6</v>
      </c>
      <c r="E24" s="61" t="s">
        <v>7</v>
      </c>
      <c r="F24" s="61" t="s">
        <v>8</v>
      </c>
      <c r="G24" s="61" t="s">
        <v>9</v>
      </c>
      <c r="H24" s="61" t="s">
        <v>10</v>
      </c>
      <c r="I24" s="61" t="s">
        <v>11</v>
      </c>
      <c r="J24" s="61" t="s">
        <v>12</v>
      </c>
      <c r="K24" s="62" t="s">
        <v>13</v>
      </c>
      <c r="L24" s="181" t="s">
        <v>157</v>
      </c>
      <c r="M24" s="182"/>
      <c r="N24" s="59"/>
      <c r="O24" s="60" t="s">
        <v>5</v>
      </c>
      <c r="P24" s="61" t="s">
        <v>151</v>
      </c>
      <c r="Q24" s="61" t="s">
        <v>6</v>
      </c>
      <c r="R24" s="61" t="s">
        <v>7</v>
      </c>
      <c r="S24" s="61" t="s">
        <v>8</v>
      </c>
      <c r="T24" s="61" t="s">
        <v>9</v>
      </c>
      <c r="U24" s="61" t="s">
        <v>10</v>
      </c>
      <c r="V24" s="61" t="s">
        <v>11</v>
      </c>
      <c r="W24" s="61" t="s">
        <v>12</v>
      </c>
      <c r="X24" s="62" t="s">
        <v>13</v>
      </c>
      <c r="Y24" s="181" t="s">
        <v>157</v>
      </c>
      <c r="Z24" s="182"/>
      <c r="AA24" s="59"/>
      <c r="AB24" s="3"/>
      <c r="AC24" s="16" t="s">
        <v>19</v>
      </c>
      <c r="AD24" s="16" t="s">
        <v>149</v>
      </c>
    </row>
    <row r="25" spans="1:32" x14ac:dyDescent="0.25">
      <c r="B25" s="65">
        <v>1</v>
      </c>
      <c r="C25" s="66" t="str">
        <f>'Sorteio&amp;Cálculos'!AL31</f>
        <v>Bélgica</v>
      </c>
      <c r="D25" s="24">
        <f>'Sorteio&amp;Cálculos'!AM31</f>
        <v>0</v>
      </c>
      <c r="E25" s="24">
        <f>'Sorteio&amp;Cálculos'!AN31</f>
        <v>0</v>
      </c>
      <c r="F25" s="24">
        <f>'Sorteio&amp;Cálculos'!AO31</f>
        <v>0</v>
      </c>
      <c r="G25" s="24">
        <f>'Sorteio&amp;Cálculos'!AP31</f>
        <v>0</v>
      </c>
      <c r="H25" s="24">
        <f>'Sorteio&amp;Cálculos'!AQ31</f>
        <v>0</v>
      </c>
      <c r="I25" s="24">
        <f>'Sorteio&amp;Cálculos'!AR31</f>
        <v>0</v>
      </c>
      <c r="J25" s="24">
        <f>'Sorteio&amp;Cálculos'!AS31</f>
        <v>0</v>
      </c>
      <c r="K25" s="67">
        <f>'Sorteio&amp;Cálculos'!AT31</f>
        <v>0</v>
      </c>
      <c r="L25" s="68" t="str">
        <f>'Sorteio&amp;Cálculos'!Y31</f>
        <v>Bélgica</v>
      </c>
      <c r="M25" s="69"/>
      <c r="N25" s="71"/>
      <c r="O25" s="65">
        <v>1</v>
      </c>
      <c r="P25" s="66" t="str">
        <f>'Sorteio&amp;Cálculos'!AL35</f>
        <v>Polônia</v>
      </c>
      <c r="Q25" s="24">
        <f>'Sorteio&amp;Cálculos'!AM35</f>
        <v>0</v>
      </c>
      <c r="R25" s="24">
        <f>'Sorteio&amp;Cálculos'!AN35</f>
        <v>0</v>
      </c>
      <c r="S25" s="24">
        <f>'Sorteio&amp;Cálculos'!AO35</f>
        <v>0</v>
      </c>
      <c r="T25" s="24">
        <f>'Sorteio&amp;Cálculos'!AP35</f>
        <v>0</v>
      </c>
      <c r="U25" s="24">
        <f>'Sorteio&amp;Cálculos'!AQ35</f>
        <v>0</v>
      </c>
      <c r="V25" s="24">
        <f>'Sorteio&amp;Cálculos'!AR35</f>
        <v>0</v>
      </c>
      <c r="W25" s="24">
        <f>'Sorteio&amp;Cálculos'!AS35</f>
        <v>0</v>
      </c>
      <c r="X25" s="67">
        <f>'Sorteio&amp;Cálculos'!AT35</f>
        <v>0</v>
      </c>
      <c r="Y25" s="68" t="str">
        <f>'Sorteio&amp;Cálculos'!Y35</f>
        <v>Polônia</v>
      </c>
      <c r="Z25" s="69"/>
      <c r="AA25" s="71"/>
      <c r="AB25" s="3"/>
      <c r="AC25" s="72">
        <f>'Sorteio&amp;Cálculos'!BA31</f>
        <v>0</v>
      </c>
      <c r="AD25" s="73">
        <f>'Sorteio&amp;Cálculos'!BA35</f>
        <v>0</v>
      </c>
      <c r="AE25" s="16">
        <f>'Sorteio&amp;Cálculos'!$AV31</f>
        <v>0</v>
      </c>
      <c r="AF25" s="16">
        <f>'Sorteio&amp;Cálculos'!$AV35</f>
        <v>0</v>
      </c>
    </row>
    <row r="26" spans="1:32" x14ac:dyDescent="0.25">
      <c r="B26" s="74">
        <v>2</v>
      </c>
      <c r="C26" s="39" t="str">
        <f>'Sorteio&amp;Cálculos'!AL32</f>
        <v>Panamá</v>
      </c>
      <c r="D26" s="32">
        <f>'Sorteio&amp;Cálculos'!AM32</f>
        <v>0</v>
      </c>
      <c r="E26" s="32">
        <f>'Sorteio&amp;Cálculos'!AN32</f>
        <v>0</v>
      </c>
      <c r="F26" s="32">
        <f>'Sorteio&amp;Cálculos'!AO32</f>
        <v>0</v>
      </c>
      <c r="G26" s="32">
        <f>'Sorteio&amp;Cálculos'!AP32</f>
        <v>0</v>
      </c>
      <c r="H26" s="32">
        <f>'Sorteio&amp;Cálculos'!AQ32</f>
        <v>0</v>
      </c>
      <c r="I26" s="32">
        <f>'Sorteio&amp;Cálculos'!AR32</f>
        <v>0</v>
      </c>
      <c r="J26" s="32">
        <f>'Sorteio&amp;Cálculos'!AS32</f>
        <v>0</v>
      </c>
      <c r="K26" s="75">
        <f>'Sorteio&amp;Cálculos'!AT32</f>
        <v>0</v>
      </c>
      <c r="L26" s="76" t="str">
        <f>'Sorteio&amp;Cálculos'!Y32</f>
        <v>Panamá</v>
      </c>
      <c r="M26" s="77"/>
      <c r="N26" s="71"/>
      <c r="O26" s="74">
        <v>2</v>
      </c>
      <c r="P26" s="39" t="str">
        <f>'Sorteio&amp;Cálculos'!AL36</f>
        <v>Senegal</v>
      </c>
      <c r="Q26" s="32">
        <f>'Sorteio&amp;Cálculos'!AM36</f>
        <v>0</v>
      </c>
      <c r="R26" s="32">
        <f>'Sorteio&amp;Cálculos'!AN36</f>
        <v>0</v>
      </c>
      <c r="S26" s="32">
        <f>'Sorteio&amp;Cálculos'!AO36</f>
        <v>0</v>
      </c>
      <c r="T26" s="32">
        <f>'Sorteio&amp;Cálculos'!AP36</f>
        <v>0</v>
      </c>
      <c r="U26" s="32">
        <f>'Sorteio&amp;Cálculos'!AQ36</f>
        <v>0</v>
      </c>
      <c r="V26" s="32">
        <f>'Sorteio&amp;Cálculos'!AR36</f>
        <v>0</v>
      </c>
      <c r="W26" s="32">
        <f>'Sorteio&amp;Cálculos'!AS36</f>
        <v>0</v>
      </c>
      <c r="X26" s="75">
        <f>'Sorteio&amp;Cálculos'!AT36</f>
        <v>0</v>
      </c>
      <c r="Y26" s="76" t="str">
        <f>'Sorteio&amp;Cálculos'!Y36</f>
        <v>Senegal</v>
      </c>
      <c r="Z26" s="77"/>
      <c r="AA26" s="71"/>
      <c r="AB26" s="3"/>
      <c r="AC26" s="72">
        <f>'Sorteio&amp;Cálculos'!BA32</f>
        <v>0</v>
      </c>
      <c r="AD26" s="72">
        <f>'Sorteio&amp;Cálculos'!BA36</f>
        <v>0</v>
      </c>
      <c r="AE26" s="16">
        <f>'Sorteio&amp;Cálculos'!$AV32</f>
        <v>0</v>
      </c>
      <c r="AF26" s="16">
        <f>'Sorteio&amp;Cálculos'!$AV36</f>
        <v>0</v>
      </c>
    </row>
    <row r="27" spans="1:32" x14ac:dyDescent="0.25">
      <c r="B27" s="78">
        <v>3</v>
      </c>
      <c r="C27" s="39" t="str">
        <f>'Sorteio&amp;Cálculos'!AL33</f>
        <v>Tunísia</v>
      </c>
      <c r="D27" s="32">
        <f>'Sorteio&amp;Cálculos'!AM33</f>
        <v>0</v>
      </c>
      <c r="E27" s="32">
        <f>'Sorteio&amp;Cálculos'!AN33</f>
        <v>0</v>
      </c>
      <c r="F27" s="32">
        <f>'Sorteio&amp;Cálculos'!AO33</f>
        <v>0</v>
      </c>
      <c r="G27" s="32">
        <f>'Sorteio&amp;Cálculos'!AP33</f>
        <v>0</v>
      </c>
      <c r="H27" s="32">
        <f>'Sorteio&amp;Cálculos'!AQ33</f>
        <v>0</v>
      </c>
      <c r="I27" s="32">
        <f>'Sorteio&amp;Cálculos'!AR33</f>
        <v>0</v>
      </c>
      <c r="J27" s="32">
        <f>'Sorteio&amp;Cálculos'!AS33</f>
        <v>0</v>
      </c>
      <c r="K27" s="75">
        <f>'Sorteio&amp;Cálculos'!AT33</f>
        <v>0</v>
      </c>
      <c r="L27" s="76" t="str">
        <f>'Sorteio&amp;Cálculos'!Y33</f>
        <v>Tunísia</v>
      </c>
      <c r="M27" s="77"/>
      <c r="N27" s="71"/>
      <c r="O27" s="78">
        <v>3</v>
      </c>
      <c r="P27" s="39" t="str">
        <f>'Sorteio&amp;Cálculos'!AL37</f>
        <v>Colômbia</v>
      </c>
      <c r="Q27" s="32">
        <f>'Sorteio&amp;Cálculos'!AM37</f>
        <v>0</v>
      </c>
      <c r="R27" s="32">
        <f>'Sorteio&amp;Cálculos'!AN37</f>
        <v>0</v>
      </c>
      <c r="S27" s="32">
        <f>'Sorteio&amp;Cálculos'!AO37</f>
        <v>0</v>
      </c>
      <c r="T27" s="32">
        <f>'Sorteio&amp;Cálculos'!AP37</f>
        <v>0</v>
      </c>
      <c r="U27" s="32">
        <f>'Sorteio&amp;Cálculos'!AQ37</f>
        <v>0</v>
      </c>
      <c r="V27" s="32">
        <f>'Sorteio&amp;Cálculos'!AR37</f>
        <v>0</v>
      </c>
      <c r="W27" s="32">
        <f>'Sorteio&amp;Cálculos'!AS37</f>
        <v>0</v>
      </c>
      <c r="X27" s="75">
        <f>'Sorteio&amp;Cálculos'!AT37</f>
        <v>0</v>
      </c>
      <c r="Y27" s="76" t="str">
        <f>'Sorteio&amp;Cálculos'!Y37</f>
        <v>Colômbia</v>
      </c>
      <c r="Z27" s="77"/>
      <c r="AA27" s="71"/>
      <c r="AB27" s="3"/>
      <c r="AC27" s="79">
        <f>'Sorteio&amp;Cálculos'!BA33</f>
        <v>0</v>
      </c>
      <c r="AD27" s="79">
        <f>'Sorteio&amp;Cálculos'!BA37</f>
        <v>0</v>
      </c>
      <c r="AE27" s="16">
        <f>'Sorteio&amp;Cálculos'!$AV33</f>
        <v>0</v>
      </c>
      <c r="AF27" s="16">
        <f>'Sorteio&amp;Cálculos'!$AV37</f>
        <v>0</v>
      </c>
    </row>
    <row r="28" spans="1:32" ht="15.75" thickBot="1" x14ac:dyDescent="0.3">
      <c r="B28" s="80">
        <v>4</v>
      </c>
      <c r="C28" s="81" t="str">
        <f>'Sorteio&amp;Cálculos'!AL34</f>
        <v>Inglaterra</v>
      </c>
      <c r="D28" s="82">
        <f>'Sorteio&amp;Cálculos'!AM34</f>
        <v>0</v>
      </c>
      <c r="E28" s="82">
        <f>'Sorteio&amp;Cálculos'!AN34</f>
        <v>0</v>
      </c>
      <c r="F28" s="82">
        <f>'Sorteio&amp;Cálculos'!AO34</f>
        <v>0</v>
      </c>
      <c r="G28" s="82">
        <f>'Sorteio&amp;Cálculos'!AP34</f>
        <v>0</v>
      </c>
      <c r="H28" s="82">
        <f>'Sorteio&amp;Cálculos'!AQ34</f>
        <v>0</v>
      </c>
      <c r="I28" s="82">
        <f>'Sorteio&amp;Cálculos'!AR34</f>
        <v>0</v>
      </c>
      <c r="J28" s="82">
        <f>'Sorteio&amp;Cálculos'!AS34</f>
        <v>0</v>
      </c>
      <c r="K28" s="83">
        <f>'Sorteio&amp;Cálculos'!AT34</f>
        <v>0</v>
      </c>
      <c r="L28" s="84" t="str">
        <f>'Sorteio&amp;Cálculos'!Y34</f>
        <v>Inglaterra</v>
      </c>
      <c r="M28" s="85"/>
      <c r="N28" s="71"/>
      <c r="O28" s="80">
        <v>4</v>
      </c>
      <c r="P28" s="81" t="str">
        <f>'Sorteio&amp;Cálculos'!AL38</f>
        <v>Japão</v>
      </c>
      <c r="Q28" s="82">
        <f>'Sorteio&amp;Cálculos'!AM38</f>
        <v>0</v>
      </c>
      <c r="R28" s="82">
        <f>'Sorteio&amp;Cálculos'!AN38</f>
        <v>0</v>
      </c>
      <c r="S28" s="82">
        <f>'Sorteio&amp;Cálculos'!AO38</f>
        <v>0</v>
      </c>
      <c r="T28" s="82">
        <f>'Sorteio&amp;Cálculos'!AP38</f>
        <v>0</v>
      </c>
      <c r="U28" s="82">
        <f>'Sorteio&amp;Cálculos'!AQ38</f>
        <v>0</v>
      </c>
      <c r="V28" s="82">
        <f>'Sorteio&amp;Cálculos'!AR38</f>
        <v>0</v>
      </c>
      <c r="W28" s="82">
        <f>'Sorteio&amp;Cálculos'!AS38</f>
        <v>0</v>
      </c>
      <c r="X28" s="83">
        <f>'Sorteio&amp;Cálculos'!AT38</f>
        <v>0</v>
      </c>
      <c r="Y28" s="84" t="str">
        <f>'Sorteio&amp;Cálculos'!Y38</f>
        <v>Japão</v>
      </c>
      <c r="Z28" s="85"/>
      <c r="AA28" s="71"/>
      <c r="AB28" s="3"/>
      <c r="AC28" s="79">
        <f>'Sorteio&amp;Cálculos'!BA34</f>
        <v>0</v>
      </c>
      <c r="AD28" s="79">
        <f>'Sorteio&amp;Cálculos'!BA38</f>
        <v>0</v>
      </c>
      <c r="AE28" s="16">
        <f>'Sorteio&amp;Cálculos'!$AV34</f>
        <v>0</v>
      </c>
      <c r="AF28" s="16">
        <f>'Sorteio&amp;Cálculos'!$AV38</f>
        <v>0</v>
      </c>
    </row>
  </sheetData>
  <sheetProtection password="CD12" sheet="1" objects="1" scenarios="1" selectLockedCells="1"/>
  <mergeCells count="11">
    <mergeCell ref="L24:M24"/>
    <mergeCell ref="Y24:Z24"/>
    <mergeCell ref="M4:O4"/>
    <mergeCell ref="A1:AA1"/>
    <mergeCell ref="A2:AA2"/>
    <mergeCell ref="L18:M18"/>
    <mergeCell ref="Y18:Z18"/>
    <mergeCell ref="L12:M12"/>
    <mergeCell ref="L6:M6"/>
    <mergeCell ref="Y6:Z6"/>
    <mergeCell ref="Y12:Z12"/>
  </mergeCells>
  <conditionalFormatting sqref="B7:K7">
    <cfRule type="expression" dxfId="84" priority="326">
      <formula>$AC$7&gt;0</formula>
    </cfRule>
  </conditionalFormatting>
  <conditionalFormatting sqref="O7:X7">
    <cfRule type="expression" dxfId="83" priority="321">
      <formula>$AD$7&gt;0</formula>
    </cfRule>
  </conditionalFormatting>
  <conditionalFormatting sqref="B13:K13">
    <cfRule type="expression" dxfId="82" priority="320">
      <formula>$AC$13&gt;0</formula>
    </cfRule>
  </conditionalFormatting>
  <conditionalFormatting sqref="O13:X13">
    <cfRule type="expression" dxfId="81" priority="319">
      <formula>$AD$13&gt;0</formula>
    </cfRule>
  </conditionalFormatting>
  <conditionalFormatting sqref="B19:K19">
    <cfRule type="expression" dxfId="80" priority="318">
      <formula>$AC$19&gt;0</formula>
    </cfRule>
  </conditionalFormatting>
  <conditionalFormatting sqref="O19:X19">
    <cfRule type="expression" dxfId="79" priority="317">
      <formula>$AD$19&gt;0</formula>
    </cfRule>
  </conditionalFormatting>
  <conditionalFormatting sqref="B9:K9">
    <cfRule type="expression" dxfId="78" priority="296">
      <formula>$AC$9&lt;0</formula>
    </cfRule>
  </conditionalFormatting>
  <conditionalFormatting sqref="O9:X9">
    <cfRule type="expression" dxfId="77" priority="295">
      <formula>$AD$9&lt;0</formula>
    </cfRule>
  </conditionalFormatting>
  <conditionalFormatting sqref="B15:K15">
    <cfRule type="expression" dxfId="76" priority="294">
      <formula>$AC$15&lt;0</formula>
    </cfRule>
  </conditionalFormatting>
  <conditionalFormatting sqref="O15:X15">
    <cfRule type="expression" dxfId="75" priority="293">
      <formula>$AD$15&lt;0</formula>
    </cfRule>
  </conditionalFormatting>
  <conditionalFormatting sqref="B21:K21">
    <cfRule type="expression" dxfId="74" priority="292">
      <formula>$AC$21&lt;0</formula>
    </cfRule>
  </conditionalFormatting>
  <conditionalFormatting sqref="O21:X21">
    <cfRule type="expression" dxfId="73" priority="291">
      <formula>$AD$21&lt;0</formula>
    </cfRule>
  </conditionalFormatting>
  <conditionalFormatting sqref="C7:C28 L25:L28 P7:P28 L7:L11 Y7:Y11 L13:L17 Y13:Y17 L19:L23 Y19:Y23 Y25:Y28">
    <cfRule type="cellIs" dxfId="72" priority="2" stopIfTrue="1" operator="equal">
      <formula>$AC$4</formula>
    </cfRule>
  </conditionalFormatting>
  <conditionalFormatting sqref="O25:X25">
    <cfRule type="expression" dxfId="71" priority="287">
      <formula>$AD$25&gt;0</formula>
    </cfRule>
  </conditionalFormatting>
  <conditionalFormatting sqref="B27:K27">
    <cfRule type="expression" dxfId="70" priority="280">
      <formula>$AC$27&lt;0</formula>
    </cfRule>
  </conditionalFormatting>
  <conditionalFormatting sqref="O27:X27">
    <cfRule type="expression" dxfId="69" priority="279">
      <formula>$AD$27&lt;0</formula>
    </cfRule>
  </conditionalFormatting>
  <conditionalFormatting sqref="B25:K25">
    <cfRule type="expression" dxfId="68" priority="289">
      <formula>$AC$25&gt;0</formula>
    </cfRule>
  </conditionalFormatting>
  <conditionalFormatting sqref="M7">
    <cfRule type="expression" dxfId="67" priority="49" stopIfTrue="1">
      <formula>AE7=1</formula>
    </cfRule>
  </conditionalFormatting>
  <conditionalFormatting sqref="M8">
    <cfRule type="expression" dxfId="66" priority="48" stopIfTrue="1">
      <formula>AE8=1</formula>
    </cfRule>
  </conditionalFormatting>
  <conditionalFormatting sqref="M9">
    <cfRule type="expression" dxfId="65" priority="47" stopIfTrue="1">
      <formula>AE9=1</formula>
    </cfRule>
  </conditionalFormatting>
  <conditionalFormatting sqref="M10">
    <cfRule type="expression" dxfId="64" priority="46" stopIfTrue="1">
      <formula>AE10=1</formula>
    </cfRule>
  </conditionalFormatting>
  <conditionalFormatting sqref="Z7">
    <cfRule type="expression" dxfId="63" priority="45" stopIfTrue="1">
      <formula>AF7=1</formula>
    </cfRule>
  </conditionalFormatting>
  <conditionalFormatting sqref="Z8">
    <cfRule type="expression" dxfId="62" priority="44" stopIfTrue="1">
      <formula>AF8=1</formula>
    </cfRule>
  </conditionalFormatting>
  <conditionalFormatting sqref="Z9">
    <cfRule type="expression" dxfId="61" priority="43" stopIfTrue="1">
      <formula>AF9=1</formula>
    </cfRule>
  </conditionalFormatting>
  <conditionalFormatting sqref="Z10">
    <cfRule type="expression" dxfId="60" priority="42" stopIfTrue="1">
      <formula>AF10=1</formula>
    </cfRule>
  </conditionalFormatting>
  <conditionalFormatting sqref="M13">
    <cfRule type="expression" dxfId="59" priority="41" stopIfTrue="1">
      <formula>AE13=1</formula>
    </cfRule>
  </conditionalFormatting>
  <conditionalFormatting sqref="M14">
    <cfRule type="expression" dxfId="58" priority="40" stopIfTrue="1">
      <formula>AE14=1</formula>
    </cfRule>
  </conditionalFormatting>
  <conditionalFormatting sqref="M15">
    <cfRule type="expression" dxfId="57" priority="39" stopIfTrue="1">
      <formula>AE15=1</formula>
    </cfRule>
  </conditionalFormatting>
  <conditionalFormatting sqref="M16">
    <cfRule type="expression" dxfId="56" priority="38" stopIfTrue="1">
      <formula>AE16=1</formula>
    </cfRule>
  </conditionalFormatting>
  <conditionalFormatting sqref="Z13">
    <cfRule type="expression" dxfId="55" priority="37" stopIfTrue="1">
      <formula>AF13=1</formula>
    </cfRule>
  </conditionalFormatting>
  <conditionalFormatting sqref="Z14">
    <cfRule type="expression" dxfId="54" priority="36" stopIfTrue="1">
      <formula>AF14=1</formula>
    </cfRule>
  </conditionalFormatting>
  <conditionalFormatting sqref="Z15">
    <cfRule type="expression" dxfId="53" priority="35" stopIfTrue="1">
      <formula>AF15=1</formula>
    </cfRule>
  </conditionalFormatting>
  <conditionalFormatting sqref="Z16">
    <cfRule type="expression" dxfId="52" priority="34" stopIfTrue="1">
      <formula>AF16=1</formula>
    </cfRule>
  </conditionalFormatting>
  <conditionalFormatting sqref="M19">
    <cfRule type="expression" dxfId="51" priority="33" stopIfTrue="1">
      <formula>AE19=1</formula>
    </cfRule>
  </conditionalFormatting>
  <conditionalFormatting sqref="M20">
    <cfRule type="expression" dxfId="50" priority="32" stopIfTrue="1">
      <formula>AE20=1</formula>
    </cfRule>
  </conditionalFormatting>
  <conditionalFormatting sqref="M21">
    <cfRule type="expression" dxfId="49" priority="31" stopIfTrue="1">
      <formula>AE21=1</formula>
    </cfRule>
  </conditionalFormatting>
  <conditionalFormatting sqref="M22">
    <cfRule type="expression" dxfId="48" priority="30" stopIfTrue="1">
      <formula>AE22=1</formula>
    </cfRule>
  </conditionalFormatting>
  <conditionalFormatting sqref="M25">
    <cfRule type="expression" dxfId="47" priority="29" stopIfTrue="1">
      <formula>AE25=1</formula>
    </cfRule>
  </conditionalFormatting>
  <conditionalFormatting sqref="M26">
    <cfRule type="expression" dxfId="46" priority="28" stopIfTrue="1">
      <formula>AE26=1</formula>
    </cfRule>
  </conditionalFormatting>
  <conditionalFormatting sqref="M27">
    <cfRule type="expression" dxfId="45" priority="27" stopIfTrue="1">
      <formula>AE27=1</formula>
    </cfRule>
  </conditionalFormatting>
  <conditionalFormatting sqref="M28">
    <cfRule type="expression" dxfId="44" priority="26" stopIfTrue="1">
      <formula>AE28=1</formula>
    </cfRule>
  </conditionalFormatting>
  <conditionalFormatting sqref="Z19">
    <cfRule type="expression" dxfId="43" priority="25" stopIfTrue="1">
      <formula>AF19=1</formula>
    </cfRule>
  </conditionalFormatting>
  <conditionalFormatting sqref="Z20">
    <cfRule type="expression" dxfId="42" priority="24" stopIfTrue="1">
      <formula>AF20=1</formula>
    </cfRule>
  </conditionalFormatting>
  <conditionalFormatting sqref="Z21">
    <cfRule type="expression" dxfId="41" priority="23" stopIfTrue="1">
      <formula>AF21=1</formula>
    </cfRule>
  </conditionalFormatting>
  <conditionalFormatting sqref="Z22">
    <cfRule type="expression" dxfId="40" priority="22" stopIfTrue="1">
      <formula>AF22=1</formula>
    </cfRule>
  </conditionalFormatting>
  <conditionalFormatting sqref="Z25">
    <cfRule type="expression" dxfId="39" priority="21" stopIfTrue="1">
      <formula>AF25=1</formula>
    </cfRule>
  </conditionalFormatting>
  <conditionalFormatting sqref="Z26">
    <cfRule type="expression" dxfId="38" priority="20" stopIfTrue="1">
      <formula>AF26=1</formula>
    </cfRule>
  </conditionalFormatting>
  <conditionalFormatting sqref="Z27">
    <cfRule type="expression" dxfId="37" priority="19" stopIfTrue="1">
      <formula>AF27=1</formula>
    </cfRule>
  </conditionalFormatting>
  <conditionalFormatting sqref="Z28">
    <cfRule type="expression" dxfId="36" priority="18" stopIfTrue="1">
      <formula>AF28=1</formula>
    </cfRule>
  </conditionalFormatting>
  <conditionalFormatting sqref="B8:K8">
    <cfRule type="expression" dxfId="35" priority="198">
      <formula>$AC$8&gt;0</formula>
    </cfRule>
  </conditionalFormatting>
  <conditionalFormatting sqref="B10:K10">
    <cfRule type="expression" dxfId="34" priority="17">
      <formula>$AC$10&lt;0</formula>
    </cfRule>
  </conditionalFormatting>
  <conditionalFormatting sqref="O8:X8">
    <cfRule type="expression" dxfId="33" priority="16">
      <formula>$AD$8&gt;0</formula>
    </cfRule>
  </conditionalFormatting>
  <conditionalFormatting sqref="O10:X10">
    <cfRule type="expression" dxfId="32" priority="15">
      <formula>$AD$10&lt;0</formula>
    </cfRule>
  </conditionalFormatting>
  <conditionalFormatting sqref="B14:K14">
    <cfRule type="expression" dxfId="31" priority="14">
      <formula>$AC$14&gt;0</formula>
    </cfRule>
  </conditionalFormatting>
  <conditionalFormatting sqref="B16:K16">
    <cfRule type="expression" dxfId="30" priority="13">
      <formula>$AC$16&lt;0</formula>
    </cfRule>
  </conditionalFormatting>
  <conditionalFormatting sqref="O14:X14">
    <cfRule type="expression" dxfId="29" priority="12">
      <formula>$AD$14&gt;0</formula>
    </cfRule>
  </conditionalFormatting>
  <conditionalFormatting sqref="O16:X16">
    <cfRule type="expression" dxfId="28" priority="11">
      <formula>$AD$16&lt;0</formula>
    </cfRule>
  </conditionalFormatting>
  <conditionalFormatting sqref="B20:K20">
    <cfRule type="expression" dxfId="27" priority="10">
      <formula>$AC$20&gt;0</formula>
    </cfRule>
  </conditionalFormatting>
  <conditionalFormatting sqref="B22:K22">
    <cfRule type="expression" dxfId="26" priority="9">
      <formula>$AC$22&lt;0</formula>
    </cfRule>
  </conditionalFormatting>
  <conditionalFormatting sqref="O20:X20">
    <cfRule type="expression" dxfId="25" priority="8">
      <formula>$AD$20&gt;0</formula>
    </cfRule>
  </conditionalFormatting>
  <conditionalFormatting sqref="O22:X22">
    <cfRule type="expression" dxfId="24" priority="7">
      <formula>$AD$22&lt;0</formula>
    </cfRule>
  </conditionalFormatting>
  <conditionalFormatting sqref="B26:K26">
    <cfRule type="expression" dxfId="23" priority="6">
      <formula>$AC$26&gt;0</formula>
    </cfRule>
  </conditionalFormatting>
  <conditionalFormatting sqref="B28:K28">
    <cfRule type="expression" dxfId="22" priority="5">
      <formula>$AC$28&lt;0</formula>
    </cfRule>
  </conditionalFormatting>
  <conditionalFormatting sqref="O26:X26">
    <cfRule type="expression" dxfId="21" priority="4">
      <formula>$AD$26&gt;0</formula>
    </cfRule>
  </conditionalFormatting>
  <conditionalFormatting sqref="O28:X28">
    <cfRule type="expression" dxfId="20" priority="3">
      <formula>$AD$28&lt;0</formula>
    </cfRule>
  </conditionalFormatting>
  <conditionalFormatting sqref="A5:AA5">
    <cfRule type="expression" dxfId="19" priority="1">
      <formula>$AF$4=1</formula>
    </cfRule>
  </conditionalFormatting>
  <hyperlinks>
    <hyperlink ref="M4" location="JOGOS!K4" display="JOGOS"/>
  </hyperlinks>
  <pageMargins left="0.51181102362204722" right="0.51181102362204722" top="0.78740157480314965" bottom="0.78740157480314965" header="0.31496062992125984" footer="0.31496062992125984"/>
  <pageSetup paperSize="9" scale="74"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24"/>
  <sheetViews>
    <sheetView showGridLines="0" showRowColHeaders="0" zoomScaleNormal="100" workbookViewId="0">
      <pane ySplit="6" topLeftCell="A7" activePane="bottomLeft" state="frozen"/>
      <selection pane="bottomLeft" activeCell="F4" sqref="F4"/>
    </sheetView>
  </sheetViews>
  <sheetFormatPr defaultColWidth="9.140625" defaultRowHeight="15" x14ac:dyDescent="0.25"/>
  <cols>
    <col min="1" max="2" width="3.42578125" style="89" customWidth="1"/>
    <col min="3" max="3" width="15.42578125" style="89" bestFit="1" customWidth="1"/>
    <col min="4" max="4" width="3" style="88" bestFit="1" customWidth="1"/>
    <col min="5" max="5" width="3.42578125" style="89" customWidth="1"/>
    <col min="6" max="6" width="15.42578125" style="89" bestFit="1" customWidth="1"/>
    <col min="7" max="7" width="3" style="88" customWidth="1"/>
    <col min="8" max="8" width="3.42578125" style="89" customWidth="1"/>
    <col min="9" max="9" width="15.42578125" style="89" bestFit="1" customWidth="1"/>
    <col min="10" max="10" width="3" style="88" customWidth="1"/>
    <col min="11" max="11" width="3.42578125" style="89" customWidth="1"/>
    <col min="12" max="12" width="15.42578125" style="89" bestFit="1" customWidth="1"/>
    <col min="13" max="13" width="3" style="88" customWidth="1"/>
    <col min="14" max="14" width="3.42578125" style="89" customWidth="1"/>
    <col min="15" max="15" width="29.42578125" style="89" bestFit="1" customWidth="1"/>
    <col min="16" max="16" width="3.42578125" style="89" customWidth="1"/>
    <col min="17" max="17" width="15.140625" style="87" hidden="1" customWidth="1"/>
    <col min="18" max="18" width="0" style="89" hidden="1" customWidth="1"/>
    <col min="19" max="16384" width="9.140625" style="89"/>
  </cols>
  <sheetData>
    <row r="1" spans="1:28" ht="27.75" thickTop="1" thickBot="1" x14ac:dyDescent="0.45">
      <c r="A1" s="184" t="s">
        <v>156</v>
      </c>
      <c r="B1" s="185"/>
      <c r="C1" s="185"/>
      <c r="D1" s="185"/>
      <c r="E1" s="185"/>
      <c r="F1" s="185"/>
      <c r="G1" s="185"/>
      <c r="H1" s="185"/>
      <c r="I1" s="185"/>
      <c r="J1" s="185"/>
      <c r="K1" s="185"/>
      <c r="L1" s="185"/>
      <c r="M1" s="185"/>
      <c r="N1" s="185"/>
      <c r="O1" s="185"/>
      <c r="P1" s="186"/>
      <c r="R1" s="88"/>
      <c r="S1" s="88"/>
      <c r="T1" s="88"/>
      <c r="U1" s="88"/>
      <c r="V1" s="88"/>
      <c r="W1" s="88"/>
      <c r="X1" s="88"/>
      <c r="Y1" s="88"/>
      <c r="Z1" s="88"/>
      <c r="AA1" s="88"/>
      <c r="AB1" s="88"/>
    </row>
    <row r="2" spans="1:28" ht="21.75" thickTop="1" thickBot="1" x14ac:dyDescent="0.35">
      <c r="A2" s="173" t="s">
        <v>191</v>
      </c>
      <c r="B2" s="174"/>
      <c r="C2" s="174"/>
      <c r="D2" s="174"/>
      <c r="E2" s="174"/>
      <c r="F2" s="174"/>
      <c r="G2" s="174"/>
      <c r="H2" s="174"/>
      <c r="I2" s="174"/>
      <c r="J2" s="174"/>
      <c r="K2" s="174"/>
      <c r="L2" s="174"/>
      <c r="M2" s="174"/>
      <c r="N2" s="174"/>
      <c r="O2" s="174"/>
      <c r="P2" s="175"/>
      <c r="R2" s="88"/>
      <c r="S2" s="88"/>
      <c r="T2" s="88"/>
      <c r="U2" s="88"/>
      <c r="V2" s="88"/>
      <c r="W2" s="88"/>
      <c r="X2" s="88"/>
      <c r="Y2" s="88"/>
      <c r="Z2" s="88"/>
      <c r="AA2" s="88"/>
    </row>
    <row r="3" spans="1:28" s="88" customFormat="1" ht="14.25" thickTop="1" thickBot="1" x14ac:dyDescent="0.25">
      <c r="Q3" s="87" t="str">
        <f>JOGOS!Q8</f>
        <v>BRASIL</v>
      </c>
    </row>
    <row r="4" spans="1:28" s="88" customFormat="1" ht="16.5" thickTop="1" thickBot="1" x14ac:dyDescent="0.3">
      <c r="F4" s="8" t="s">
        <v>1</v>
      </c>
      <c r="I4" s="89"/>
      <c r="L4" s="8" t="s">
        <v>104</v>
      </c>
      <c r="Q4" s="87"/>
    </row>
    <row r="5" spans="1:28" s="88" customFormat="1" ht="14.25" thickTop="1" thickBot="1" x14ac:dyDescent="0.25">
      <c r="Q5" s="87"/>
    </row>
    <row r="6" spans="1:28" s="91" customFormat="1" ht="16.5" customHeight="1" thickTop="1" thickBot="1" x14ac:dyDescent="0.3">
      <c r="A6" s="187" t="s">
        <v>92</v>
      </c>
      <c r="B6" s="188"/>
      <c r="C6" s="188"/>
      <c r="D6" s="189"/>
      <c r="E6" s="187" t="s">
        <v>93</v>
      </c>
      <c r="F6" s="188"/>
      <c r="G6" s="189"/>
      <c r="H6" s="187" t="s">
        <v>94</v>
      </c>
      <c r="I6" s="188"/>
      <c r="J6" s="189"/>
      <c r="K6" s="187" t="s">
        <v>95</v>
      </c>
      <c r="L6" s="188"/>
      <c r="M6" s="189"/>
      <c r="N6" s="187" t="s">
        <v>56</v>
      </c>
      <c r="O6" s="188"/>
      <c r="P6" s="189"/>
      <c r="Q6" s="90"/>
    </row>
    <row r="7" spans="1:28" s="91" customFormat="1" ht="14.25" thickTop="1" thickBot="1" x14ac:dyDescent="0.3">
      <c r="Q7" s="90"/>
    </row>
    <row r="8" spans="1:28" s="91" customFormat="1" ht="13.5" customHeight="1" thickTop="1" thickBot="1" x14ac:dyDescent="0.3">
      <c r="B8" s="198">
        <v>49</v>
      </c>
      <c r="C8" s="92" t="str">
        <f>VLOOKUP($B8,JOGOS!$B$61:$K$84,6,FALSE)</f>
        <v>1º Grupo A</v>
      </c>
      <c r="D8" s="93" t="str">
        <f>IF(VLOOKUP($B8,JOGOS!$B$61:$K$84,7,FALSE)="","",(VLOOKUP($B8,JOGOS!$B$61:$K$84,7,FALSE)))</f>
        <v/>
      </c>
      <c r="H8" s="94"/>
      <c r="I8" s="94"/>
      <c r="Q8" s="90"/>
    </row>
    <row r="9" spans="1:28" s="91" customFormat="1" ht="15.75" customHeight="1" thickTop="1" thickBot="1" x14ac:dyDescent="0.3">
      <c r="B9" s="190"/>
      <c r="C9" s="95" t="str">
        <f>VLOOKUP($B8,JOGOS!$B$61:$K$84,10,FALSE)</f>
        <v>2º Grupo B</v>
      </c>
      <c r="D9" s="96" t="str">
        <f>IF(VLOOKUP($B8,JOGOS!$B$61:$K$84,9,FALSE)="","",(VLOOKUP($B8,JOGOS!$B$61:$K$84,9,FALSE)))</f>
        <v/>
      </c>
      <c r="E9" s="196">
        <v>57</v>
      </c>
      <c r="F9" s="92" t="str">
        <f>VLOOKUP($E9,JOGOS!$B$61:$K$84,6,FALSE)</f>
        <v>Venc. Jogo 49</v>
      </c>
      <c r="G9" s="93" t="str">
        <f>IF(VLOOKUP($E9,JOGOS!$B$61:$K$84,7,FALSE)="","",(VLOOKUP($E9,JOGOS!$B$61:$K$84,7,FALSE)))</f>
        <v/>
      </c>
      <c r="H9" s="94"/>
      <c r="I9" s="94"/>
      <c r="Q9" s="90"/>
    </row>
    <row r="10" spans="1:28" s="91" customFormat="1" ht="15.75" customHeight="1" thickTop="1" thickBot="1" x14ac:dyDescent="0.3">
      <c r="B10" s="198">
        <v>50</v>
      </c>
      <c r="C10" s="92" t="str">
        <f>VLOOKUP($B10,JOGOS!$B$61:$K$84,6,FALSE)</f>
        <v>1º Grupo C</v>
      </c>
      <c r="D10" s="93" t="str">
        <f>IF(VLOOKUP($B10,JOGOS!$B$61:$K$84,7,FALSE)="","",(VLOOKUP($B10,JOGOS!$B$61:$K$84,7,FALSE)))</f>
        <v/>
      </c>
      <c r="E10" s="197"/>
      <c r="F10" s="95" t="str">
        <f>VLOOKUP($E9,JOGOS!$B$61:$K$84,10,FALSE)</f>
        <v>Venc. Jogo 50</v>
      </c>
      <c r="G10" s="96" t="str">
        <f>IF(VLOOKUP($E9,JOGOS!$B$61:$K$84,9,FALSE)="","",(VLOOKUP($E9,JOGOS!$B$61:$K$84,9,FALSE)))</f>
        <v/>
      </c>
      <c r="H10" s="97"/>
      <c r="I10" s="94"/>
      <c r="Q10" s="90"/>
    </row>
    <row r="11" spans="1:28" s="91" customFormat="1" ht="15.75" customHeight="1" thickTop="1" thickBot="1" x14ac:dyDescent="0.3">
      <c r="B11" s="190"/>
      <c r="C11" s="95" t="str">
        <f>VLOOKUP($B10,JOGOS!$B$61:$K$84,10,FALSE)</f>
        <v>2º Grupo D</v>
      </c>
      <c r="D11" s="96" t="str">
        <f>IF(VLOOKUP($B10,JOGOS!$B$61:$K$84,9,FALSE)="","",(VLOOKUP($B10,JOGOS!$B$61:$K$84,9,FALSE)))</f>
        <v/>
      </c>
      <c r="G11" s="98"/>
      <c r="H11" s="191">
        <v>61</v>
      </c>
      <c r="I11" s="92" t="str">
        <f>VLOOKUP($H11,JOGOS!$B$61:$K$84,6,FALSE)</f>
        <v>Venc. Jogo 57</v>
      </c>
      <c r="J11" s="93" t="str">
        <f>IF(VLOOKUP($H11,JOGOS!$B$61:$K$84,7,FALSE)="","",(VLOOKUP($H11,JOGOS!$B$61:$K$84,7,FALSE)))</f>
        <v/>
      </c>
      <c r="Q11" s="90"/>
    </row>
    <row r="12" spans="1:28" s="91" customFormat="1" ht="15.75" customHeight="1" thickTop="1" thickBot="1" x14ac:dyDescent="0.3">
      <c r="B12" s="198">
        <v>53</v>
      </c>
      <c r="C12" s="92" t="str">
        <f>VLOOKUP($B12,JOGOS!$B$61:$K$84,6,FALSE)</f>
        <v>1º Grupo E</v>
      </c>
      <c r="D12" s="93" t="str">
        <f>IF(VLOOKUP($B12,JOGOS!$B$61:$K$84,7,FALSE)="","",(VLOOKUP($B12,JOGOS!$B$61:$K$84,7,FALSE)))</f>
        <v/>
      </c>
      <c r="G12" s="98"/>
      <c r="H12" s="192"/>
      <c r="I12" s="95" t="str">
        <f>VLOOKUP($H11,JOGOS!$B$61:$K$84,10,FALSE)</f>
        <v>Venc. Jogo 58</v>
      </c>
      <c r="J12" s="96" t="str">
        <f>IF(VLOOKUP($H11,JOGOS!$B$61:$K$84,9,FALSE)="","",(VLOOKUP($H11,JOGOS!$B$61:$K$84,9,FALSE)))</f>
        <v/>
      </c>
      <c r="K12" s="99"/>
      <c r="Q12" s="90"/>
    </row>
    <row r="13" spans="1:28" s="91" customFormat="1" ht="15.75" customHeight="1" thickTop="1" thickBot="1" x14ac:dyDescent="0.3">
      <c r="B13" s="190"/>
      <c r="C13" s="95" t="str">
        <f>VLOOKUP($B12,JOGOS!$B$61:$K$84,10,FALSE)</f>
        <v>2º Grupo F</v>
      </c>
      <c r="D13" s="96" t="str">
        <f>IF(VLOOKUP($B12,JOGOS!$B$61:$K$84,9,FALSE)="","",(VLOOKUP($B12,JOGOS!$B$61:$K$84,9,FALSE)))</f>
        <v/>
      </c>
      <c r="E13" s="196">
        <v>58</v>
      </c>
      <c r="F13" s="92" t="str">
        <f>VLOOKUP($E13,JOGOS!$B$61:$K$84,6,FALSE)</f>
        <v>Venc. Jogo 53</v>
      </c>
      <c r="G13" s="93" t="str">
        <f>IF(VLOOKUP($E13,JOGOS!$B$61:$K$84,7,FALSE)="","",(VLOOKUP($E13,JOGOS!$B$61:$K$84,7,FALSE)))</f>
        <v/>
      </c>
      <c r="H13" s="100"/>
      <c r="I13" s="101"/>
      <c r="J13" s="102"/>
      <c r="K13" s="103"/>
      <c r="Q13" s="90"/>
    </row>
    <row r="14" spans="1:28" s="91" customFormat="1" ht="15.75" customHeight="1" thickTop="1" thickBot="1" x14ac:dyDescent="0.3">
      <c r="B14" s="198">
        <v>54</v>
      </c>
      <c r="C14" s="92" t="str">
        <f>VLOOKUP($B14,JOGOS!$B$61:$K$84,6,FALSE)</f>
        <v>1º Grupo G</v>
      </c>
      <c r="D14" s="93" t="str">
        <f>IF(VLOOKUP($B14,JOGOS!$B$61:$K$84,7,FALSE)="","",(VLOOKUP($B14,JOGOS!$B$61:$K$84,7,FALSE)))</f>
        <v/>
      </c>
      <c r="E14" s="197"/>
      <c r="F14" s="95" t="str">
        <f>VLOOKUP($E13,JOGOS!$B$61:$K$84,10,FALSE)</f>
        <v>Venc. Jogo 54</v>
      </c>
      <c r="G14" s="96" t="str">
        <f>IF(VLOOKUP($E13,JOGOS!$B$61:$K$84,9,FALSE)="","",(VLOOKUP($E13,JOGOS!$B$61:$K$84,9,FALSE)))</f>
        <v/>
      </c>
      <c r="H14" s="94"/>
      <c r="I14" s="101"/>
      <c r="J14" s="102"/>
      <c r="K14" s="103"/>
      <c r="L14" s="199" t="s">
        <v>55</v>
      </c>
      <c r="M14" s="200"/>
      <c r="Q14" s="90"/>
    </row>
    <row r="15" spans="1:28" s="91" customFormat="1" ht="15.75" customHeight="1" thickTop="1" thickBot="1" x14ac:dyDescent="0.3">
      <c r="B15" s="190"/>
      <c r="C15" s="95" t="str">
        <f>VLOOKUP($B14,JOGOS!$B$61:$K$84,10,FALSE)</f>
        <v>2º Grupo H</v>
      </c>
      <c r="D15" s="96" t="str">
        <f>IF(VLOOKUP($B14,JOGOS!$B$61:$K$84,9,FALSE)="","",(VLOOKUP($B14,JOGOS!$B$61:$K$84,9,FALSE)))</f>
        <v/>
      </c>
      <c r="G15" s="98"/>
      <c r="H15" s="94"/>
      <c r="I15" s="101"/>
      <c r="J15" s="102"/>
      <c r="K15" s="190">
        <v>64</v>
      </c>
      <c r="L15" s="92" t="str">
        <f>VLOOKUP($K15,JOGOS!$B$61:$K$84,6,FALSE)</f>
        <v>Venc. Jogo 61</v>
      </c>
      <c r="M15" s="93" t="str">
        <f>IF(VLOOKUP($K15,JOGOS!$B$61:$K$84,7,FALSE)="","",(VLOOKUP($K15,JOGOS!$B$61:$K$84,7,FALSE)))</f>
        <v/>
      </c>
      <c r="N15" s="104"/>
      <c r="O15" s="193" t="str">
        <f>'Sorteio&amp;Cálculos'!AE80</f>
        <v>Venc. Jogo 64</v>
      </c>
      <c r="P15" s="94"/>
      <c r="Q15" s="90"/>
    </row>
    <row r="16" spans="1:28" s="91" customFormat="1" ht="15.75" customHeight="1" thickTop="1" thickBot="1" x14ac:dyDescent="0.3">
      <c r="B16" s="198">
        <v>51</v>
      </c>
      <c r="C16" s="92" t="str">
        <f>VLOOKUP($B16,JOGOS!$B$61:$K$84,6,FALSE)</f>
        <v>1º Grupo B</v>
      </c>
      <c r="D16" s="93" t="str">
        <f>IF(VLOOKUP($B16,JOGOS!$B$61:$K$84,7,FALSE)="","",(VLOOKUP($B16,JOGOS!$B$61:$K$84,7,FALSE)))</f>
        <v/>
      </c>
      <c r="G16" s="98"/>
      <c r="H16" s="94"/>
      <c r="I16" s="101"/>
      <c r="J16" s="102"/>
      <c r="K16" s="190"/>
      <c r="L16" s="95" t="str">
        <f>VLOOKUP($K15,JOGOS!$B$61:$K$84,10,FALSE)</f>
        <v>Venc. Jogo 62</v>
      </c>
      <c r="M16" s="96" t="str">
        <f>IF(VLOOKUP($K15,JOGOS!$B$61:$K$84,9,FALSE)="","",(VLOOKUP($K15,JOGOS!$B$61:$K$84,9,FALSE)))</f>
        <v/>
      </c>
      <c r="O16" s="194"/>
      <c r="P16" s="94"/>
      <c r="Q16" s="90"/>
    </row>
    <row r="17" spans="2:17" s="91" customFormat="1" ht="15.75" customHeight="1" thickTop="1" thickBot="1" x14ac:dyDescent="0.3">
      <c r="B17" s="190"/>
      <c r="C17" s="95" t="str">
        <f>VLOOKUP($B16,JOGOS!$B$61:$K$84,10,FALSE)</f>
        <v>2º Grupo A</v>
      </c>
      <c r="D17" s="96" t="str">
        <f>IF(VLOOKUP($B16,JOGOS!$B$61:$K$84,9,FALSE)="","",(VLOOKUP($B16,JOGOS!$B$61:$K$84,9,FALSE)))</f>
        <v/>
      </c>
      <c r="E17" s="196">
        <v>59</v>
      </c>
      <c r="F17" s="92" t="str">
        <f>VLOOKUP($E17,JOGOS!$B$61:$K$84,6,FALSE)</f>
        <v>Venc. Jogo 51</v>
      </c>
      <c r="G17" s="93" t="str">
        <f>IF(VLOOKUP($E17,JOGOS!$B$61:$K$84,7,FALSE)="","",(VLOOKUP($E17,JOGOS!$B$61:$K$84,7,FALSE)))</f>
        <v/>
      </c>
      <c r="H17" s="94"/>
      <c r="I17" s="101"/>
      <c r="J17" s="102"/>
      <c r="K17" s="103"/>
      <c r="P17" s="94"/>
      <c r="Q17" s="90"/>
    </row>
    <row r="18" spans="2:17" s="91" customFormat="1" ht="15.75" customHeight="1" thickTop="1" thickBot="1" x14ac:dyDescent="0.3">
      <c r="B18" s="198">
        <v>52</v>
      </c>
      <c r="C18" s="92" t="str">
        <f>VLOOKUP($B18,JOGOS!$B$61:$K$84,6,FALSE)</f>
        <v>1º Grupo D</v>
      </c>
      <c r="D18" s="93" t="str">
        <f>IF(VLOOKUP($B18,JOGOS!$B$61:$K$84,7,FALSE)="","",(VLOOKUP($B18,JOGOS!$B$61:$K$84,7,FALSE)))</f>
        <v/>
      </c>
      <c r="E18" s="197"/>
      <c r="F18" s="95" t="str">
        <f>VLOOKUP($E17,JOGOS!$B$61:$K$84,10,FALSE)</f>
        <v>Venc. Jogo 52</v>
      </c>
      <c r="G18" s="96" t="str">
        <f>IF(VLOOKUP($E17,JOGOS!$B$61:$K$84,9,FALSE)="","",(VLOOKUP($E17,JOGOS!$B$61:$K$84,9,FALSE)))</f>
        <v/>
      </c>
      <c r="H18" s="97"/>
      <c r="I18" s="105"/>
      <c r="J18" s="102"/>
      <c r="K18" s="103"/>
      <c r="N18" s="106" t="s">
        <v>63</v>
      </c>
      <c r="O18" s="107" t="str">
        <f>'Sorteio&amp;Cálculos'!AF80</f>
        <v>Perd. Jogo 64</v>
      </c>
      <c r="P18" s="94"/>
      <c r="Q18" s="90">
        <f>'Sorteio&amp;Cálculos'!Z80</f>
        <v>0</v>
      </c>
    </row>
    <row r="19" spans="2:17" s="91" customFormat="1" ht="15.75" customHeight="1" thickTop="1" thickBot="1" x14ac:dyDescent="0.3">
      <c r="B19" s="190"/>
      <c r="C19" s="95" t="str">
        <f>VLOOKUP($B18,JOGOS!$B$61:$K$84,10,FALSE)</f>
        <v>2º Grupo C</v>
      </c>
      <c r="D19" s="96" t="str">
        <f>IF(VLOOKUP($B18,JOGOS!$B$61:$K$84,9,FALSE)="","",(VLOOKUP($B18,JOGOS!$B$61:$K$84,9,FALSE)))</f>
        <v/>
      </c>
      <c r="G19" s="98"/>
      <c r="H19" s="191">
        <v>62</v>
      </c>
      <c r="I19" s="92" t="str">
        <f>VLOOKUP($H19,JOGOS!$B$61:$K$84,6,FALSE)</f>
        <v>Venc. Jogo 59</v>
      </c>
      <c r="J19" s="93" t="str">
        <f>IF(VLOOKUP($H19,JOGOS!$B$61:$K$84,7,FALSE)="","",(VLOOKUP($H19,JOGOS!$B$61:$K$84,7,FALSE)))</f>
        <v/>
      </c>
      <c r="K19" s="108"/>
      <c r="N19" s="106" t="s">
        <v>64</v>
      </c>
      <c r="O19" s="107" t="str">
        <f>'Sorteio&amp;Cálculos'!AE77</f>
        <v>Venc. Jogo 63</v>
      </c>
      <c r="P19" s="94"/>
      <c r="Q19" s="90"/>
    </row>
    <row r="20" spans="2:17" s="91" customFormat="1" ht="15.75" customHeight="1" thickTop="1" thickBot="1" x14ac:dyDescent="0.3">
      <c r="B20" s="198">
        <v>55</v>
      </c>
      <c r="C20" s="92" t="str">
        <f>VLOOKUP($B20,JOGOS!$B$61:$K$84,6,FALSE)</f>
        <v>1º Grupo F</v>
      </c>
      <c r="D20" s="93" t="str">
        <f>IF(VLOOKUP($B20,JOGOS!$B$61:$K$84,7,FALSE)="","",(VLOOKUP($B20,JOGOS!$B$61:$K$84,7,FALSE)))</f>
        <v/>
      </c>
      <c r="G20" s="98"/>
      <c r="H20" s="192"/>
      <c r="I20" s="95" t="str">
        <f>VLOOKUP($H19,JOGOS!$B$61:$K$84,10,FALSE)</f>
        <v>Venc. Jogo 60</v>
      </c>
      <c r="J20" s="96" t="str">
        <f>IF(VLOOKUP($H19,JOGOS!$B$61:$K$84,9,FALSE)="","",(VLOOKUP($H19,JOGOS!$B$61:$K$84,9,FALSE)))</f>
        <v/>
      </c>
      <c r="L20" s="195" t="s">
        <v>61</v>
      </c>
      <c r="M20" s="195"/>
      <c r="P20" s="94"/>
      <c r="Q20" s="90"/>
    </row>
    <row r="21" spans="2:17" s="91" customFormat="1" ht="15.75" customHeight="1" thickTop="1" thickBot="1" x14ac:dyDescent="0.3">
      <c r="B21" s="190"/>
      <c r="C21" s="95" t="str">
        <f>VLOOKUP($B20,JOGOS!$B$61:$K$84,10,FALSE)</f>
        <v>2º Grupo E</v>
      </c>
      <c r="D21" s="96" t="str">
        <f>IF(VLOOKUP($B20,JOGOS!$B$61:$K$84,9,FALSE)="","",(VLOOKUP($B20,JOGOS!$B$61:$K$84,9,FALSE)))</f>
        <v/>
      </c>
      <c r="E21" s="196">
        <v>60</v>
      </c>
      <c r="F21" s="92" t="str">
        <f>VLOOKUP($E21,JOGOS!$B$61:$K$84,6,FALSE)</f>
        <v>Venc. Jogo 55</v>
      </c>
      <c r="G21" s="93" t="str">
        <f>IF(VLOOKUP($E21,JOGOS!$B$61:$K$84,7,FALSE)="","",(VLOOKUP($E21,JOGOS!$B$61:$K$84,7,FALSE)))</f>
        <v/>
      </c>
      <c r="H21" s="100"/>
      <c r="I21" s="101"/>
      <c r="J21" s="105"/>
      <c r="K21" s="190">
        <v>63</v>
      </c>
      <c r="L21" s="92" t="str">
        <f>VLOOKUP($K21,JOGOS!$B$61:$K$84,6,FALSE)</f>
        <v>Perd. Jogo 61</v>
      </c>
      <c r="M21" s="93" t="str">
        <f>IF(VLOOKUP($K21,JOGOS!$B$61:$K$84,7,FALSE)="","",(VLOOKUP($K21,JOGOS!$B$61:$K$84,7,FALSE)))</f>
        <v/>
      </c>
      <c r="N21" s="94"/>
      <c r="O21" s="94"/>
      <c r="P21" s="94"/>
      <c r="Q21" s="90">
        <f>'Sorteio&amp;Cálculos'!Z77</f>
        <v>0</v>
      </c>
    </row>
    <row r="22" spans="2:17" s="91" customFormat="1" ht="15.75" customHeight="1" thickTop="1" thickBot="1" x14ac:dyDescent="0.3">
      <c r="B22" s="198">
        <v>56</v>
      </c>
      <c r="C22" s="92" t="str">
        <f>VLOOKUP($B22,JOGOS!$B$61:$K$84,6,FALSE)</f>
        <v>1º Grupo H</v>
      </c>
      <c r="D22" s="93" t="str">
        <f>IF(VLOOKUP($B22,JOGOS!$B$61:$K$84,7,FALSE)="","",(VLOOKUP($B22,JOGOS!$B$61:$K$84,7,FALSE)))</f>
        <v/>
      </c>
      <c r="E22" s="197"/>
      <c r="F22" s="95" t="str">
        <f>VLOOKUP($E21,JOGOS!$B$61:$K$84,10,FALSE)</f>
        <v>Venc. Jogo 56</v>
      </c>
      <c r="G22" s="96" t="str">
        <f>IF(VLOOKUP($E21,JOGOS!$B$61:$K$84,9,FALSE)="","",(VLOOKUP($E21,JOGOS!$B$61:$K$84,9,FALSE)))</f>
        <v/>
      </c>
      <c r="H22" s="94"/>
      <c r="I22" s="101"/>
      <c r="J22" s="105"/>
      <c r="K22" s="190"/>
      <c r="L22" s="95" t="str">
        <f>VLOOKUP($K21,JOGOS!$B$61:$K$84,10,FALSE)</f>
        <v>Perd. Jogo 62</v>
      </c>
      <c r="M22" s="96" t="str">
        <f>IF(VLOOKUP($K21,JOGOS!$B$61:$K$84,9,FALSE)="","",(VLOOKUP($K21,JOGOS!$B$61:$K$84,9,FALSE)))</f>
        <v/>
      </c>
      <c r="N22" s="94"/>
      <c r="O22" s="94"/>
      <c r="P22" s="94"/>
      <c r="Q22" s="90"/>
    </row>
    <row r="23" spans="2:17" s="91" customFormat="1" ht="15.75" customHeight="1" thickBot="1" x14ac:dyDescent="0.3">
      <c r="B23" s="190"/>
      <c r="C23" s="95" t="str">
        <f>VLOOKUP($B22,JOGOS!$B$61:$K$84,10,FALSE)</f>
        <v>2º Grupo G</v>
      </c>
      <c r="D23" s="96" t="str">
        <f>IF(VLOOKUP($B22,JOGOS!$B$61:$K$84,9,FALSE)="","",(VLOOKUP($B22,JOGOS!$B$61:$K$84,9,FALSE)))</f>
        <v/>
      </c>
      <c r="H23" s="94"/>
      <c r="I23" s="94"/>
      <c r="K23" s="94"/>
      <c r="L23" s="94"/>
      <c r="N23" s="94"/>
      <c r="O23" s="94"/>
      <c r="P23" s="94"/>
      <c r="Q23" s="90"/>
    </row>
    <row r="24" spans="2:17" s="88" customFormat="1" ht="15.75" customHeight="1" thickTop="1" x14ac:dyDescent="0.25">
      <c r="H24" s="89"/>
      <c r="I24" s="89"/>
      <c r="K24" s="89"/>
      <c r="L24" s="89"/>
      <c r="N24" s="89"/>
      <c r="O24" s="89"/>
      <c r="P24" s="89"/>
      <c r="Q24" s="87"/>
    </row>
  </sheetData>
  <sheetProtection password="CD12" sheet="1" objects="1" scenarios="1" selectLockedCells="1"/>
  <mergeCells count="26">
    <mergeCell ref="L14:M14"/>
    <mergeCell ref="B18:B19"/>
    <mergeCell ref="B20:B21"/>
    <mergeCell ref="B22:B23"/>
    <mergeCell ref="E6:G6"/>
    <mergeCell ref="B8:B9"/>
    <mergeCell ref="B10:B11"/>
    <mergeCell ref="B12:B13"/>
    <mergeCell ref="E9:E10"/>
    <mergeCell ref="E13:E14"/>
    <mergeCell ref="A1:P1"/>
    <mergeCell ref="A2:P2"/>
    <mergeCell ref="A6:D6"/>
    <mergeCell ref="K21:K22"/>
    <mergeCell ref="H11:H12"/>
    <mergeCell ref="H19:H20"/>
    <mergeCell ref="K15:K16"/>
    <mergeCell ref="N6:P6"/>
    <mergeCell ref="O15:O16"/>
    <mergeCell ref="L20:M20"/>
    <mergeCell ref="H6:J6"/>
    <mergeCell ref="K6:M6"/>
    <mergeCell ref="E17:E18"/>
    <mergeCell ref="E21:E22"/>
    <mergeCell ref="B14:B15"/>
    <mergeCell ref="B16:B17"/>
  </mergeCells>
  <conditionalFormatting sqref="O15:O16">
    <cfRule type="expression" dxfId="18" priority="11" stopIfTrue="1">
      <formula>$Q$18=1</formula>
    </cfRule>
  </conditionalFormatting>
  <conditionalFormatting sqref="O18">
    <cfRule type="expression" dxfId="17" priority="10" stopIfTrue="1">
      <formula>$Q$18=1</formula>
    </cfRule>
  </conditionalFormatting>
  <conditionalFormatting sqref="O19">
    <cfRule type="expression" dxfId="16" priority="9" stopIfTrue="1">
      <formula>$Q$21=1</formula>
    </cfRule>
  </conditionalFormatting>
  <conditionalFormatting sqref="C8:C23 F9:F22 I11:I20 L15:M22">
    <cfRule type="cellIs" dxfId="15" priority="13" stopIfTrue="1" operator="equal">
      <formula>$Q$3</formula>
    </cfRule>
  </conditionalFormatting>
  <hyperlinks>
    <hyperlink ref="F4" location="JOGOS!C4" display="JOGOS"/>
    <hyperlink ref="L4" location="ESTATÍSTICAS!C4" display="ESTATÍSTICAS!C4"/>
  </hyperlinks>
  <pageMargins left="0.51181102362204722" right="0.51181102362204722" top="0.78740157480314965" bottom="0.78740157480314965" header="0.31496062992125984" footer="0.31496062992125984"/>
  <pageSetup paperSize="9" scale="86" orientation="landscape" r:id="rId1"/>
  <ignoredErrors>
    <ignoredError sqref="D9:D21 C9:C21"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showRowColHeaders="0" zoomScaleNormal="100" workbookViewId="0">
      <pane ySplit="7" topLeftCell="A8" activePane="bottomLeft" state="frozen"/>
      <selection pane="bottomLeft" activeCell="C4" sqref="C4"/>
    </sheetView>
  </sheetViews>
  <sheetFormatPr defaultColWidth="9.140625" defaultRowHeight="15" x14ac:dyDescent="0.25"/>
  <cols>
    <col min="1" max="1" width="5.7109375" style="3" customWidth="1"/>
    <col min="2" max="2" width="4.140625" style="2" bestFit="1" customWidth="1"/>
    <col min="3" max="3" width="15.85546875" style="3" bestFit="1" customWidth="1"/>
    <col min="4" max="11" width="4.7109375" style="2" customWidth="1"/>
    <col min="12" max="12" width="9.42578125" style="2" bestFit="1" customWidth="1"/>
    <col min="13" max="13" width="5.7109375" style="3" customWidth="1"/>
    <col min="14" max="14" width="0" style="3" hidden="1" customWidth="1"/>
    <col min="15" max="16384" width="9.140625" style="3"/>
  </cols>
  <sheetData>
    <row r="1" spans="1:14" ht="27.75" thickTop="1" thickBot="1" x14ac:dyDescent="0.45">
      <c r="A1" s="184" t="s">
        <v>156</v>
      </c>
      <c r="B1" s="185"/>
      <c r="C1" s="185"/>
      <c r="D1" s="185"/>
      <c r="E1" s="185"/>
      <c r="F1" s="185"/>
      <c r="G1" s="185"/>
      <c r="H1" s="185"/>
      <c r="I1" s="185"/>
      <c r="J1" s="185"/>
      <c r="K1" s="185"/>
      <c r="L1" s="185"/>
      <c r="M1" s="186"/>
      <c r="N1" s="109"/>
    </row>
    <row r="2" spans="1:14" ht="21.75" thickTop="1" thickBot="1" x14ac:dyDescent="0.35">
      <c r="A2" s="173" t="s">
        <v>191</v>
      </c>
      <c r="B2" s="174"/>
      <c r="C2" s="174"/>
      <c r="D2" s="174"/>
      <c r="E2" s="174"/>
      <c r="F2" s="174"/>
      <c r="G2" s="174"/>
      <c r="H2" s="174"/>
      <c r="I2" s="174"/>
      <c r="J2" s="174"/>
      <c r="K2" s="174"/>
      <c r="L2" s="174"/>
      <c r="M2" s="175"/>
    </row>
    <row r="3" spans="1:14" ht="17.25" thickTop="1" thickBot="1" x14ac:dyDescent="0.3">
      <c r="N3" s="63"/>
    </row>
    <row r="4" spans="1:14" ht="17.25" thickTop="1" thickBot="1" x14ac:dyDescent="0.3">
      <c r="C4" s="8" t="s">
        <v>57</v>
      </c>
      <c r="N4" s="63"/>
    </row>
    <row r="5" spans="1:14" ht="16.5" thickTop="1" thickBot="1" x14ac:dyDescent="0.3">
      <c r="N5" s="58" t="str">
        <f>JOGOS!Q8</f>
        <v>BRASIL</v>
      </c>
    </row>
    <row r="6" spans="1:14" ht="20.25" thickTop="1" thickBot="1" x14ac:dyDescent="0.35">
      <c r="B6" s="201" t="s">
        <v>103</v>
      </c>
      <c r="C6" s="202"/>
      <c r="D6" s="202"/>
      <c r="E6" s="202"/>
      <c r="F6" s="202"/>
      <c r="G6" s="202"/>
      <c r="H6" s="202"/>
      <c r="I6" s="202"/>
      <c r="J6" s="202"/>
      <c r="K6" s="202"/>
      <c r="L6" s="203"/>
    </row>
    <row r="7" spans="1:14" ht="16.5" thickBot="1" x14ac:dyDescent="0.3">
      <c r="B7" s="110" t="s">
        <v>5</v>
      </c>
      <c r="C7" s="61" t="s">
        <v>102</v>
      </c>
      <c r="D7" s="61" t="s">
        <v>6</v>
      </c>
      <c r="E7" s="61" t="s">
        <v>7</v>
      </c>
      <c r="F7" s="61" t="s">
        <v>8</v>
      </c>
      <c r="G7" s="61" t="s">
        <v>9</v>
      </c>
      <c r="H7" s="61" t="s">
        <v>10</v>
      </c>
      <c r="I7" s="61" t="s">
        <v>11</v>
      </c>
      <c r="J7" s="61" t="s">
        <v>12</v>
      </c>
      <c r="K7" s="62" t="s">
        <v>13</v>
      </c>
      <c r="L7" s="111" t="s">
        <v>101</v>
      </c>
    </row>
    <row r="8" spans="1:14" x14ac:dyDescent="0.25">
      <c r="B8" s="112">
        <v>1</v>
      </c>
      <c r="C8" s="113" t="str">
        <f>'Sorteio&amp;Cálculos'!AL83</f>
        <v/>
      </c>
      <c r="D8" s="113" t="str">
        <f>'Sorteio&amp;Cálculos'!AM83</f>
        <v/>
      </c>
      <c r="E8" s="113" t="str">
        <f>'Sorteio&amp;Cálculos'!AN83</f>
        <v/>
      </c>
      <c r="F8" s="113" t="str">
        <f>'Sorteio&amp;Cálculos'!AO83</f>
        <v/>
      </c>
      <c r="G8" s="113" t="str">
        <f>'Sorteio&amp;Cálculos'!AP83</f>
        <v/>
      </c>
      <c r="H8" s="113" t="str">
        <f>'Sorteio&amp;Cálculos'!AQ83</f>
        <v/>
      </c>
      <c r="I8" s="113" t="str">
        <f>'Sorteio&amp;Cálculos'!AR83</f>
        <v/>
      </c>
      <c r="J8" s="113" t="str">
        <f>'Sorteio&amp;Cálculos'!AS83</f>
        <v/>
      </c>
      <c r="K8" s="113" t="str">
        <f>'Sorteio&amp;Cálculos'!AT83</f>
        <v/>
      </c>
      <c r="L8" s="114" t="str">
        <f>'Sorteio&amp;Cálculos'!AU83</f>
        <v/>
      </c>
    </row>
    <row r="9" spans="1:14" x14ac:dyDescent="0.25">
      <c r="B9" s="115">
        <v>2</v>
      </c>
      <c r="C9" s="39" t="str">
        <f>'Sorteio&amp;Cálculos'!AL84</f>
        <v/>
      </c>
      <c r="D9" s="39" t="str">
        <f>'Sorteio&amp;Cálculos'!AM84</f>
        <v/>
      </c>
      <c r="E9" s="39" t="str">
        <f>'Sorteio&amp;Cálculos'!AN84</f>
        <v/>
      </c>
      <c r="F9" s="39" t="str">
        <f>'Sorteio&amp;Cálculos'!AO84</f>
        <v/>
      </c>
      <c r="G9" s="39" t="str">
        <f>'Sorteio&amp;Cálculos'!AP84</f>
        <v/>
      </c>
      <c r="H9" s="39" t="str">
        <f>'Sorteio&amp;Cálculos'!AQ84</f>
        <v/>
      </c>
      <c r="I9" s="39" t="str">
        <f>'Sorteio&amp;Cálculos'!AR84</f>
        <v/>
      </c>
      <c r="J9" s="39" t="str">
        <f>'Sorteio&amp;Cálculos'!AS84</f>
        <v/>
      </c>
      <c r="K9" s="39" t="str">
        <f>'Sorteio&amp;Cálculos'!AT84</f>
        <v/>
      </c>
      <c r="L9" s="116" t="str">
        <f>'Sorteio&amp;Cálculos'!AU84</f>
        <v/>
      </c>
    </row>
    <row r="10" spans="1:14" x14ac:dyDescent="0.25">
      <c r="B10" s="115">
        <v>3</v>
      </c>
      <c r="C10" s="39" t="str">
        <f>'Sorteio&amp;Cálculos'!AL85</f>
        <v/>
      </c>
      <c r="D10" s="39" t="str">
        <f>'Sorteio&amp;Cálculos'!AM85</f>
        <v/>
      </c>
      <c r="E10" s="39" t="str">
        <f>'Sorteio&amp;Cálculos'!AN85</f>
        <v/>
      </c>
      <c r="F10" s="39" t="str">
        <f>'Sorteio&amp;Cálculos'!AO85</f>
        <v/>
      </c>
      <c r="G10" s="39" t="str">
        <f>'Sorteio&amp;Cálculos'!AP85</f>
        <v/>
      </c>
      <c r="H10" s="39" t="str">
        <f>'Sorteio&amp;Cálculos'!AQ85</f>
        <v/>
      </c>
      <c r="I10" s="39" t="str">
        <f>'Sorteio&amp;Cálculos'!AR85</f>
        <v/>
      </c>
      <c r="J10" s="39" t="str">
        <f>'Sorteio&amp;Cálculos'!AS85</f>
        <v/>
      </c>
      <c r="K10" s="39" t="str">
        <f>'Sorteio&amp;Cálculos'!AT85</f>
        <v/>
      </c>
      <c r="L10" s="116" t="str">
        <f>'Sorteio&amp;Cálculos'!AU85</f>
        <v/>
      </c>
    </row>
    <row r="11" spans="1:14" x14ac:dyDescent="0.25">
      <c r="B11" s="115">
        <v>4</v>
      </c>
      <c r="C11" s="39" t="str">
        <f>'Sorteio&amp;Cálculos'!AL86</f>
        <v/>
      </c>
      <c r="D11" s="39" t="str">
        <f>'Sorteio&amp;Cálculos'!AM86</f>
        <v/>
      </c>
      <c r="E11" s="39" t="str">
        <f>'Sorteio&amp;Cálculos'!AN86</f>
        <v/>
      </c>
      <c r="F11" s="39" t="str">
        <f>'Sorteio&amp;Cálculos'!AO86</f>
        <v/>
      </c>
      <c r="G11" s="39" t="str">
        <f>'Sorteio&amp;Cálculos'!AP86</f>
        <v/>
      </c>
      <c r="H11" s="39" t="str">
        <f>'Sorteio&amp;Cálculos'!AQ86</f>
        <v/>
      </c>
      <c r="I11" s="39" t="str">
        <f>'Sorteio&amp;Cálculos'!AR86</f>
        <v/>
      </c>
      <c r="J11" s="39" t="str">
        <f>'Sorteio&amp;Cálculos'!AS86</f>
        <v/>
      </c>
      <c r="K11" s="39" t="str">
        <f>'Sorteio&amp;Cálculos'!AT86</f>
        <v/>
      </c>
      <c r="L11" s="116" t="str">
        <f>'Sorteio&amp;Cálculos'!AU86</f>
        <v/>
      </c>
    </row>
    <row r="12" spans="1:14" x14ac:dyDescent="0.25">
      <c r="B12" s="115">
        <v>5</v>
      </c>
      <c r="C12" s="39" t="str">
        <f>'Sorteio&amp;Cálculos'!AL87</f>
        <v/>
      </c>
      <c r="D12" s="39" t="str">
        <f>'Sorteio&amp;Cálculos'!AM87</f>
        <v/>
      </c>
      <c r="E12" s="39" t="str">
        <f>'Sorteio&amp;Cálculos'!AN87</f>
        <v/>
      </c>
      <c r="F12" s="39" t="str">
        <f>'Sorteio&amp;Cálculos'!AO87</f>
        <v/>
      </c>
      <c r="G12" s="39" t="str">
        <f>'Sorteio&amp;Cálculos'!AP87</f>
        <v/>
      </c>
      <c r="H12" s="39" t="str">
        <f>'Sorteio&amp;Cálculos'!AQ87</f>
        <v/>
      </c>
      <c r="I12" s="39" t="str">
        <f>'Sorteio&amp;Cálculos'!AR87</f>
        <v/>
      </c>
      <c r="J12" s="39" t="str">
        <f>'Sorteio&amp;Cálculos'!AS87</f>
        <v/>
      </c>
      <c r="K12" s="39" t="str">
        <f>'Sorteio&amp;Cálculos'!AT87</f>
        <v/>
      </c>
      <c r="L12" s="116" t="str">
        <f>'Sorteio&amp;Cálculos'!AU87</f>
        <v/>
      </c>
    </row>
    <row r="13" spans="1:14" x14ac:dyDescent="0.25">
      <c r="B13" s="115">
        <v>6</v>
      </c>
      <c r="C13" s="39" t="str">
        <f>'Sorteio&amp;Cálculos'!AL88</f>
        <v/>
      </c>
      <c r="D13" s="39" t="str">
        <f>'Sorteio&amp;Cálculos'!AM88</f>
        <v/>
      </c>
      <c r="E13" s="39" t="str">
        <f>'Sorteio&amp;Cálculos'!AN88</f>
        <v/>
      </c>
      <c r="F13" s="39" t="str">
        <f>'Sorteio&amp;Cálculos'!AO88</f>
        <v/>
      </c>
      <c r="G13" s="39" t="str">
        <f>'Sorteio&amp;Cálculos'!AP88</f>
        <v/>
      </c>
      <c r="H13" s="39" t="str">
        <f>'Sorteio&amp;Cálculos'!AQ88</f>
        <v/>
      </c>
      <c r="I13" s="39" t="str">
        <f>'Sorteio&amp;Cálculos'!AR88</f>
        <v/>
      </c>
      <c r="J13" s="39" t="str">
        <f>'Sorteio&amp;Cálculos'!AS88</f>
        <v/>
      </c>
      <c r="K13" s="39" t="str">
        <f>'Sorteio&amp;Cálculos'!AT88</f>
        <v/>
      </c>
      <c r="L13" s="116" t="str">
        <f>'Sorteio&amp;Cálculos'!AU88</f>
        <v/>
      </c>
    </row>
    <row r="14" spans="1:14" x14ac:dyDescent="0.25">
      <c r="B14" s="115">
        <v>7</v>
      </c>
      <c r="C14" s="39" t="str">
        <f>'Sorteio&amp;Cálculos'!AL89</f>
        <v/>
      </c>
      <c r="D14" s="39" t="str">
        <f>'Sorteio&amp;Cálculos'!AM89</f>
        <v/>
      </c>
      <c r="E14" s="39" t="str">
        <f>'Sorteio&amp;Cálculos'!AN89</f>
        <v/>
      </c>
      <c r="F14" s="39" t="str">
        <f>'Sorteio&amp;Cálculos'!AO89</f>
        <v/>
      </c>
      <c r="G14" s="39" t="str">
        <f>'Sorteio&amp;Cálculos'!AP89</f>
        <v/>
      </c>
      <c r="H14" s="39" t="str">
        <f>'Sorteio&amp;Cálculos'!AQ89</f>
        <v/>
      </c>
      <c r="I14" s="39" t="str">
        <f>'Sorteio&amp;Cálculos'!AR89</f>
        <v/>
      </c>
      <c r="J14" s="39" t="str">
        <f>'Sorteio&amp;Cálculos'!AS89</f>
        <v/>
      </c>
      <c r="K14" s="39" t="str">
        <f>'Sorteio&amp;Cálculos'!AT89</f>
        <v/>
      </c>
      <c r="L14" s="116" t="str">
        <f>'Sorteio&amp;Cálculos'!AU89</f>
        <v/>
      </c>
    </row>
    <row r="15" spans="1:14" x14ac:dyDescent="0.25">
      <c r="B15" s="115">
        <v>8</v>
      </c>
      <c r="C15" s="39" t="str">
        <f>'Sorteio&amp;Cálculos'!AL90</f>
        <v/>
      </c>
      <c r="D15" s="39" t="str">
        <f>'Sorteio&amp;Cálculos'!AM90</f>
        <v/>
      </c>
      <c r="E15" s="39" t="str">
        <f>'Sorteio&amp;Cálculos'!AN90</f>
        <v/>
      </c>
      <c r="F15" s="39" t="str">
        <f>'Sorteio&amp;Cálculos'!AO90</f>
        <v/>
      </c>
      <c r="G15" s="39" t="str">
        <f>'Sorteio&amp;Cálculos'!AP90</f>
        <v/>
      </c>
      <c r="H15" s="39" t="str">
        <f>'Sorteio&amp;Cálculos'!AQ90</f>
        <v/>
      </c>
      <c r="I15" s="39" t="str">
        <f>'Sorteio&amp;Cálculos'!AR90</f>
        <v/>
      </c>
      <c r="J15" s="39" t="str">
        <f>'Sorteio&amp;Cálculos'!AS90</f>
        <v/>
      </c>
      <c r="K15" s="39" t="str">
        <f>'Sorteio&amp;Cálculos'!AT90</f>
        <v/>
      </c>
      <c r="L15" s="116" t="str">
        <f>'Sorteio&amp;Cálculos'!AU90</f>
        <v/>
      </c>
    </row>
    <row r="16" spans="1:14" x14ac:dyDescent="0.25">
      <c r="B16" s="115">
        <v>9</v>
      </c>
      <c r="C16" s="39" t="str">
        <f>'Sorteio&amp;Cálculos'!AL91</f>
        <v/>
      </c>
      <c r="D16" s="39" t="str">
        <f>'Sorteio&amp;Cálculos'!AM91</f>
        <v/>
      </c>
      <c r="E16" s="39" t="str">
        <f>'Sorteio&amp;Cálculos'!AN91</f>
        <v/>
      </c>
      <c r="F16" s="39" t="str">
        <f>'Sorteio&amp;Cálculos'!AO91</f>
        <v/>
      </c>
      <c r="G16" s="39" t="str">
        <f>'Sorteio&amp;Cálculos'!AP91</f>
        <v/>
      </c>
      <c r="H16" s="39" t="str">
        <f>'Sorteio&amp;Cálculos'!AQ91</f>
        <v/>
      </c>
      <c r="I16" s="39" t="str">
        <f>'Sorteio&amp;Cálculos'!AR91</f>
        <v/>
      </c>
      <c r="J16" s="39" t="str">
        <f>'Sorteio&amp;Cálculos'!AS91</f>
        <v/>
      </c>
      <c r="K16" s="39" t="str">
        <f>'Sorteio&amp;Cálculos'!AT91</f>
        <v/>
      </c>
      <c r="L16" s="116" t="str">
        <f>'Sorteio&amp;Cálculos'!AU91</f>
        <v/>
      </c>
    </row>
    <row r="17" spans="2:12" x14ac:dyDescent="0.25">
      <c r="B17" s="115">
        <v>10</v>
      </c>
      <c r="C17" s="39" t="str">
        <f>'Sorteio&amp;Cálculos'!AL92</f>
        <v/>
      </c>
      <c r="D17" s="39" t="str">
        <f>'Sorteio&amp;Cálculos'!AM92</f>
        <v/>
      </c>
      <c r="E17" s="39" t="str">
        <f>'Sorteio&amp;Cálculos'!AN92</f>
        <v/>
      </c>
      <c r="F17" s="39" t="str">
        <f>'Sorteio&amp;Cálculos'!AO92</f>
        <v/>
      </c>
      <c r="G17" s="39" t="str">
        <f>'Sorteio&amp;Cálculos'!AP92</f>
        <v/>
      </c>
      <c r="H17" s="39" t="str">
        <f>'Sorteio&amp;Cálculos'!AQ92</f>
        <v/>
      </c>
      <c r="I17" s="39" t="str">
        <f>'Sorteio&amp;Cálculos'!AR92</f>
        <v/>
      </c>
      <c r="J17" s="39" t="str">
        <f>'Sorteio&amp;Cálculos'!AS92</f>
        <v/>
      </c>
      <c r="K17" s="39" t="str">
        <f>'Sorteio&amp;Cálculos'!AT92</f>
        <v/>
      </c>
      <c r="L17" s="116" t="str">
        <f>'Sorteio&amp;Cálculos'!AU92</f>
        <v/>
      </c>
    </row>
    <row r="18" spans="2:12" x14ac:dyDescent="0.25">
      <c r="B18" s="115">
        <v>11</v>
      </c>
      <c r="C18" s="39" t="str">
        <f>'Sorteio&amp;Cálculos'!AL93</f>
        <v/>
      </c>
      <c r="D18" s="39" t="str">
        <f>'Sorteio&amp;Cálculos'!AM93</f>
        <v/>
      </c>
      <c r="E18" s="39" t="str">
        <f>'Sorteio&amp;Cálculos'!AN93</f>
        <v/>
      </c>
      <c r="F18" s="39" t="str">
        <f>'Sorteio&amp;Cálculos'!AO93</f>
        <v/>
      </c>
      <c r="G18" s="39" t="str">
        <f>'Sorteio&amp;Cálculos'!AP93</f>
        <v/>
      </c>
      <c r="H18" s="39" t="str">
        <f>'Sorteio&amp;Cálculos'!AQ93</f>
        <v/>
      </c>
      <c r="I18" s="39" t="str">
        <f>'Sorteio&amp;Cálculos'!AR93</f>
        <v/>
      </c>
      <c r="J18" s="39" t="str">
        <f>'Sorteio&amp;Cálculos'!AS93</f>
        <v/>
      </c>
      <c r="K18" s="39" t="str">
        <f>'Sorteio&amp;Cálculos'!AT93</f>
        <v/>
      </c>
      <c r="L18" s="116" t="str">
        <f>'Sorteio&amp;Cálculos'!AU93</f>
        <v/>
      </c>
    </row>
    <row r="19" spans="2:12" x14ac:dyDescent="0.25">
      <c r="B19" s="115">
        <v>12</v>
      </c>
      <c r="C19" s="39" t="str">
        <f>'Sorteio&amp;Cálculos'!AL94</f>
        <v/>
      </c>
      <c r="D19" s="39" t="str">
        <f>'Sorteio&amp;Cálculos'!AM94</f>
        <v/>
      </c>
      <c r="E19" s="39" t="str">
        <f>'Sorteio&amp;Cálculos'!AN94</f>
        <v/>
      </c>
      <c r="F19" s="39" t="str">
        <f>'Sorteio&amp;Cálculos'!AO94</f>
        <v/>
      </c>
      <c r="G19" s="39" t="str">
        <f>'Sorteio&amp;Cálculos'!AP94</f>
        <v/>
      </c>
      <c r="H19" s="39" t="str">
        <f>'Sorteio&amp;Cálculos'!AQ94</f>
        <v/>
      </c>
      <c r="I19" s="39" t="str">
        <f>'Sorteio&amp;Cálculos'!AR94</f>
        <v/>
      </c>
      <c r="J19" s="39" t="str">
        <f>'Sorteio&amp;Cálculos'!AS94</f>
        <v/>
      </c>
      <c r="K19" s="39" t="str">
        <f>'Sorteio&amp;Cálculos'!AT94</f>
        <v/>
      </c>
      <c r="L19" s="116" t="str">
        <f>'Sorteio&amp;Cálculos'!AU94</f>
        <v/>
      </c>
    </row>
    <row r="20" spans="2:12" x14ac:dyDescent="0.25">
      <c r="B20" s="115">
        <v>13</v>
      </c>
      <c r="C20" s="39" t="str">
        <f>'Sorteio&amp;Cálculos'!AL95</f>
        <v/>
      </c>
      <c r="D20" s="39" t="str">
        <f>'Sorteio&amp;Cálculos'!AM95</f>
        <v/>
      </c>
      <c r="E20" s="39" t="str">
        <f>'Sorteio&amp;Cálculos'!AN95</f>
        <v/>
      </c>
      <c r="F20" s="39" t="str">
        <f>'Sorteio&amp;Cálculos'!AO95</f>
        <v/>
      </c>
      <c r="G20" s="39" t="str">
        <f>'Sorteio&amp;Cálculos'!AP95</f>
        <v/>
      </c>
      <c r="H20" s="39" t="str">
        <f>'Sorteio&amp;Cálculos'!AQ95</f>
        <v/>
      </c>
      <c r="I20" s="39" t="str">
        <f>'Sorteio&amp;Cálculos'!AR95</f>
        <v/>
      </c>
      <c r="J20" s="39" t="str">
        <f>'Sorteio&amp;Cálculos'!AS95</f>
        <v/>
      </c>
      <c r="K20" s="39" t="str">
        <f>'Sorteio&amp;Cálculos'!AT95</f>
        <v/>
      </c>
      <c r="L20" s="116" t="str">
        <f>'Sorteio&amp;Cálculos'!AU95</f>
        <v/>
      </c>
    </row>
    <row r="21" spans="2:12" x14ac:dyDescent="0.25">
      <c r="B21" s="115">
        <v>14</v>
      </c>
      <c r="C21" s="39" t="str">
        <f>'Sorteio&amp;Cálculos'!AL96</f>
        <v/>
      </c>
      <c r="D21" s="39" t="str">
        <f>'Sorteio&amp;Cálculos'!AM96</f>
        <v/>
      </c>
      <c r="E21" s="39" t="str">
        <f>'Sorteio&amp;Cálculos'!AN96</f>
        <v/>
      </c>
      <c r="F21" s="39" t="str">
        <f>'Sorteio&amp;Cálculos'!AO96</f>
        <v/>
      </c>
      <c r="G21" s="39" t="str">
        <f>'Sorteio&amp;Cálculos'!AP96</f>
        <v/>
      </c>
      <c r="H21" s="39" t="str">
        <f>'Sorteio&amp;Cálculos'!AQ96</f>
        <v/>
      </c>
      <c r="I21" s="39" t="str">
        <f>'Sorteio&amp;Cálculos'!AR96</f>
        <v/>
      </c>
      <c r="J21" s="39" t="str">
        <f>'Sorteio&amp;Cálculos'!AS96</f>
        <v/>
      </c>
      <c r="K21" s="39" t="str">
        <f>'Sorteio&amp;Cálculos'!AT96</f>
        <v/>
      </c>
      <c r="L21" s="116" t="str">
        <f>'Sorteio&amp;Cálculos'!AU96</f>
        <v/>
      </c>
    </row>
    <row r="22" spans="2:12" x14ac:dyDescent="0.25">
      <c r="B22" s="115">
        <v>15</v>
      </c>
      <c r="C22" s="39" t="str">
        <f>'Sorteio&amp;Cálculos'!AL97</f>
        <v/>
      </c>
      <c r="D22" s="39" t="str">
        <f>'Sorteio&amp;Cálculos'!AM97</f>
        <v/>
      </c>
      <c r="E22" s="39" t="str">
        <f>'Sorteio&amp;Cálculos'!AN97</f>
        <v/>
      </c>
      <c r="F22" s="39" t="str">
        <f>'Sorteio&amp;Cálculos'!AO97</f>
        <v/>
      </c>
      <c r="G22" s="39" t="str">
        <f>'Sorteio&amp;Cálculos'!AP97</f>
        <v/>
      </c>
      <c r="H22" s="39" t="str">
        <f>'Sorteio&amp;Cálculos'!AQ97</f>
        <v/>
      </c>
      <c r="I22" s="39" t="str">
        <f>'Sorteio&amp;Cálculos'!AR97</f>
        <v/>
      </c>
      <c r="J22" s="39" t="str">
        <f>'Sorteio&amp;Cálculos'!AS97</f>
        <v/>
      </c>
      <c r="K22" s="39" t="str">
        <f>'Sorteio&amp;Cálculos'!AT97</f>
        <v/>
      </c>
      <c r="L22" s="116" t="str">
        <f>'Sorteio&amp;Cálculos'!AU97</f>
        <v/>
      </c>
    </row>
    <row r="23" spans="2:12" x14ac:dyDescent="0.25">
      <c r="B23" s="115">
        <v>16</v>
      </c>
      <c r="C23" s="39" t="str">
        <f>'Sorteio&amp;Cálculos'!AL98</f>
        <v/>
      </c>
      <c r="D23" s="39" t="str">
        <f>'Sorteio&amp;Cálculos'!AM98</f>
        <v/>
      </c>
      <c r="E23" s="39" t="str">
        <f>'Sorteio&amp;Cálculos'!AN98</f>
        <v/>
      </c>
      <c r="F23" s="39" t="str">
        <f>'Sorteio&amp;Cálculos'!AO98</f>
        <v/>
      </c>
      <c r="G23" s="39" t="str">
        <f>'Sorteio&amp;Cálculos'!AP98</f>
        <v/>
      </c>
      <c r="H23" s="39" t="str">
        <f>'Sorteio&amp;Cálculos'!AQ98</f>
        <v/>
      </c>
      <c r="I23" s="39" t="str">
        <f>'Sorteio&amp;Cálculos'!AR98</f>
        <v/>
      </c>
      <c r="J23" s="39" t="str">
        <f>'Sorteio&amp;Cálculos'!AS98</f>
        <v/>
      </c>
      <c r="K23" s="39" t="str">
        <f>'Sorteio&amp;Cálculos'!AT98</f>
        <v/>
      </c>
      <c r="L23" s="116" t="str">
        <f>'Sorteio&amp;Cálculos'!AU98</f>
        <v/>
      </c>
    </row>
    <row r="24" spans="2:12" x14ac:dyDescent="0.25">
      <c r="B24" s="115">
        <v>17</v>
      </c>
      <c r="C24" s="39" t="str">
        <f>'Sorteio&amp;Cálculos'!AL99</f>
        <v/>
      </c>
      <c r="D24" s="39" t="str">
        <f>'Sorteio&amp;Cálculos'!AM99</f>
        <v/>
      </c>
      <c r="E24" s="39" t="str">
        <f>'Sorteio&amp;Cálculos'!AN99</f>
        <v/>
      </c>
      <c r="F24" s="39" t="str">
        <f>'Sorteio&amp;Cálculos'!AO99</f>
        <v/>
      </c>
      <c r="G24" s="39" t="str">
        <f>'Sorteio&amp;Cálculos'!AP99</f>
        <v/>
      </c>
      <c r="H24" s="39" t="str">
        <f>'Sorteio&amp;Cálculos'!AQ99</f>
        <v/>
      </c>
      <c r="I24" s="39" t="str">
        <f>'Sorteio&amp;Cálculos'!AR99</f>
        <v/>
      </c>
      <c r="J24" s="39" t="str">
        <f>'Sorteio&amp;Cálculos'!AS99</f>
        <v/>
      </c>
      <c r="K24" s="39" t="str">
        <f>'Sorteio&amp;Cálculos'!AT99</f>
        <v/>
      </c>
      <c r="L24" s="116" t="str">
        <f>'Sorteio&amp;Cálculos'!AU99</f>
        <v/>
      </c>
    </row>
    <row r="25" spans="2:12" x14ac:dyDescent="0.25">
      <c r="B25" s="115">
        <v>18</v>
      </c>
      <c r="C25" s="39" t="str">
        <f>'Sorteio&amp;Cálculos'!AL100</f>
        <v/>
      </c>
      <c r="D25" s="39" t="str">
        <f>'Sorteio&amp;Cálculos'!AM100</f>
        <v/>
      </c>
      <c r="E25" s="39" t="str">
        <f>'Sorteio&amp;Cálculos'!AN100</f>
        <v/>
      </c>
      <c r="F25" s="39" t="str">
        <f>'Sorteio&amp;Cálculos'!AO100</f>
        <v/>
      </c>
      <c r="G25" s="39" t="str">
        <f>'Sorteio&amp;Cálculos'!AP100</f>
        <v/>
      </c>
      <c r="H25" s="39" t="str">
        <f>'Sorteio&amp;Cálculos'!AQ100</f>
        <v/>
      </c>
      <c r="I25" s="39" t="str">
        <f>'Sorteio&amp;Cálculos'!AR100</f>
        <v/>
      </c>
      <c r="J25" s="39" t="str">
        <f>'Sorteio&amp;Cálculos'!AS100</f>
        <v/>
      </c>
      <c r="K25" s="39" t="str">
        <f>'Sorteio&amp;Cálculos'!AT100</f>
        <v/>
      </c>
      <c r="L25" s="116" t="str">
        <f>'Sorteio&amp;Cálculos'!AU100</f>
        <v/>
      </c>
    </row>
    <row r="26" spans="2:12" x14ac:dyDescent="0.25">
      <c r="B26" s="115">
        <v>19</v>
      </c>
      <c r="C26" s="39" t="str">
        <f>'Sorteio&amp;Cálculos'!AL101</f>
        <v/>
      </c>
      <c r="D26" s="39" t="str">
        <f>'Sorteio&amp;Cálculos'!AM101</f>
        <v/>
      </c>
      <c r="E26" s="39" t="str">
        <f>'Sorteio&amp;Cálculos'!AN101</f>
        <v/>
      </c>
      <c r="F26" s="39" t="str">
        <f>'Sorteio&amp;Cálculos'!AO101</f>
        <v/>
      </c>
      <c r="G26" s="39" t="str">
        <f>'Sorteio&amp;Cálculos'!AP101</f>
        <v/>
      </c>
      <c r="H26" s="39" t="str">
        <f>'Sorteio&amp;Cálculos'!AQ101</f>
        <v/>
      </c>
      <c r="I26" s="39" t="str">
        <f>'Sorteio&amp;Cálculos'!AR101</f>
        <v/>
      </c>
      <c r="J26" s="39" t="str">
        <f>'Sorteio&amp;Cálculos'!AS101</f>
        <v/>
      </c>
      <c r="K26" s="39" t="str">
        <f>'Sorteio&amp;Cálculos'!AT101</f>
        <v/>
      </c>
      <c r="L26" s="116" t="str">
        <f>'Sorteio&amp;Cálculos'!AU101</f>
        <v/>
      </c>
    </row>
    <row r="27" spans="2:12" x14ac:dyDescent="0.25">
      <c r="B27" s="115">
        <v>20</v>
      </c>
      <c r="C27" s="39" t="str">
        <f>'Sorteio&amp;Cálculos'!AL102</f>
        <v/>
      </c>
      <c r="D27" s="39" t="str">
        <f>'Sorteio&amp;Cálculos'!AM102</f>
        <v/>
      </c>
      <c r="E27" s="39" t="str">
        <f>'Sorteio&amp;Cálculos'!AN102</f>
        <v/>
      </c>
      <c r="F27" s="39" t="str">
        <f>'Sorteio&amp;Cálculos'!AO102</f>
        <v/>
      </c>
      <c r="G27" s="39" t="str">
        <f>'Sorteio&amp;Cálculos'!AP102</f>
        <v/>
      </c>
      <c r="H27" s="39" t="str">
        <f>'Sorteio&amp;Cálculos'!AQ102</f>
        <v/>
      </c>
      <c r="I27" s="39" t="str">
        <f>'Sorteio&amp;Cálculos'!AR102</f>
        <v/>
      </c>
      <c r="J27" s="39" t="str">
        <f>'Sorteio&amp;Cálculos'!AS102</f>
        <v/>
      </c>
      <c r="K27" s="39" t="str">
        <f>'Sorteio&amp;Cálculos'!AT102</f>
        <v/>
      </c>
      <c r="L27" s="116" t="str">
        <f>'Sorteio&amp;Cálculos'!AU102</f>
        <v/>
      </c>
    </row>
    <row r="28" spans="2:12" x14ac:dyDescent="0.25">
      <c r="B28" s="115">
        <v>21</v>
      </c>
      <c r="C28" s="39" t="str">
        <f>'Sorteio&amp;Cálculos'!AL103</f>
        <v/>
      </c>
      <c r="D28" s="39" t="str">
        <f>'Sorteio&amp;Cálculos'!AM103</f>
        <v/>
      </c>
      <c r="E28" s="39" t="str">
        <f>'Sorteio&amp;Cálculos'!AN103</f>
        <v/>
      </c>
      <c r="F28" s="39" t="str">
        <f>'Sorteio&amp;Cálculos'!AO103</f>
        <v/>
      </c>
      <c r="G28" s="39" t="str">
        <f>'Sorteio&amp;Cálculos'!AP103</f>
        <v/>
      </c>
      <c r="H28" s="39" t="str">
        <f>'Sorteio&amp;Cálculos'!AQ103</f>
        <v/>
      </c>
      <c r="I28" s="39" t="str">
        <f>'Sorteio&amp;Cálculos'!AR103</f>
        <v/>
      </c>
      <c r="J28" s="39" t="str">
        <f>'Sorteio&amp;Cálculos'!AS103</f>
        <v/>
      </c>
      <c r="K28" s="39" t="str">
        <f>'Sorteio&amp;Cálculos'!AT103</f>
        <v/>
      </c>
      <c r="L28" s="116" t="str">
        <f>'Sorteio&amp;Cálculos'!AU103</f>
        <v/>
      </c>
    </row>
    <row r="29" spans="2:12" x14ac:dyDescent="0.25">
      <c r="B29" s="115">
        <v>22</v>
      </c>
      <c r="C29" s="39" t="str">
        <f>'Sorteio&amp;Cálculos'!AL104</f>
        <v/>
      </c>
      <c r="D29" s="39" t="str">
        <f>'Sorteio&amp;Cálculos'!AM104</f>
        <v/>
      </c>
      <c r="E29" s="39" t="str">
        <f>'Sorteio&amp;Cálculos'!AN104</f>
        <v/>
      </c>
      <c r="F29" s="39" t="str">
        <f>'Sorteio&amp;Cálculos'!AO104</f>
        <v/>
      </c>
      <c r="G29" s="39" t="str">
        <f>'Sorteio&amp;Cálculos'!AP104</f>
        <v/>
      </c>
      <c r="H29" s="39" t="str">
        <f>'Sorteio&amp;Cálculos'!AQ104</f>
        <v/>
      </c>
      <c r="I29" s="39" t="str">
        <f>'Sorteio&amp;Cálculos'!AR104</f>
        <v/>
      </c>
      <c r="J29" s="39" t="str">
        <f>'Sorteio&amp;Cálculos'!AS104</f>
        <v/>
      </c>
      <c r="K29" s="39" t="str">
        <f>'Sorteio&amp;Cálculos'!AT104</f>
        <v/>
      </c>
      <c r="L29" s="116" t="str">
        <f>'Sorteio&amp;Cálculos'!AU104</f>
        <v/>
      </c>
    </row>
    <row r="30" spans="2:12" x14ac:dyDescent="0.25">
      <c r="B30" s="115">
        <v>23</v>
      </c>
      <c r="C30" s="39" t="str">
        <f>'Sorteio&amp;Cálculos'!AL105</f>
        <v/>
      </c>
      <c r="D30" s="39" t="str">
        <f>'Sorteio&amp;Cálculos'!AM105</f>
        <v/>
      </c>
      <c r="E30" s="39" t="str">
        <f>'Sorteio&amp;Cálculos'!AN105</f>
        <v/>
      </c>
      <c r="F30" s="39" t="str">
        <f>'Sorteio&amp;Cálculos'!AO105</f>
        <v/>
      </c>
      <c r="G30" s="39" t="str">
        <f>'Sorteio&amp;Cálculos'!AP105</f>
        <v/>
      </c>
      <c r="H30" s="39" t="str">
        <f>'Sorteio&amp;Cálculos'!AQ105</f>
        <v/>
      </c>
      <c r="I30" s="39" t="str">
        <f>'Sorteio&amp;Cálculos'!AR105</f>
        <v/>
      </c>
      <c r="J30" s="39" t="str">
        <f>'Sorteio&amp;Cálculos'!AS105</f>
        <v/>
      </c>
      <c r="K30" s="39" t="str">
        <f>'Sorteio&amp;Cálculos'!AT105</f>
        <v/>
      </c>
      <c r="L30" s="116" t="str">
        <f>'Sorteio&amp;Cálculos'!AU105</f>
        <v/>
      </c>
    </row>
    <row r="31" spans="2:12" x14ac:dyDescent="0.25">
      <c r="B31" s="117">
        <v>24</v>
      </c>
      <c r="C31" s="118" t="str">
        <f>'Sorteio&amp;Cálculos'!AL106</f>
        <v/>
      </c>
      <c r="D31" s="118" t="str">
        <f>'Sorteio&amp;Cálculos'!AM106</f>
        <v/>
      </c>
      <c r="E31" s="118" t="str">
        <f>'Sorteio&amp;Cálculos'!AN106</f>
        <v/>
      </c>
      <c r="F31" s="118" t="str">
        <f>'Sorteio&amp;Cálculos'!AO106</f>
        <v/>
      </c>
      <c r="G31" s="118" t="str">
        <f>'Sorteio&amp;Cálculos'!AP106</f>
        <v/>
      </c>
      <c r="H31" s="118" t="str">
        <f>'Sorteio&amp;Cálculos'!AQ106</f>
        <v/>
      </c>
      <c r="I31" s="118" t="str">
        <f>'Sorteio&amp;Cálculos'!AR106</f>
        <v/>
      </c>
      <c r="J31" s="118" t="str">
        <f>'Sorteio&amp;Cálculos'!AS106</f>
        <v/>
      </c>
      <c r="K31" s="118" t="str">
        <f>'Sorteio&amp;Cálculos'!AT106</f>
        <v/>
      </c>
      <c r="L31" s="119" t="str">
        <f>'Sorteio&amp;Cálculos'!AU106</f>
        <v/>
      </c>
    </row>
    <row r="32" spans="2:12" x14ac:dyDescent="0.25">
      <c r="B32" s="117">
        <v>25</v>
      </c>
      <c r="C32" s="118" t="str">
        <f>'Sorteio&amp;Cálculos'!AL107</f>
        <v/>
      </c>
      <c r="D32" s="118" t="str">
        <f>'Sorteio&amp;Cálculos'!AM107</f>
        <v/>
      </c>
      <c r="E32" s="118" t="str">
        <f>'Sorteio&amp;Cálculos'!AN107</f>
        <v/>
      </c>
      <c r="F32" s="118" t="str">
        <f>'Sorteio&amp;Cálculos'!AO107</f>
        <v/>
      </c>
      <c r="G32" s="118" t="str">
        <f>'Sorteio&amp;Cálculos'!AP107</f>
        <v/>
      </c>
      <c r="H32" s="118" t="str">
        <f>'Sorteio&amp;Cálculos'!AQ107</f>
        <v/>
      </c>
      <c r="I32" s="118" t="str">
        <f>'Sorteio&amp;Cálculos'!AR107</f>
        <v/>
      </c>
      <c r="J32" s="118" t="str">
        <f>'Sorteio&amp;Cálculos'!AS107</f>
        <v/>
      </c>
      <c r="K32" s="118" t="str">
        <f>'Sorteio&amp;Cálculos'!AT107</f>
        <v/>
      </c>
      <c r="L32" s="119" t="str">
        <f>'Sorteio&amp;Cálculos'!AU107</f>
        <v/>
      </c>
    </row>
    <row r="33" spans="2:12" x14ac:dyDescent="0.25">
      <c r="B33" s="117">
        <v>26</v>
      </c>
      <c r="C33" s="118" t="str">
        <f>'Sorteio&amp;Cálculos'!AL108</f>
        <v/>
      </c>
      <c r="D33" s="118" t="str">
        <f>'Sorteio&amp;Cálculos'!AM108</f>
        <v/>
      </c>
      <c r="E33" s="118" t="str">
        <f>'Sorteio&amp;Cálculos'!AN108</f>
        <v/>
      </c>
      <c r="F33" s="118" t="str">
        <f>'Sorteio&amp;Cálculos'!AO108</f>
        <v/>
      </c>
      <c r="G33" s="118" t="str">
        <f>'Sorteio&amp;Cálculos'!AP108</f>
        <v/>
      </c>
      <c r="H33" s="118" t="str">
        <f>'Sorteio&amp;Cálculos'!AQ108</f>
        <v/>
      </c>
      <c r="I33" s="118" t="str">
        <f>'Sorteio&amp;Cálculos'!AR108</f>
        <v/>
      </c>
      <c r="J33" s="118" t="str">
        <f>'Sorteio&amp;Cálculos'!AS108</f>
        <v/>
      </c>
      <c r="K33" s="118" t="str">
        <f>'Sorteio&amp;Cálculos'!AT108</f>
        <v/>
      </c>
      <c r="L33" s="119" t="str">
        <f>'Sorteio&amp;Cálculos'!AU108</f>
        <v/>
      </c>
    </row>
    <row r="34" spans="2:12" x14ac:dyDescent="0.25">
      <c r="B34" s="117">
        <v>27</v>
      </c>
      <c r="C34" s="118" t="str">
        <f>'Sorteio&amp;Cálculos'!AL109</f>
        <v/>
      </c>
      <c r="D34" s="118" t="str">
        <f>'Sorteio&amp;Cálculos'!AM109</f>
        <v/>
      </c>
      <c r="E34" s="118" t="str">
        <f>'Sorteio&amp;Cálculos'!AN109</f>
        <v/>
      </c>
      <c r="F34" s="118" t="str">
        <f>'Sorteio&amp;Cálculos'!AO109</f>
        <v/>
      </c>
      <c r="G34" s="118" t="str">
        <f>'Sorteio&amp;Cálculos'!AP109</f>
        <v/>
      </c>
      <c r="H34" s="118" t="str">
        <f>'Sorteio&amp;Cálculos'!AQ109</f>
        <v/>
      </c>
      <c r="I34" s="118" t="str">
        <f>'Sorteio&amp;Cálculos'!AR109</f>
        <v/>
      </c>
      <c r="J34" s="118" t="str">
        <f>'Sorteio&amp;Cálculos'!AS109</f>
        <v/>
      </c>
      <c r="K34" s="118" t="str">
        <f>'Sorteio&amp;Cálculos'!AT109</f>
        <v/>
      </c>
      <c r="L34" s="119" t="str">
        <f>'Sorteio&amp;Cálculos'!AU109</f>
        <v/>
      </c>
    </row>
    <row r="35" spans="2:12" x14ac:dyDescent="0.25">
      <c r="B35" s="117">
        <v>28</v>
      </c>
      <c r="C35" s="118" t="str">
        <f>'Sorteio&amp;Cálculos'!AL110</f>
        <v/>
      </c>
      <c r="D35" s="118" t="str">
        <f>'Sorteio&amp;Cálculos'!AM110</f>
        <v/>
      </c>
      <c r="E35" s="118" t="str">
        <f>'Sorteio&amp;Cálculos'!AN110</f>
        <v/>
      </c>
      <c r="F35" s="118" t="str">
        <f>'Sorteio&amp;Cálculos'!AO110</f>
        <v/>
      </c>
      <c r="G35" s="118" t="str">
        <f>'Sorteio&amp;Cálculos'!AP110</f>
        <v/>
      </c>
      <c r="H35" s="118" t="str">
        <f>'Sorteio&amp;Cálculos'!AQ110</f>
        <v/>
      </c>
      <c r="I35" s="118" t="str">
        <f>'Sorteio&amp;Cálculos'!AR110</f>
        <v/>
      </c>
      <c r="J35" s="118" t="str">
        <f>'Sorteio&amp;Cálculos'!AS110</f>
        <v/>
      </c>
      <c r="K35" s="118" t="str">
        <f>'Sorteio&amp;Cálculos'!AT110</f>
        <v/>
      </c>
      <c r="L35" s="119" t="str">
        <f>'Sorteio&amp;Cálculos'!AU110</f>
        <v/>
      </c>
    </row>
    <row r="36" spans="2:12" x14ac:dyDescent="0.25">
      <c r="B36" s="117">
        <v>29</v>
      </c>
      <c r="C36" s="118" t="str">
        <f>'Sorteio&amp;Cálculos'!AL111</f>
        <v/>
      </c>
      <c r="D36" s="118" t="str">
        <f>'Sorteio&amp;Cálculos'!AM111</f>
        <v/>
      </c>
      <c r="E36" s="118" t="str">
        <f>'Sorteio&amp;Cálculos'!AN111</f>
        <v/>
      </c>
      <c r="F36" s="118" t="str">
        <f>'Sorteio&amp;Cálculos'!AO111</f>
        <v/>
      </c>
      <c r="G36" s="118" t="str">
        <f>'Sorteio&amp;Cálculos'!AP111</f>
        <v/>
      </c>
      <c r="H36" s="118" t="str">
        <f>'Sorteio&amp;Cálculos'!AQ111</f>
        <v/>
      </c>
      <c r="I36" s="118" t="str">
        <f>'Sorteio&amp;Cálculos'!AR111</f>
        <v/>
      </c>
      <c r="J36" s="118" t="str">
        <f>'Sorteio&amp;Cálculos'!AS111</f>
        <v/>
      </c>
      <c r="K36" s="118" t="str">
        <f>'Sorteio&amp;Cálculos'!AT111</f>
        <v/>
      </c>
      <c r="L36" s="119" t="str">
        <f>'Sorteio&amp;Cálculos'!AU111</f>
        <v/>
      </c>
    </row>
    <row r="37" spans="2:12" x14ac:dyDescent="0.25">
      <c r="B37" s="117">
        <v>30</v>
      </c>
      <c r="C37" s="118" t="str">
        <f>'Sorteio&amp;Cálculos'!AL112</f>
        <v/>
      </c>
      <c r="D37" s="118" t="str">
        <f>'Sorteio&amp;Cálculos'!AM112</f>
        <v/>
      </c>
      <c r="E37" s="118" t="str">
        <f>'Sorteio&amp;Cálculos'!AN112</f>
        <v/>
      </c>
      <c r="F37" s="118" t="str">
        <f>'Sorteio&amp;Cálculos'!AO112</f>
        <v/>
      </c>
      <c r="G37" s="118" t="str">
        <f>'Sorteio&amp;Cálculos'!AP112</f>
        <v/>
      </c>
      <c r="H37" s="118" t="str">
        <f>'Sorteio&amp;Cálculos'!AQ112</f>
        <v/>
      </c>
      <c r="I37" s="118" t="str">
        <f>'Sorteio&amp;Cálculos'!AR112</f>
        <v/>
      </c>
      <c r="J37" s="118" t="str">
        <f>'Sorteio&amp;Cálculos'!AS112</f>
        <v/>
      </c>
      <c r="K37" s="118" t="str">
        <f>'Sorteio&amp;Cálculos'!AT112</f>
        <v/>
      </c>
      <c r="L37" s="119" t="str">
        <f>'Sorteio&amp;Cálculos'!AU112</f>
        <v/>
      </c>
    </row>
    <row r="38" spans="2:12" x14ac:dyDescent="0.25">
      <c r="B38" s="117">
        <v>31</v>
      </c>
      <c r="C38" s="118" t="str">
        <f>'Sorteio&amp;Cálculos'!AL113</f>
        <v/>
      </c>
      <c r="D38" s="118" t="str">
        <f>'Sorteio&amp;Cálculos'!AM113</f>
        <v/>
      </c>
      <c r="E38" s="118" t="str">
        <f>'Sorteio&amp;Cálculos'!AN113</f>
        <v/>
      </c>
      <c r="F38" s="118" t="str">
        <f>'Sorteio&amp;Cálculos'!AO113</f>
        <v/>
      </c>
      <c r="G38" s="118" t="str">
        <f>'Sorteio&amp;Cálculos'!AP113</f>
        <v/>
      </c>
      <c r="H38" s="118" t="str">
        <f>'Sorteio&amp;Cálculos'!AQ113</f>
        <v/>
      </c>
      <c r="I38" s="118" t="str">
        <f>'Sorteio&amp;Cálculos'!AR113</f>
        <v/>
      </c>
      <c r="J38" s="118" t="str">
        <f>'Sorteio&amp;Cálculos'!AS113</f>
        <v/>
      </c>
      <c r="K38" s="118" t="str">
        <f>'Sorteio&amp;Cálculos'!AT113</f>
        <v/>
      </c>
      <c r="L38" s="119" t="str">
        <f>'Sorteio&amp;Cálculos'!AU113</f>
        <v/>
      </c>
    </row>
    <row r="39" spans="2:12" ht="15.75" thickBot="1" x14ac:dyDescent="0.3">
      <c r="B39" s="120">
        <v>32</v>
      </c>
      <c r="C39" s="121" t="str">
        <f>'Sorteio&amp;Cálculos'!AL114</f>
        <v/>
      </c>
      <c r="D39" s="121" t="str">
        <f>'Sorteio&amp;Cálculos'!AM114</f>
        <v/>
      </c>
      <c r="E39" s="121" t="str">
        <f>'Sorteio&amp;Cálculos'!AN114</f>
        <v/>
      </c>
      <c r="F39" s="121" t="str">
        <f>'Sorteio&amp;Cálculos'!AO114</f>
        <v/>
      </c>
      <c r="G39" s="121" t="str">
        <f>'Sorteio&amp;Cálculos'!AP114</f>
        <v/>
      </c>
      <c r="H39" s="121" t="str">
        <f>'Sorteio&amp;Cálculos'!AQ114</f>
        <v/>
      </c>
      <c r="I39" s="121" t="str">
        <f>'Sorteio&amp;Cálculos'!AR114</f>
        <v/>
      </c>
      <c r="J39" s="121" t="str">
        <f>'Sorteio&amp;Cálculos'!AS114</f>
        <v/>
      </c>
      <c r="K39" s="121" t="str">
        <f>'Sorteio&amp;Cálculos'!AT114</f>
        <v/>
      </c>
      <c r="L39" s="122" t="str">
        <f>'Sorteio&amp;Cálculos'!AU114</f>
        <v/>
      </c>
    </row>
    <row r="40" spans="2:12" ht="15.75" thickTop="1" x14ac:dyDescent="0.25"/>
  </sheetData>
  <sheetProtection password="CD12" sheet="1" objects="1" scenarios="1" selectLockedCells="1"/>
  <mergeCells count="3">
    <mergeCell ref="A1:M1"/>
    <mergeCell ref="A2:M2"/>
    <mergeCell ref="B6:L6"/>
  </mergeCells>
  <conditionalFormatting sqref="C8:C39">
    <cfRule type="cellIs" dxfId="14" priority="10" stopIfTrue="1" operator="equal">
      <formula>$N$5</formula>
    </cfRule>
  </conditionalFormatting>
  <conditionalFormatting sqref="D8:D39">
    <cfRule type="colorScale" priority="9">
      <colorScale>
        <cfvo type="min"/>
        <cfvo type="percentile" val="50"/>
        <cfvo type="max"/>
        <color rgb="FFFF0000"/>
        <color rgb="FFFFFF00"/>
        <color rgb="FF00B050"/>
      </colorScale>
    </cfRule>
  </conditionalFormatting>
  <conditionalFormatting sqref="E8:E39">
    <cfRule type="colorScale" priority="8">
      <colorScale>
        <cfvo type="min"/>
        <cfvo type="percentile" val="50"/>
        <cfvo type="max"/>
        <color rgb="FFFF0000"/>
        <color rgb="FFFFFF00"/>
        <color rgb="FF00B050"/>
      </colorScale>
    </cfRule>
  </conditionalFormatting>
  <conditionalFormatting sqref="F8:F39">
    <cfRule type="colorScale" priority="7">
      <colorScale>
        <cfvo type="min"/>
        <cfvo type="percentile" val="50"/>
        <cfvo type="max"/>
        <color rgb="FFFF0000"/>
        <color rgb="FFFFFF00"/>
        <color rgb="FF00B050"/>
      </colorScale>
    </cfRule>
  </conditionalFormatting>
  <conditionalFormatting sqref="I8:I39">
    <cfRule type="colorScale" priority="6">
      <colorScale>
        <cfvo type="min"/>
        <cfvo type="percentile" val="50"/>
        <cfvo type="max"/>
        <color rgb="FFFF0000"/>
        <color rgb="FFFFFF00"/>
        <color rgb="FF00B050"/>
      </colorScale>
    </cfRule>
  </conditionalFormatting>
  <conditionalFormatting sqref="K8:K39">
    <cfRule type="colorScale" priority="5">
      <colorScale>
        <cfvo type="min"/>
        <cfvo type="percentile" val="50"/>
        <cfvo type="max"/>
        <color rgb="FFFF0000"/>
        <color rgb="FFFFFF00"/>
        <color rgb="FF00B050"/>
      </colorScale>
    </cfRule>
  </conditionalFormatting>
  <conditionalFormatting sqref="L8:L39">
    <cfRule type="colorScale" priority="4">
      <colorScale>
        <cfvo type="min"/>
        <cfvo type="percentile" val="50"/>
        <cfvo type="max"/>
        <color rgb="FFFF0000"/>
        <color rgb="FFFFFF00"/>
        <color rgb="FF00B050"/>
      </colorScale>
    </cfRule>
  </conditionalFormatting>
  <conditionalFormatting sqref="G8:G39">
    <cfRule type="colorScale" priority="3">
      <colorScale>
        <cfvo type="min"/>
        <cfvo type="percentile" val="50"/>
        <cfvo type="max"/>
        <color rgb="FF00B050"/>
        <color rgb="FFFFFF00"/>
        <color rgb="FFFF0000"/>
      </colorScale>
    </cfRule>
  </conditionalFormatting>
  <conditionalFormatting sqref="H8:H39">
    <cfRule type="colorScale" priority="2">
      <colorScale>
        <cfvo type="min"/>
        <cfvo type="percentile" val="50"/>
        <cfvo type="max"/>
        <color rgb="FF00B050"/>
        <color rgb="FFFFFF00"/>
        <color rgb="FFFF0000"/>
      </colorScale>
    </cfRule>
  </conditionalFormatting>
  <conditionalFormatting sqref="J8:J39">
    <cfRule type="colorScale" priority="1">
      <colorScale>
        <cfvo type="min"/>
        <cfvo type="percentile" val="50"/>
        <cfvo type="max"/>
        <color rgb="FF00B050"/>
        <color rgb="FFFFFF00"/>
        <color rgb="FFFF0000"/>
      </colorScale>
    </cfRule>
  </conditionalFormatting>
  <hyperlinks>
    <hyperlink ref="C4" location="DIAGRAMA!F4" display="DIAGRAMA!F4"/>
  </hyperlinks>
  <pageMargins left="0.51181102362204722" right="0.51181102362204722" top="0.78740157480314965" bottom="0.78740157480314965" header="0.31496062992125984" footer="0.31496062992125984"/>
  <pageSetup paperSize="9" scale="108"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BH115"/>
  <sheetViews>
    <sheetView showRowColHeaders="0" topLeftCell="E1" zoomScale="150" zoomScaleNormal="150" workbookViewId="0">
      <pane ySplit="6" topLeftCell="A7" activePane="bottomLeft" state="frozen"/>
      <selection activeCell="E1" sqref="E1"/>
      <selection pane="bottomLeft" activeCell="O1" sqref="O1:BH1048576"/>
    </sheetView>
  </sheetViews>
  <sheetFormatPr defaultColWidth="9.140625" defaultRowHeight="11.25" x14ac:dyDescent="0.2"/>
  <cols>
    <col min="1" max="1" width="4" style="87" hidden="1" customWidth="1"/>
    <col min="2" max="2" width="16.7109375" style="123" hidden="1" customWidth="1"/>
    <col min="3" max="3" width="5" style="87" hidden="1" customWidth="1"/>
    <col min="4" max="4" width="18.140625" style="123" hidden="1" customWidth="1"/>
    <col min="5" max="5" width="3.42578125" style="123" customWidth="1"/>
    <col min="6" max="6" width="8.85546875" style="87" bestFit="1" customWidth="1"/>
    <col min="7" max="7" width="5.28515625" style="124" customWidth="1"/>
    <col min="8" max="8" width="12.5703125" style="123" bestFit="1" customWidth="1"/>
    <col min="9" max="9" width="3.28515625" style="87" bestFit="1" customWidth="1"/>
    <col min="10" max="10" width="13.28515625" style="125" bestFit="1" customWidth="1"/>
    <col min="11" max="11" width="2.7109375" style="87" customWidth="1"/>
    <col min="12" max="12" width="4.85546875" style="87" bestFit="1" customWidth="1"/>
    <col min="13" max="13" width="2.7109375" style="87" customWidth="1"/>
    <col min="14" max="14" width="13.28515625" style="126" bestFit="1" customWidth="1"/>
    <col min="15" max="18" width="4.28515625" style="87" hidden="1" customWidth="1"/>
    <col min="19" max="19" width="2.7109375" style="87" hidden="1" customWidth="1"/>
    <col min="20" max="21" width="3.28515625" style="87" hidden="1" customWidth="1"/>
    <col min="22" max="22" width="6.140625" style="87" hidden="1" customWidth="1"/>
    <col min="23" max="23" width="12.7109375" style="127" hidden="1" customWidth="1"/>
    <col min="24" max="24" width="5.85546875" style="87" hidden="1" customWidth="1"/>
    <col min="25" max="25" width="15.140625" style="87" hidden="1" customWidth="1"/>
    <col min="26" max="28" width="4" style="87" hidden="1" customWidth="1"/>
    <col min="29" max="30" width="4.140625" style="87" hidden="1" customWidth="1"/>
    <col min="31" max="32" width="15.140625" style="87" hidden="1" customWidth="1"/>
    <col min="33" max="33" width="3.140625" style="87" hidden="1" customWidth="1"/>
    <col min="34" max="34" width="2.85546875" style="87" hidden="1" customWidth="1"/>
    <col min="35" max="35" width="3.140625" style="87" hidden="1" customWidth="1"/>
    <col min="36" max="36" width="3" style="87" hidden="1" customWidth="1"/>
    <col min="37" max="37" width="2.7109375" style="87" hidden="1" customWidth="1"/>
    <col min="38" max="38" width="15.140625" style="87" hidden="1" customWidth="1"/>
    <col min="39" max="39" width="3" style="87" hidden="1" customWidth="1"/>
    <col min="40" max="40" width="2.85546875" style="87" hidden="1" customWidth="1"/>
    <col min="41" max="42" width="3" style="87" hidden="1" customWidth="1"/>
    <col min="43" max="43" width="2.85546875" style="87" hidden="1" customWidth="1"/>
    <col min="44" max="44" width="3" style="87" hidden="1" customWidth="1"/>
    <col min="45" max="46" width="3.140625" style="87" hidden="1" customWidth="1"/>
    <col min="47" max="47" width="7.140625" style="87" hidden="1" customWidth="1"/>
    <col min="48" max="48" width="3.7109375" style="87" hidden="1" customWidth="1"/>
    <col min="49" max="53" width="5.140625" style="87" hidden="1" customWidth="1"/>
    <col min="54" max="55" width="5.7109375" style="87" hidden="1" customWidth="1"/>
    <col min="56" max="56" width="5.7109375" style="123" hidden="1" customWidth="1"/>
    <col min="57" max="57" width="9.140625" style="123" hidden="1" customWidth="1"/>
    <col min="58" max="58" width="2" style="87" hidden="1" customWidth="1"/>
    <col min="59" max="59" width="2.140625" style="87" hidden="1" customWidth="1"/>
    <col min="60" max="60" width="2" style="87" hidden="1" customWidth="1"/>
    <col min="61" max="16384" width="9.140625" style="123"/>
  </cols>
  <sheetData>
    <row r="5" spans="1:59" x14ac:dyDescent="0.2">
      <c r="X5" s="87">
        <v>1</v>
      </c>
      <c r="Y5" s="87">
        <v>2</v>
      </c>
      <c r="Z5" s="87">
        <v>3</v>
      </c>
      <c r="AA5" s="87">
        <v>4</v>
      </c>
      <c r="AB5" s="87">
        <v>5</v>
      </c>
      <c r="AC5" s="87">
        <v>6</v>
      </c>
      <c r="AD5" s="87">
        <v>7</v>
      </c>
      <c r="AE5" s="87">
        <v>8</v>
      </c>
      <c r="AF5" s="87">
        <v>9</v>
      </c>
      <c r="AG5" s="87">
        <v>10</v>
      </c>
      <c r="AH5" s="87">
        <v>11</v>
      </c>
      <c r="AW5" s="128">
        <v>3</v>
      </c>
      <c r="BB5" s="129" t="s">
        <v>166</v>
      </c>
      <c r="BC5" s="130" t="s">
        <v>165</v>
      </c>
      <c r="BD5" s="131" t="s">
        <v>167</v>
      </c>
    </row>
    <row r="6" spans="1:59" x14ac:dyDescent="0.2">
      <c r="A6" s="87" t="s">
        <v>43</v>
      </c>
      <c r="B6" s="87" t="s">
        <v>41</v>
      </c>
      <c r="C6" s="87" t="s">
        <v>44</v>
      </c>
      <c r="D6" s="87" t="s">
        <v>45</v>
      </c>
      <c r="E6" s="87" t="s">
        <v>66</v>
      </c>
      <c r="F6" s="87" t="s">
        <v>0</v>
      </c>
      <c r="G6" s="124" t="s">
        <v>68</v>
      </c>
      <c r="H6" s="87" t="s">
        <v>67</v>
      </c>
      <c r="I6" s="87" t="s">
        <v>19</v>
      </c>
      <c r="L6" s="87" t="s">
        <v>17</v>
      </c>
      <c r="S6" s="87" t="s">
        <v>7</v>
      </c>
      <c r="T6" s="87" t="s">
        <v>14</v>
      </c>
      <c r="U6" s="87" t="s">
        <v>15</v>
      </c>
      <c r="V6" s="87" t="s">
        <v>33</v>
      </c>
      <c r="W6" s="127" t="s">
        <v>34</v>
      </c>
      <c r="X6" s="87" t="s">
        <v>35</v>
      </c>
      <c r="Z6" s="87" t="s">
        <v>6</v>
      </c>
      <c r="AA6" s="87" t="s">
        <v>18</v>
      </c>
      <c r="AB6" s="87" t="s">
        <v>21</v>
      </c>
      <c r="AC6" s="87" t="s">
        <v>22</v>
      </c>
      <c r="AD6" s="87" t="s">
        <v>23</v>
      </c>
      <c r="AE6" s="87" t="s">
        <v>11</v>
      </c>
      <c r="AF6" s="87" t="s">
        <v>12</v>
      </c>
      <c r="AG6" s="87" t="s">
        <v>13</v>
      </c>
      <c r="AH6" s="87" t="s">
        <v>59</v>
      </c>
      <c r="AK6" s="87" t="s">
        <v>5</v>
      </c>
      <c r="AM6" s="87" t="s">
        <v>6</v>
      </c>
      <c r="AN6" s="87" t="s">
        <v>18</v>
      </c>
      <c r="AO6" s="87" t="s">
        <v>21</v>
      </c>
      <c r="AP6" s="87" t="s">
        <v>22</v>
      </c>
      <c r="AQ6" s="87" t="s">
        <v>23</v>
      </c>
      <c r="AR6" s="87" t="s">
        <v>11</v>
      </c>
      <c r="AS6" s="87" t="s">
        <v>12</v>
      </c>
      <c r="AT6" s="87" t="s">
        <v>13</v>
      </c>
      <c r="AU6" s="87" t="str">
        <f>"=?"</f>
        <v>=?</v>
      </c>
      <c r="AV6" s="87" t="s">
        <v>164</v>
      </c>
      <c r="AW6" s="87" t="s">
        <v>159</v>
      </c>
      <c r="AX6" s="87" t="s">
        <v>160</v>
      </c>
      <c r="AY6" s="87" t="s">
        <v>161</v>
      </c>
      <c r="AZ6" s="87" t="s">
        <v>162</v>
      </c>
      <c r="BA6" s="87" t="s">
        <v>163</v>
      </c>
      <c r="BB6" s="132">
        <f>BC6-BD6</f>
        <v>0</v>
      </c>
      <c r="BC6" s="132">
        <f>IF(COUNTIF($AV$7:$AV$38,1)&gt;0,1,0)</f>
        <v>0</v>
      </c>
      <c r="BD6" s="132">
        <f>IF(AND(BC6=1,COUNTIF($BA$7:$BA$38,3)=8,COUNTIF($BA$7:$BA$38,2)=8),-1,0)</f>
        <v>0</v>
      </c>
    </row>
    <row r="7" spans="1:59" x14ac:dyDescent="0.2">
      <c r="A7" s="87" t="s">
        <v>24</v>
      </c>
      <c r="B7" s="87" t="str">
        <f>IF(COUNTIF($A$83:$A$114,$A7)=1,VLOOKUP($A7,$A$83:$B$114,2,FALSE),$A7)</f>
        <v>Rússia</v>
      </c>
      <c r="C7" s="87">
        <v>1</v>
      </c>
      <c r="D7" s="123" t="s">
        <v>126</v>
      </c>
      <c r="E7" s="123">
        <v>1</v>
      </c>
      <c r="F7" s="133">
        <v>43265</v>
      </c>
      <c r="G7" s="124">
        <v>0.5</v>
      </c>
      <c r="H7" s="123" t="s">
        <v>180</v>
      </c>
      <c r="I7" s="87" t="s">
        <v>20</v>
      </c>
      <c r="J7" s="125" t="str">
        <f>$B$7</f>
        <v>Rússia</v>
      </c>
      <c r="K7" s="134" t="str">
        <f>IF(VLOOKUP($E7,JOGOS!$B$11:$K$84,7,FALSE)="","",VLOOKUP($E7,JOGOS!$B$11:$K$84,7,FALSE))</f>
        <v/>
      </c>
      <c r="L7" s="87" t="s">
        <v>16</v>
      </c>
      <c r="M7" s="134" t="str">
        <f>IF(VLOOKUP($E7,JOGOS!$B$11:$K$84,9,FALSE)="","",VLOOKUP($E7,JOGOS!$B$11:$K$84,9,FALSE))</f>
        <v/>
      </c>
      <c r="N7" s="126" t="str">
        <f>$B$8</f>
        <v>Arábia Saudita</v>
      </c>
      <c r="O7" s="135"/>
      <c r="P7" s="136"/>
      <c r="S7" s="87">
        <f t="shared" ref="S7:S54" si="0">IF(OR($K7="",$M7=""),0,1)</f>
        <v>0</v>
      </c>
      <c r="T7" s="87">
        <f t="shared" ref="T7:T54" si="1">IF(OR($K7="",$M7=""),0,IF($K7&gt;$M7,1,0))</f>
        <v>0</v>
      </c>
      <c r="U7" s="87">
        <f t="shared" ref="U7:U54" si="2">IF(OR($K7="",$M7=""),0,IF($K7&lt;$M7,1,0))</f>
        <v>0</v>
      </c>
      <c r="V7" s="137">
        <v>4.0000000000000002E-4</v>
      </c>
      <c r="W7" s="138">
        <f>IF($AA7=0,-100000000+$V7,($Z7*1000000)+($AG7*10000)+($AE7*100)+$AH7+$V7)</f>
        <v>-99999999.999599993</v>
      </c>
      <c r="X7" s="137">
        <f>RANK(W7,$W$7:$W$10)</f>
        <v>1</v>
      </c>
      <c r="Y7" s="137" t="str">
        <f>$B$7</f>
        <v>Rússia</v>
      </c>
      <c r="Z7" s="137">
        <f>(AB7*3)+AC7</f>
        <v>0</v>
      </c>
      <c r="AA7" s="137">
        <f>SUMIF($J$7:$J$54,$Y7,$S$7:$S$54)+SUMIF($N$7:$N$54,$Y7,$S$7:$S$54)</f>
        <v>0</v>
      </c>
      <c r="AB7" s="137">
        <f>SUMIF($J$7:$J$54,$Y7,$T$7:$T$54)+SUMIF($N$7:$N$54,$Y7,$U$7:$U$54)</f>
        <v>0</v>
      </c>
      <c r="AC7" s="137">
        <f t="shared" ref="AC7:AC38" si="3">$AA7-($AB7+$AD7)</f>
        <v>0</v>
      </c>
      <c r="AD7" s="137">
        <f>SUMIF($J$7:$J$54,$Y7,$U$7:$U$54)+SUMIF($N$7:$N$54,$Y7,$T$7:$T$54)</f>
        <v>0</v>
      </c>
      <c r="AE7" s="137">
        <f>SUMIF($J$7:$J$54,$Y7,$K$7:$K$54)+SUMIF($N$7:$N$54,$Y7,$M$7:$M$54)</f>
        <v>0</v>
      </c>
      <c r="AF7" s="137">
        <f>SUMIF($J$7:$J$54,$Y7,$M$7:$M$54)+SUMIF($N$7:$N$54,$Y7,$K$7:$K$54)</f>
        <v>0</v>
      </c>
      <c r="AG7" s="137">
        <f>AE7-AF7</f>
        <v>0</v>
      </c>
      <c r="AH7" s="139">
        <f>CLASSIFICAÇÃO!M7</f>
        <v>0</v>
      </c>
      <c r="AI7" s="140"/>
      <c r="AJ7" s="204" t="s">
        <v>20</v>
      </c>
      <c r="AK7" s="137">
        <v>1</v>
      </c>
      <c r="AL7" s="137" t="str">
        <f>VLOOKUP($AK7,$X$7:$AI$10,Y$5,FALSE)</f>
        <v>Rússia</v>
      </c>
      <c r="AM7" s="140">
        <f t="shared" ref="AM7:AT7" si="4">VLOOKUP($AK7,$X$7:$AI$10,Z$5,FALSE)</f>
        <v>0</v>
      </c>
      <c r="AN7" s="137">
        <f t="shared" si="4"/>
        <v>0</v>
      </c>
      <c r="AO7" s="137">
        <f t="shared" si="4"/>
        <v>0</v>
      </c>
      <c r="AP7" s="137">
        <f t="shared" si="4"/>
        <v>0</v>
      </c>
      <c r="AQ7" s="137">
        <f t="shared" si="4"/>
        <v>0</v>
      </c>
      <c r="AR7" s="137">
        <f t="shared" si="4"/>
        <v>0</v>
      </c>
      <c r="AS7" s="137">
        <f t="shared" si="4"/>
        <v>0</v>
      </c>
      <c r="AT7" s="137">
        <f t="shared" si="4"/>
        <v>0</v>
      </c>
      <c r="AU7" s="87">
        <f>IF(AA7=3,(Z7*128)+(AA7*64)+(AB7*32)+(AC7*16)+(AD7*8)+(AE7*4)+(AF7*2)+AG7+$AH7,0)</f>
        <v>0</v>
      </c>
      <c r="AV7" s="87">
        <f>IF(AND(COUNTIF(AU$7:AU$10,AU7)&gt;1,AI$10=12),1,0)</f>
        <v>0</v>
      </c>
      <c r="AW7" s="87">
        <f>($AW$5-AN7)*3</f>
        <v>9</v>
      </c>
      <c r="AX7" s="87">
        <f>AM7+AW7</f>
        <v>9</v>
      </c>
      <c r="AY7" s="87">
        <f>IF(AM7&gt;LARGE(AX8:AX10,1),3,IF(AM7&gt;LARGE(AX8:AX10,2),1,0))</f>
        <v>0</v>
      </c>
      <c r="AZ7" s="134">
        <f>IF(AI10=12,3,0)</f>
        <v>0</v>
      </c>
      <c r="BA7" s="134">
        <f>IF(VLOOKUP(AL7,$Y$7:$AV$38,24,FALSE)&lt;&gt;1,MAX(AY7:AZ7),MIN(AY7:AZ7))</f>
        <v>0</v>
      </c>
      <c r="BF7" s="87">
        <v>1</v>
      </c>
      <c r="BG7" s="87" t="s">
        <v>20</v>
      </c>
    </row>
    <row r="8" spans="1:59" x14ac:dyDescent="0.2">
      <c r="A8" s="87" t="s">
        <v>25</v>
      </c>
      <c r="B8" s="87" t="str">
        <f t="shared" ref="B8:B38" si="5">IF(COUNTIF($A$83:$A$114,$A8)=1,VLOOKUP($A8,$A$83:$B$114,2,FALSE),$A8)</f>
        <v>Arábia Saudita</v>
      </c>
      <c r="C8" s="87">
        <v>2</v>
      </c>
      <c r="D8" s="123" t="s">
        <v>168</v>
      </c>
      <c r="E8" s="123">
        <v>2</v>
      </c>
      <c r="F8" s="133">
        <v>43266</v>
      </c>
      <c r="G8" s="124">
        <v>0.375</v>
      </c>
      <c r="H8" s="123" t="s">
        <v>181</v>
      </c>
      <c r="I8" s="87" t="s">
        <v>20</v>
      </c>
      <c r="J8" s="125" t="str">
        <f>$B$9</f>
        <v>Egito</v>
      </c>
      <c r="K8" s="134" t="str">
        <f>IF(VLOOKUP($E8,JOGOS!$B$11:$K$84,7,FALSE)="","",VLOOKUP($E8,JOGOS!$B$11:$K$84,7,FALSE))</f>
        <v/>
      </c>
      <c r="L8" s="87" t="s">
        <v>16</v>
      </c>
      <c r="M8" s="134" t="str">
        <f>IF(VLOOKUP($E8,JOGOS!$B$11:$K$84,9,FALSE)="","",VLOOKUP($E8,JOGOS!$B$11:$K$84,9,FALSE))</f>
        <v/>
      </c>
      <c r="N8" s="126" t="str">
        <f>$B$10</f>
        <v>Uruguai</v>
      </c>
      <c r="O8" s="135"/>
      <c r="S8" s="87">
        <f t="shared" si="0"/>
        <v>0</v>
      </c>
      <c r="T8" s="87">
        <f t="shared" si="1"/>
        <v>0</v>
      </c>
      <c r="U8" s="87">
        <f t="shared" si="2"/>
        <v>0</v>
      </c>
      <c r="V8" s="137">
        <v>2.9999999999999997E-4</v>
      </c>
      <c r="W8" s="138">
        <f t="shared" ref="W8:W38" si="6">IF($AA8=0,-100000000+$V8,($Z8*1000000)+($AG8*10000)+($AE8*100)+$AH8+$V8)</f>
        <v>-99999999.999699995</v>
      </c>
      <c r="X8" s="137">
        <f t="shared" ref="X8:X10" si="7">RANK(W8,$W$7:$W$10)</f>
        <v>2</v>
      </c>
      <c r="Y8" s="137" t="str">
        <f>$B$8</f>
        <v>Arábia Saudita</v>
      </c>
      <c r="Z8" s="140">
        <f t="shared" ref="Z8:Z38" si="8">(AB8*3)+AC8</f>
        <v>0</v>
      </c>
      <c r="AA8" s="137">
        <f t="shared" ref="AA8:AA38" si="9">SUMIF($J$7:$J$54,$Y8,$S$7:$S$54)+SUMIF($N$7:$N$54,$Y8,$S$7:$S$54)</f>
        <v>0</v>
      </c>
      <c r="AB8" s="137">
        <f t="shared" ref="AB8:AB38" si="10">SUMIF($J$7:$J$54,$Y8,$T$7:$T$54)+SUMIF($N$7:$N$54,$Y8,$U$7:$U$54)</f>
        <v>0</v>
      </c>
      <c r="AC8" s="137">
        <f t="shared" si="3"/>
        <v>0</v>
      </c>
      <c r="AD8" s="137">
        <f t="shared" ref="AD8:AD38" si="11">SUMIF($J$7:$J$54,$Y8,$U$7:$U$54)+SUMIF($N$7:$N$54,$Y8,$T$7:$T$54)</f>
        <v>0</v>
      </c>
      <c r="AE8" s="137">
        <f t="shared" ref="AE8:AE38" si="12">SUMIF($J$7:$J$54,$Y8,$K$7:$K$54)+SUMIF($N$7:$N$54,$Y8,$M$7:$M$54)</f>
        <v>0</v>
      </c>
      <c r="AF8" s="137">
        <f t="shared" ref="AF8:AF38" si="13">SUMIF($J$7:$J$54,$Y8,$M$7:$M$54)+SUMIF($N$7:$N$54,$Y8,$K$7:$K$54)</f>
        <v>0</v>
      </c>
      <c r="AG8" s="137">
        <f t="shared" ref="AG8:AG38" si="14">AE8-AF8</f>
        <v>0</v>
      </c>
      <c r="AH8" s="137">
        <f>CLASSIFICAÇÃO!M8</f>
        <v>0</v>
      </c>
      <c r="AI8" s="140"/>
      <c r="AJ8" s="204"/>
      <c r="AK8" s="137">
        <v>2</v>
      </c>
      <c r="AL8" s="137" t="str">
        <f t="shared" ref="AL8:AL10" si="15">VLOOKUP($AK8,$X$7:$AI$10,Y$5,FALSE)</f>
        <v>Arábia Saudita</v>
      </c>
      <c r="AM8" s="137">
        <f t="shared" ref="AM8:AM10" si="16">VLOOKUP($AK8,$X$7:$AI$10,Z$5,FALSE)</f>
        <v>0</v>
      </c>
      <c r="AN8" s="137">
        <f t="shared" ref="AN8:AN10" si="17">VLOOKUP($AK8,$X$7:$AI$10,AA$5,FALSE)</f>
        <v>0</v>
      </c>
      <c r="AO8" s="137">
        <f t="shared" ref="AO8:AO10" si="18">VLOOKUP($AK8,$X$7:$AI$10,AB$5,FALSE)</f>
        <v>0</v>
      </c>
      <c r="AP8" s="137">
        <f t="shared" ref="AP8:AP10" si="19">VLOOKUP($AK8,$X$7:$AI$10,AC$5,FALSE)</f>
        <v>0</v>
      </c>
      <c r="AQ8" s="137">
        <f t="shared" ref="AQ8:AQ10" si="20">VLOOKUP($AK8,$X$7:$AI$10,AD$5,FALSE)</f>
        <v>0</v>
      </c>
      <c r="AR8" s="137">
        <f t="shared" ref="AR8:AR10" si="21">VLOOKUP($AK8,$X$7:$AI$10,AE$5,FALSE)</f>
        <v>0</v>
      </c>
      <c r="AS8" s="137">
        <f t="shared" ref="AS8:AS10" si="22">VLOOKUP($AK8,$X$7:$AI$10,AF$5,FALSE)</f>
        <v>0</v>
      </c>
      <c r="AT8" s="137">
        <f t="shared" ref="AT8:AT10" si="23">VLOOKUP($AK8,$X$7:$AI$10,AG$5,FALSE)</f>
        <v>0</v>
      </c>
      <c r="AU8" s="87">
        <f t="shared" ref="AU8:AU38" si="24">IF(AA8=3,(Z8*128)+(AA8*64)+(AB8*32)+(AC8*16)+(AD8*8)+(AE8*4)+(AF8*2)+AG8+$AH8,0)</f>
        <v>0</v>
      </c>
      <c r="AV8" s="87">
        <f t="shared" ref="AV8:AV10" si="25">IF(AND(COUNTIF(AU$7:AU$10,AU8)&gt;1,AI$10=12),1,0)</f>
        <v>0</v>
      </c>
      <c r="AW8" s="87">
        <f t="shared" ref="AW8:AW38" si="26">($AW$5-AN8)*3</f>
        <v>9</v>
      </c>
      <c r="AX8" s="87">
        <f t="shared" ref="AX8:AX38" si="27">AM8+AW8</f>
        <v>9</v>
      </c>
      <c r="AY8" s="87">
        <f>IF(AND(AX8&lt;AM7,AM8&gt;LARGE(AX9:AX10,1)),2,IF(AM8&gt;LARGE(AX9:AX10,1),1,0))</f>
        <v>0</v>
      </c>
      <c r="AZ8" s="134">
        <f>IF(AI10=12,2,0)</f>
        <v>0</v>
      </c>
      <c r="BA8" s="134">
        <f>IF(VLOOKUP(AL8,$Y$7:$AV$38,24,FALSE)&lt;&gt;1,MAX(AY8:AZ8),MIN(AY8:AZ8))</f>
        <v>0</v>
      </c>
      <c r="BB8" s="134"/>
      <c r="BF8" s="87">
        <v>2</v>
      </c>
      <c r="BG8" s="87" t="s">
        <v>32</v>
      </c>
    </row>
    <row r="9" spans="1:59" x14ac:dyDescent="0.2">
      <c r="A9" s="87" t="s">
        <v>26</v>
      </c>
      <c r="B9" s="87" t="str">
        <f t="shared" si="5"/>
        <v>Egito</v>
      </c>
      <c r="C9" s="87">
        <v>3</v>
      </c>
      <c r="D9" s="123" t="s">
        <v>115</v>
      </c>
      <c r="E9" s="123">
        <v>17</v>
      </c>
      <c r="F9" s="133">
        <v>43270</v>
      </c>
      <c r="G9" s="124">
        <v>0.625</v>
      </c>
      <c r="H9" s="123" t="s">
        <v>182</v>
      </c>
      <c r="I9" s="87" t="s">
        <v>20</v>
      </c>
      <c r="J9" s="125" t="str">
        <f>$B$7</f>
        <v>Rússia</v>
      </c>
      <c r="K9" s="134" t="str">
        <f>IF(VLOOKUP($E9,JOGOS!$B$11:$K$84,7,FALSE)="","",VLOOKUP($E9,JOGOS!$B$11:$K$84,7,FALSE))</f>
        <v/>
      </c>
      <c r="L9" s="87" t="s">
        <v>16</v>
      </c>
      <c r="M9" s="134" t="str">
        <f>IF(VLOOKUP($E9,JOGOS!$B$11:$K$84,9,FALSE)="","",VLOOKUP($E9,JOGOS!$B$11:$K$84,9,FALSE))</f>
        <v/>
      </c>
      <c r="N9" s="126" t="str">
        <f>$B$9</f>
        <v>Egito</v>
      </c>
      <c r="O9" s="135"/>
      <c r="S9" s="87">
        <f t="shared" si="0"/>
        <v>0</v>
      </c>
      <c r="T9" s="87">
        <f t="shared" si="1"/>
        <v>0</v>
      </c>
      <c r="U9" s="87">
        <f t="shared" si="2"/>
        <v>0</v>
      </c>
      <c r="V9" s="137">
        <v>2.0000000000000001E-4</v>
      </c>
      <c r="W9" s="138">
        <f t="shared" si="6"/>
        <v>-99999999.999799997</v>
      </c>
      <c r="X9" s="137">
        <f t="shared" si="7"/>
        <v>3</v>
      </c>
      <c r="Y9" s="137" t="str">
        <f>$B$9</f>
        <v>Egito</v>
      </c>
      <c r="Z9" s="137">
        <f t="shared" si="8"/>
        <v>0</v>
      </c>
      <c r="AA9" s="137">
        <f t="shared" si="9"/>
        <v>0</v>
      </c>
      <c r="AB9" s="137">
        <f t="shared" si="10"/>
        <v>0</v>
      </c>
      <c r="AC9" s="137">
        <f t="shared" si="3"/>
        <v>0</v>
      </c>
      <c r="AD9" s="137">
        <f t="shared" si="11"/>
        <v>0</v>
      </c>
      <c r="AE9" s="137">
        <f t="shared" si="12"/>
        <v>0</v>
      </c>
      <c r="AF9" s="137">
        <f t="shared" si="13"/>
        <v>0</v>
      </c>
      <c r="AG9" s="137">
        <f t="shared" si="14"/>
        <v>0</v>
      </c>
      <c r="AH9" s="137">
        <f>CLASSIFICAÇÃO!M9</f>
        <v>0</v>
      </c>
      <c r="AI9" s="137"/>
      <c r="AJ9" s="204"/>
      <c r="AK9" s="137">
        <v>3</v>
      </c>
      <c r="AL9" s="137" t="str">
        <f t="shared" si="15"/>
        <v>Egito</v>
      </c>
      <c r="AM9" s="137">
        <f t="shared" si="16"/>
        <v>0</v>
      </c>
      <c r="AN9" s="137">
        <f t="shared" si="17"/>
        <v>0</v>
      </c>
      <c r="AO9" s="137">
        <f t="shared" si="18"/>
        <v>0</v>
      </c>
      <c r="AP9" s="137">
        <f t="shared" si="19"/>
        <v>0</v>
      </c>
      <c r="AQ9" s="137">
        <f t="shared" si="20"/>
        <v>0</v>
      </c>
      <c r="AR9" s="137">
        <f t="shared" si="21"/>
        <v>0</v>
      </c>
      <c r="AS9" s="137">
        <f t="shared" si="22"/>
        <v>0</v>
      </c>
      <c r="AT9" s="137">
        <f t="shared" si="23"/>
        <v>0</v>
      </c>
      <c r="AU9" s="87">
        <f t="shared" si="24"/>
        <v>0</v>
      </c>
      <c r="AV9" s="87">
        <f t="shared" si="25"/>
        <v>0</v>
      </c>
      <c r="AW9" s="87">
        <f t="shared" si="26"/>
        <v>9</v>
      </c>
      <c r="AX9" s="87">
        <f t="shared" si="27"/>
        <v>9</v>
      </c>
      <c r="AY9" s="87">
        <f>IF(AX9&lt;SMALL(AM7:AM8,1),-1,0)</f>
        <v>0</v>
      </c>
      <c r="AZ9" s="134">
        <f>IF(AI10=12,-1,0)</f>
        <v>0</v>
      </c>
      <c r="BA9" s="134">
        <f>IF(VLOOKUP(AL9,$Y$7:$AV$38,24,FALSE)&lt;&gt;1,MIN(AY9:AZ9),MAX(AY9:AZ9))</f>
        <v>0</v>
      </c>
      <c r="BF9" s="87">
        <v>3</v>
      </c>
      <c r="BG9" s="87" t="s">
        <v>5</v>
      </c>
    </row>
    <row r="10" spans="1:59" x14ac:dyDescent="0.2">
      <c r="A10" s="87" t="s">
        <v>27</v>
      </c>
      <c r="B10" s="87" t="str">
        <f t="shared" si="5"/>
        <v>Uruguai</v>
      </c>
      <c r="C10" s="87">
        <v>4</v>
      </c>
      <c r="D10" s="123" t="s">
        <v>127</v>
      </c>
      <c r="E10" s="123">
        <v>18</v>
      </c>
      <c r="F10" s="133">
        <v>43271</v>
      </c>
      <c r="G10" s="124">
        <v>0.5</v>
      </c>
      <c r="H10" s="123" t="s">
        <v>183</v>
      </c>
      <c r="I10" s="87" t="s">
        <v>20</v>
      </c>
      <c r="J10" s="125" t="str">
        <f>$B$10</f>
        <v>Uruguai</v>
      </c>
      <c r="K10" s="134" t="str">
        <f>IF(VLOOKUP($E10,JOGOS!$B$11:$K$84,7,FALSE)="","",VLOOKUP($E10,JOGOS!$B$11:$K$84,7,FALSE))</f>
        <v/>
      </c>
      <c r="L10" s="87" t="s">
        <v>16</v>
      </c>
      <c r="M10" s="134" t="str">
        <f>IF(VLOOKUP($E10,JOGOS!$B$11:$K$84,9,FALSE)="","",VLOOKUP($E10,JOGOS!$B$11:$K$84,9,FALSE))</f>
        <v/>
      </c>
      <c r="N10" s="126" t="str">
        <f>$B$8</f>
        <v>Arábia Saudita</v>
      </c>
      <c r="O10" s="135"/>
      <c r="S10" s="87">
        <f t="shared" si="0"/>
        <v>0</v>
      </c>
      <c r="T10" s="87">
        <f t="shared" si="1"/>
        <v>0</v>
      </c>
      <c r="U10" s="87">
        <f t="shared" si="2"/>
        <v>0</v>
      </c>
      <c r="V10" s="141">
        <v>1E-4</v>
      </c>
      <c r="W10" s="142">
        <f t="shared" si="6"/>
        <v>-99999999.999899998</v>
      </c>
      <c r="X10" s="141">
        <f t="shared" si="7"/>
        <v>4</v>
      </c>
      <c r="Y10" s="141" t="str">
        <f>$B$10</f>
        <v>Uruguai</v>
      </c>
      <c r="Z10" s="141">
        <f t="shared" si="8"/>
        <v>0</v>
      </c>
      <c r="AA10" s="141">
        <f t="shared" si="9"/>
        <v>0</v>
      </c>
      <c r="AB10" s="141">
        <f t="shared" si="10"/>
        <v>0</v>
      </c>
      <c r="AC10" s="141">
        <f t="shared" si="3"/>
        <v>0</v>
      </c>
      <c r="AD10" s="141">
        <f t="shared" si="11"/>
        <v>0</v>
      </c>
      <c r="AE10" s="141">
        <f t="shared" si="12"/>
        <v>0</v>
      </c>
      <c r="AF10" s="141">
        <f t="shared" si="13"/>
        <v>0</v>
      </c>
      <c r="AG10" s="141">
        <f t="shared" si="14"/>
        <v>0</v>
      </c>
      <c r="AH10" s="141">
        <f>CLASSIFICAÇÃO!M10</f>
        <v>0</v>
      </c>
      <c r="AI10" s="141">
        <f>SUM(AA7:AA10)</f>
        <v>0</v>
      </c>
      <c r="AJ10" s="205"/>
      <c r="AK10" s="141">
        <v>4</v>
      </c>
      <c r="AL10" s="141" t="str">
        <f t="shared" si="15"/>
        <v>Uruguai</v>
      </c>
      <c r="AM10" s="141">
        <f t="shared" si="16"/>
        <v>0</v>
      </c>
      <c r="AN10" s="141">
        <f t="shared" si="17"/>
        <v>0</v>
      </c>
      <c r="AO10" s="141">
        <f t="shared" si="18"/>
        <v>0</v>
      </c>
      <c r="AP10" s="141">
        <f t="shared" si="19"/>
        <v>0</v>
      </c>
      <c r="AQ10" s="141">
        <f t="shared" si="20"/>
        <v>0</v>
      </c>
      <c r="AR10" s="141">
        <f t="shared" si="21"/>
        <v>0</v>
      </c>
      <c r="AS10" s="141">
        <f t="shared" si="22"/>
        <v>0</v>
      </c>
      <c r="AT10" s="141">
        <f t="shared" si="23"/>
        <v>0</v>
      </c>
      <c r="AU10" s="141">
        <f t="shared" si="24"/>
        <v>0</v>
      </c>
      <c r="AV10" s="141">
        <f t="shared" si="25"/>
        <v>0</v>
      </c>
      <c r="AW10" s="141">
        <f t="shared" si="26"/>
        <v>9</v>
      </c>
      <c r="AX10" s="141">
        <f t="shared" si="27"/>
        <v>9</v>
      </c>
      <c r="AY10" s="141">
        <f>IF(AX10&lt;SMALL(AM7:AM9,2),-1,0)</f>
        <v>0</v>
      </c>
      <c r="AZ10" s="143">
        <f>IF(AI10=12,-1,0)</f>
        <v>0</v>
      </c>
      <c r="BA10" s="143">
        <f>IF(VLOOKUP(AL10,$Y$7:$AV$38,24,FALSE)&lt;&gt;1,MIN(AY10:AZ10),MAX(AY10:AZ10))</f>
        <v>0</v>
      </c>
      <c r="BF10" s="87">
        <v>4</v>
      </c>
      <c r="BG10" s="87" t="s">
        <v>10</v>
      </c>
    </row>
    <row r="11" spans="1:59" x14ac:dyDescent="0.2">
      <c r="A11" s="87" t="s">
        <v>28</v>
      </c>
      <c r="B11" s="87" t="str">
        <f t="shared" si="5"/>
        <v>Portugal</v>
      </c>
      <c r="C11" s="87">
        <v>5</v>
      </c>
      <c r="D11" s="123" t="s">
        <v>128</v>
      </c>
      <c r="E11" s="123">
        <v>33</v>
      </c>
      <c r="F11" s="133">
        <v>43276</v>
      </c>
      <c r="G11" s="124">
        <v>0.45833333333333331</v>
      </c>
      <c r="H11" s="123" t="s">
        <v>184</v>
      </c>
      <c r="I11" s="87" t="s">
        <v>20</v>
      </c>
      <c r="J11" s="125" t="str">
        <f>$B$10</f>
        <v>Uruguai</v>
      </c>
      <c r="K11" s="134" t="str">
        <f>IF(VLOOKUP($E11,JOGOS!$B$11:$K$84,7,FALSE)="","",VLOOKUP($E11,JOGOS!$B$11:$K$84,7,FALSE))</f>
        <v/>
      </c>
      <c r="L11" s="87" t="s">
        <v>16</v>
      </c>
      <c r="M11" s="134" t="str">
        <f>IF(VLOOKUP($E11,JOGOS!$B$11:$K$84,9,FALSE)="","",VLOOKUP($E11,JOGOS!$B$11:$K$84,9,FALSE))</f>
        <v/>
      </c>
      <c r="N11" s="126" t="str">
        <f>$B$7</f>
        <v>Rússia</v>
      </c>
      <c r="O11" s="135"/>
      <c r="S11" s="87">
        <f t="shared" si="0"/>
        <v>0</v>
      </c>
      <c r="T11" s="87">
        <f t="shared" si="1"/>
        <v>0</v>
      </c>
      <c r="U11" s="87">
        <f t="shared" si="2"/>
        <v>0</v>
      </c>
      <c r="V11" s="137">
        <v>4.0000000000000002E-4</v>
      </c>
      <c r="W11" s="138">
        <f t="shared" si="6"/>
        <v>-99999999.999599993</v>
      </c>
      <c r="X11" s="137">
        <f>RANK(W11,$W$11:$W$14)</f>
        <v>1</v>
      </c>
      <c r="Y11" s="137" t="str">
        <f>$B$11</f>
        <v>Portugal</v>
      </c>
      <c r="Z11" s="137">
        <f t="shared" si="8"/>
        <v>0</v>
      </c>
      <c r="AA11" s="137">
        <f t="shared" si="9"/>
        <v>0</v>
      </c>
      <c r="AB11" s="137">
        <f t="shared" si="10"/>
        <v>0</v>
      </c>
      <c r="AC11" s="137">
        <f t="shared" si="3"/>
        <v>0</v>
      </c>
      <c r="AD11" s="137">
        <f t="shared" si="11"/>
        <v>0</v>
      </c>
      <c r="AE11" s="137">
        <f t="shared" si="12"/>
        <v>0</v>
      </c>
      <c r="AF11" s="137">
        <f t="shared" si="13"/>
        <v>0</v>
      </c>
      <c r="AG11" s="137">
        <f t="shared" si="14"/>
        <v>0</v>
      </c>
      <c r="AH11" s="139">
        <f>CLASSIFICAÇÃO!Z7</f>
        <v>0</v>
      </c>
      <c r="AI11" s="140"/>
      <c r="AJ11" s="204" t="s">
        <v>32</v>
      </c>
      <c r="AK11" s="137">
        <v>1</v>
      </c>
      <c r="AL11" s="137" t="str">
        <f>VLOOKUP($AK11,$X$11:$AI$14,Y$5,FALSE)</f>
        <v>Portugal</v>
      </c>
      <c r="AM11" s="140">
        <f t="shared" ref="AM11:AT11" si="28">VLOOKUP($AK11,$X$11:$AI$14,Z$5,FALSE)</f>
        <v>0</v>
      </c>
      <c r="AN11" s="137">
        <f t="shared" si="28"/>
        <v>0</v>
      </c>
      <c r="AO11" s="137">
        <f t="shared" si="28"/>
        <v>0</v>
      </c>
      <c r="AP11" s="137">
        <f t="shared" si="28"/>
        <v>0</v>
      </c>
      <c r="AQ11" s="137">
        <f t="shared" si="28"/>
        <v>0</v>
      </c>
      <c r="AR11" s="137">
        <f t="shared" si="28"/>
        <v>0</v>
      </c>
      <c r="AS11" s="137">
        <f t="shared" si="28"/>
        <v>0</v>
      </c>
      <c r="AT11" s="137">
        <f t="shared" si="28"/>
        <v>0</v>
      </c>
      <c r="AU11" s="87">
        <f t="shared" si="24"/>
        <v>0</v>
      </c>
      <c r="AV11" s="87">
        <f>IF(AND(COUNTIF(AU$11:AU$14,AU11)&gt;1,AI$14=12),1,0)</f>
        <v>0</v>
      </c>
      <c r="AW11" s="87">
        <f t="shared" si="26"/>
        <v>9</v>
      </c>
      <c r="AX11" s="87">
        <f t="shared" si="27"/>
        <v>9</v>
      </c>
      <c r="AY11" s="87">
        <f>IF(AM11&gt;LARGE(AX12:AX14,1),3,IF(AM11&gt;LARGE(AX12:AX14,2),1,0))</f>
        <v>0</v>
      </c>
      <c r="AZ11" s="134">
        <f t="shared" ref="AZ11" si="29">IF(AI14=12,3,0)</f>
        <v>0</v>
      </c>
      <c r="BA11" s="87">
        <f t="shared" ref="BA11:BA12" si="30">IF(VLOOKUP(AL11,$Y$7:$AV$38,24,FALSE)&lt;&gt;1,MAX(AY11:AZ11),MIN(AY11:AZ11))</f>
        <v>0</v>
      </c>
      <c r="BF11" s="87">
        <v>5</v>
      </c>
      <c r="BG11" s="87" t="s">
        <v>9</v>
      </c>
    </row>
    <row r="12" spans="1:59" x14ac:dyDescent="0.2">
      <c r="A12" s="87" t="s">
        <v>29</v>
      </c>
      <c r="B12" s="87" t="str">
        <f t="shared" si="5"/>
        <v>Espanha</v>
      </c>
      <c r="C12" s="87">
        <v>6</v>
      </c>
      <c r="D12" s="123" t="s">
        <v>116</v>
      </c>
      <c r="E12" s="123">
        <v>34</v>
      </c>
      <c r="F12" s="133">
        <v>43276</v>
      </c>
      <c r="G12" s="124">
        <v>0.45833333333333331</v>
      </c>
      <c r="H12" s="123" t="s">
        <v>185</v>
      </c>
      <c r="I12" s="87" t="s">
        <v>20</v>
      </c>
      <c r="J12" s="125" t="str">
        <f>$B$8</f>
        <v>Arábia Saudita</v>
      </c>
      <c r="K12" s="134" t="str">
        <f>IF(VLOOKUP($E12,JOGOS!$B$11:$K$84,7,FALSE)="","",VLOOKUP($E12,JOGOS!$B$11:$K$84,7,FALSE))</f>
        <v/>
      </c>
      <c r="L12" s="87" t="s">
        <v>16</v>
      </c>
      <c r="M12" s="134" t="str">
        <f>IF(VLOOKUP($E12,JOGOS!$B$11:$K$84,9,FALSE)="","",VLOOKUP($E12,JOGOS!$B$11:$K$84,9,FALSE))</f>
        <v/>
      </c>
      <c r="N12" s="126" t="str">
        <f>$B$9</f>
        <v>Egito</v>
      </c>
      <c r="O12" s="135"/>
      <c r="S12" s="87">
        <f t="shared" si="0"/>
        <v>0</v>
      </c>
      <c r="T12" s="87">
        <f t="shared" si="1"/>
        <v>0</v>
      </c>
      <c r="U12" s="87">
        <f t="shared" si="2"/>
        <v>0</v>
      </c>
      <c r="V12" s="137">
        <v>2.9999999999999997E-4</v>
      </c>
      <c r="W12" s="138">
        <f t="shared" si="6"/>
        <v>-99999999.999699995</v>
      </c>
      <c r="X12" s="137">
        <f t="shared" ref="X12:X14" si="31">RANK(W12,$W$11:$W$14)</f>
        <v>2</v>
      </c>
      <c r="Y12" s="137" t="str">
        <f>$B$12</f>
        <v>Espanha</v>
      </c>
      <c r="Z12" s="140">
        <f t="shared" si="8"/>
        <v>0</v>
      </c>
      <c r="AA12" s="137">
        <f t="shared" si="9"/>
        <v>0</v>
      </c>
      <c r="AB12" s="137">
        <f t="shared" si="10"/>
        <v>0</v>
      </c>
      <c r="AC12" s="137">
        <f t="shared" si="3"/>
        <v>0</v>
      </c>
      <c r="AD12" s="137">
        <f t="shared" si="11"/>
        <v>0</v>
      </c>
      <c r="AE12" s="137">
        <f t="shared" si="12"/>
        <v>0</v>
      </c>
      <c r="AF12" s="137">
        <f t="shared" si="13"/>
        <v>0</v>
      </c>
      <c r="AG12" s="137">
        <f t="shared" si="14"/>
        <v>0</v>
      </c>
      <c r="AH12" s="139">
        <f>CLASSIFICAÇÃO!Z8</f>
        <v>0</v>
      </c>
      <c r="AI12" s="140"/>
      <c r="AJ12" s="204"/>
      <c r="AK12" s="137">
        <v>2</v>
      </c>
      <c r="AL12" s="137" t="str">
        <f t="shared" ref="AL12:AL14" si="32">VLOOKUP($AK12,$X$11:$AI$14,Y$5,FALSE)</f>
        <v>Espanha</v>
      </c>
      <c r="AM12" s="137">
        <f t="shared" ref="AM12:AM14" si="33">VLOOKUP($AK12,$X$11:$AI$14,Z$5,FALSE)</f>
        <v>0</v>
      </c>
      <c r="AN12" s="137">
        <f t="shared" ref="AN12:AN14" si="34">VLOOKUP($AK12,$X$11:$AI$14,AA$5,FALSE)</f>
        <v>0</v>
      </c>
      <c r="AO12" s="137">
        <f t="shared" ref="AO12:AO14" si="35">VLOOKUP($AK12,$X$11:$AI$14,AB$5,FALSE)</f>
        <v>0</v>
      </c>
      <c r="AP12" s="137">
        <f t="shared" ref="AP12:AP14" si="36">VLOOKUP($AK12,$X$11:$AI$14,AC$5,FALSE)</f>
        <v>0</v>
      </c>
      <c r="AQ12" s="137">
        <f t="shared" ref="AQ12:AQ14" si="37">VLOOKUP($AK12,$X$11:$AI$14,AD$5,FALSE)</f>
        <v>0</v>
      </c>
      <c r="AR12" s="137">
        <f t="shared" ref="AR12:AR14" si="38">VLOOKUP($AK12,$X$11:$AI$14,AE$5,FALSE)</f>
        <v>0</v>
      </c>
      <c r="AS12" s="137">
        <f t="shared" ref="AS12:AS14" si="39">VLOOKUP($AK12,$X$11:$AI$14,AF$5,FALSE)</f>
        <v>0</v>
      </c>
      <c r="AT12" s="137">
        <f t="shared" ref="AT12:AT14" si="40">VLOOKUP($AK12,$X$11:$AI$14,AG$5,FALSE)</f>
        <v>0</v>
      </c>
      <c r="AU12" s="87">
        <f t="shared" si="24"/>
        <v>0</v>
      </c>
      <c r="AV12" s="87">
        <f t="shared" ref="AV12:AV14" si="41">IF(AND(COUNTIF(AU$11:AU$14,AU12)&gt;1,AI$14=12),1,0)</f>
        <v>0</v>
      </c>
      <c r="AW12" s="87">
        <f t="shared" si="26"/>
        <v>9</v>
      </c>
      <c r="AX12" s="87">
        <f t="shared" si="27"/>
        <v>9</v>
      </c>
      <c r="AY12" s="87">
        <f>IF(AND(AX12&lt;AM11,AM12&gt;LARGE(AX13:AX14,1)),2,IF(AM12&gt;LARGE(AX13:AX14,1),1,0))</f>
        <v>0</v>
      </c>
      <c r="AZ12" s="134">
        <f t="shared" ref="AZ12" si="42">IF(AI14=12,2,0)</f>
        <v>0</v>
      </c>
      <c r="BA12" s="87">
        <f t="shared" si="30"/>
        <v>0</v>
      </c>
      <c r="BF12" s="87">
        <v>6</v>
      </c>
      <c r="BG12" s="87" t="s">
        <v>69</v>
      </c>
    </row>
    <row r="13" spans="1:59" x14ac:dyDescent="0.2">
      <c r="A13" s="87" t="s">
        <v>30</v>
      </c>
      <c r="B13" s="87" t="str">
        <f t="shared" si="5"/>
        <v>Marrocos</v>
      </c>
      <c r="C13" s="87">
        <v>7</v>
      </c>
      <c r="D13" s="123" t="s">
        <v>129</v>
      </c>
      <c r="E13" s="123">
        <v>3</v>
      </c>
      <c r="F13" s="133">
        <v>43266</v>
      </c>
      <c r="G13" s="124">
        <v>0.625</v>
      </c>
      <c r="H13" s="123" t="s">
        <v>186</v>
      </c>
      <c r="I13" s="87" t="s">
        <v>32</v>
      </c>
      <c r="J13" s="125" t="str">
        <f>$B$11</f>
        <v>Portugal</v>
      </c>
      <c r="K13" s="134" t="str">
        <f>IF(VLOOKUP($E13,JOGOS!$B$11:$K$84,7,FALSE)="","",VLOOKUP($E13,JOGOS!$B$11:$K$84,7,FALSE))</f>
        <v/>
      </c>
      <c r="L13" s="87" t="s">
        <v>16</v>
      </c>
      <c r="M13" s="134" t="str">
        <f>IF(VLOOKUP($E13,JOGOS!$B$11:$K$84,9,FALSE)="","",VLOOKUP($E13,JOGOS!$B$11:$K$84,9,FALSE))</f>
        <v/>
      </c>
      <c r="N13" s="126" t="str">
        <f>$B$12</f>
        <v>Espanha</v>
      </c>
      <c r="O13" s="135"/>
      <c r="S13" s="87">
        <f t="shared" si="0"/>
        <v>0</v>
      </c>
      <c r="T13" s="87">
        <f t="shared" si="1"/>
        <v>0</v>
      </c>
      <c r="U13" s="87">
        <f t="shared" si="2"/>
        <v>0</v>
      </c>
      <c r="V13" s="137">
        <v>2.0000000000000001E-4</v>
      </c>
      <c r="W13" s="138">
        <f t="shared" si="6"/>
        <v>-99999999.999799997</v>
      </c>
      <c r="X13" s="137">
        <f t="shared" si="31"/>
        <v>3</v>
      </c>
      <c r="Y13" s="137" t="str">
        <f>$B$13</f>
        <v>Marrocos</v>
      </c>
      <c r="Z13" s="137">
        <f t="shared" si="8"/>
        <v>0</v>
      </c>
      <c r="AA13" s="137">
        <f t="shared" si="9"/>
        <v>0</v>
      </c>
      <c r="AB13" s="137">
        <f t="shared" si="10"/>
        <v>0</v>
      </c>
      <c r="AC13" s="137">
        <f t="shared" si="3"/>
        <v>0</v>
      </c>
      <c r="AD13" s="137">
        <f t="shared" si="11"/>
        <v>0</v>
      </c>
      <c r="AE13" s="137">
        <f t="shared" si="12"/>
        <v>0</v>
      </c>
      <c r="AF13" s="137">
        <f t="shared" si="13"/>
        <v>0</v>
      </c>
      <c r="AG13" s="137">
        <f t="shared" si="14"/>
        <v>0</v>
      </c>
      <c r="AH13" s="139">
        <f>CLASSIFICAÇÃO!Z9</f>
        <v>0</v>
      </c>
      <c r="AI13" s="137"/>
      <c r="AJ13" s="204" t="s">
        <v>32</v>
      </c>
      <c r="AK13" s="137">
        <v>3</v>
      </c>
      <c r="AL13" s="137" t="str">
        <f t="shared" si="32"/>
        <v>Marrocos</v>
      </c>
      <c r="AM13" s="137">
        <f t="shared" si="33"/>
        <v>0</v>
      </c>
      <c r="AN13" s="137">
        <f t="shared" si="34"/>
        <v>0</v>
      </c>
      <c r="AO13" s="137">
        <f t="shared" si="35"/>
        <v>0</v>
      </c>
      <c r="AP13" s="137">
        <f t="shared" si="36"/>
        <v>0</v>
      </c>
      <c r="AQ13" s="137">
        <f t="shared" si="37"/>
        <v>0</v>
      </c>
      <c r="AR13" s="137">
        <f t="shared" si="38"/>
        <v>0</v>
      </c>
      <c r="AS13" s="137">
        <f t="shared" si="39"/>
        <v>0</v>
      </c>
      <c r="AT13" s="137">
        <f t="shared" si="40"/>
        <v>0</v>
      </c>
      <c r="AU13" s="87">
        <f t="shared" si="24"/>
        <v>0</v>
      </c>
      <c r="AV13" s="87">
        <f t="shared" si="41"/>
        <v>0</v>
      </c>
      <c r="AW13" s="87">
        <f t="shared" si="26"/>
        <v>9</v>
      </c>
      <c r="AX13" s="87">
        <f t="shared" si="27"/>
        <v>9</v>
      </c>
      <c r="AY13" s="87">
        <f>IF(AX13&lt;SMALL(AM11:AM12,1),-1,0)</f>
        <v>0</v>
      </c>
      <c r="AZ13" s="134">
        <f t="shared" ref="AZ13" si="43">IF(AI14=12,-1,0)</f>
        <v>0</v>
      </c>
      <c r="BA13" s="87">
        <f t="shared" ref="BA13:BA14" si="44">IF(VLOOKUP(AL13,$Y$7:$AV$38,24,FALSE)&lt;&gt;1,MIN(AY13:AZ13),MAX(AY13:AZ13))</f>
        <v>0</v>
      </c>
      <c r="BF13" s="87">
        <v>7</v>
      </c>
      <c r="BG13" s="87" t="s">
        <v>19</v>
      </c>
    </row>
    <row r="14" spans="1:59" x14ac:dyDescent="0.2">
      <c r="A14" s="87" t="s">
        <v>31</v>
      </c>
      <c r="B14" s="87" t="str">
        <f t="shared" si="5"/>
        <v>Irã</v>
      </c>
      <c r="C14" s="87">
        <v>8</v>
      </c>
      <c r="D14" s="123" t="s">
        <v>130</v>
      </c>
      <c r="E14" s="123">
        <v>4</v>
      </c>
      <c r="F14" s="133">
        <v>43266</v>
      </c>
      <c r="G14" s="124">
        <v>0.5</v>
      </c>
      <c r="H14" s="123" t="s">
        <v>182</v>
      </c>
      <c r="I14" s="87" t="s">
        <v>32</v>
      </c>
      <c r="J14" s="125" t="str">
        <f>$B$13</f>
        <v>Marrocos</v>
      </c>
      <c r="K14" s="134" t="str">
        <f>IF(VLOOKUP($E14,JOGOS!$B$11:$K$84,7,FALSE)="","",VLOOKUP($E14,JOGOS!$B$11:$K$84,7,FALSE))</f>
        <v/>
      </c>
      <c r="L14" s="87" t="s">
        <v>16</v>
      </c>
      <c r="M14" s="134" t="str">
        <f>IF(VLOOKUP($E14,JOGOS!$B$11:$K$84,9,FALSE)="","",VLOOKUP($E14,JOGOS!$B$11:$K$84,9,FALSE))</f>
        <v/>
      </c>
      <c r="N14" s="126" t="str">
        <f>$B$14</f>
        <v>Irã</v>
      </c>
      <c r="O14" s="135"/>
      <c r="S14" s="87">
        <f t="shared" si="0"/>
        <v>0</v>
      </c>
      <c r="T14" s="87">
        <f t="shared" si="1"/>
        <v>0</v>
      </c>
      <c r="U14" s="87">
        <f t="shared" si="2"/>
        <v>0</v>
      </c>
      <c r="V14" s="141">
        <v>1E-4</v>
      </c>
      <c r="W14" s="142">
        <f t="shared" si="6"/>
        <v>-99999999.999899998</v>
      </c>
      <c r="X14" s="141">
        <f t="shared" si="31"/>
        <v>4</v>
      </c>
      <c r="Y14" s="141" t="str">
        <f>$B$14</f>
        <v>Irã</v>
      </c>
      <c r="Z14" s="141">
        <f t="shared" si="8"/>
        <v>0</v>
      </c>
      <c r="AA14" s="141">
        <f t="shared" si="9"/>
        <v>0</v>
      </c>
      <c r="AB14" s="141">
        <f t="shared" si="10"/>
        <v>0</v>
      </c>
      <c r="AC14" s="141">
        <f t="shared" si="3"/>
        <v>0</v>
      </c>
      <c r="AD14" s="141">
        <f t="shared" si="11"/>
        <v>0</v>
      </c>
      <c r="AE14" s="141">
        <f t="shared" si="12"/>
        <v>0</v>
      </c>
      <c r="AF14" s="141">
        <f t="shared" si="13"/>
        <v>0</v>
      </c>
      <c r="AG14" s="141">
        <f t="shared" si="14"/>
        <v>0</v>
      </c>
      <c r="AH14" s="143">
        <f>CLASSIFICAÇÃO!Z10</f>
        <v>0</v>
      </c>
      <c r="AI14" s="141">
        <f>SUM(AA11:AA14)</f>
        <v>0</v>
      </c>
      <c r="AJ14" s="205"/>
      <c r="AK14" s="141">
        <v>4</v>
      </c>
      <c r="AL14" s="141" t="str">
        <f t="shared" si="32"/>
        <v>Irã</v>
      </c>
      <c r="AM14" s="141">
        <f t="shared" si="33"/>
        <v>0</v>
      </c>
      <c r="AN14" s="141">
        <f t="shared" si="34"/>
        <v>0</v>
      </c>
      <c r="AO14" s="141">
        <f t="shared" si="35"/>
        <v>0</v>
      </c>
      <c r="AP14" s="141">
        <f t="shared" si="36"/>
        <v>0</v>
      </c>
      <c r="AQ14" s="141">
        <f t="shared" si="37"/>
        <v>0</v>
      </c>
      <c r="AR14" s="141">
        <f t="shared" si="38"/>
        <v>0</v>
      </c>
      <c r="AS14" s="141">
        <f t="shared" si="39"/>
        <v>0</v>
      </c>
      <c r="AT14" s="141">
        <f t="shared" si="40"/>
        <v>0</v>
      </c>
      <c r="AU14" s="141">
        <f t="shared" si="24"/>
        <v>0</v>
      </c>
      <c r="AV14" s="141">
        <f t="shared" si="41"/>
        <v>0</v>
      </c>
      <c r="AW14" s="141">
        <f t="shared" si="26"/>
        <v>9</v>
      </c>
      <c r="AX14" s="141">
        <f t="shared" si="27"/>
        <v>9</v>
      </c>
      <c r="AY14" s="141">
        <f>IF(AX14&lt;SMALL(AM11:AM13,2),-1,0)</f>
        <v>0</v>
      </c>
      <c r="AZ14" s="143">
        <f t="shared" ref="AZ14" si="45">IF(AI14=12,-1,0)</f>
        <v>0</v>
      </c>
      <c r="BA14" s="141">
        <f t="shared" si="44"/>
        <v>0</v>
      </c>
      <c r="BF14" s="87">
        <v>8</v>
      </c>
      <c r="BG14" s="87" t="s">
        <v>149</v>
      </c>
    </row>
    <row r="15" spans="1:59" x14ac:dyDescent="0.2">
      <c r="A15" s="87" t="s">
        <v>70</v>
      </c>
      <c r="B15" s="87" t="str">
        <f t="shared" si="5"/>
        <v>França</v>
      </c>
      <c r="C15" s="87">
        <v>9</v>
      </c>
      <c r="D15" s="123" t="s">
        <v>131</v>
      </c>
      <c r="E15" s="123">
        <v>19</v>
      </c>
      <c r="F15" s="133">
        <v>43271</v>
      </c>
      <c r="G15" s="124">
        <v>0.375</v>
      </c>
      <c r="H15" s="123" t="s">
        <v>180</v>
      </c>
      <c r="I15" s="87" t="s">
        <v>32</v>
      </c>
      <c r="J15" s="125" t="str">
        <f>$B$11</f>
        <v>Portugal</v>
      </c>
      <c r="K15" s="134" t="str">
        <f>IF(VLOOKUP($E15,JOGOS!$B$11:$K$84,7,FALSE)="","",VLOOKUP($E15,JOGOS!$B$11:$K$84,7,FALSE))</f>
        <v/>
      </c>
      <c r="L15" s="87" t="s">
        <v>16</v>
      </c>
      <c r="M15" s="134" t="str">
        <f>IF(VLOOKUP($E15,JOGOS!$B$11:$K$84,9,FALSE)="","",VLOOKUP($E15,JOGOS!$B$11:$K$84,9,FALSE))</f>
        <v/>
      </c>
      <c r="N15" s="126" t="str">
        <f>$B$13</f>
        <v>Marrocos</v>
      </c>
      <c r="O15" s="135"/>
      <c r="S15" s="87">
        <f t="shared" si="0"/>
        <v>0</v>
      </c>
      <c r="T15" s="87">
        <f t="shared" si="1"/>
        <v>0</v>
      </c>
      <c r="U15" s="87">
        <f t="shared" si="2"/>
        <v>0</v>
      </c>
      <c r="V15" s="137">
        <v>4.0000000000000002E-4</v>
      </c>
      <c r="W15" s="138">
        <f t="shared" si="6"/>
        <v>-99999999.999599993</v>
      </c>
      <c r="X15" s="137">
        <f>RANK(W15,$W$15:$W$18)</f>
        <v>1</v>
      </c>
      <c r="Y15" s="137" t="str">
        <f>$B$15</f>
        <v>França</v>
      </c>
      <c r="Z15" s="137">
        <f t="shared" si="8"/>
        <v>0</v>
      </c>
      <c r="AA15" s="137">
        <f t="shared" si="9"/>
        <v>0</v>
      </c>
      <c r="AB15" s="137">
        <f t="shared" si="10"/>
        <v>0</v>
      </c>
      <c r="AC15" s="137">
        <f t="shared" si="3"/>
        <v>0</v>
      </c>
      <c r="AD15" s="137">
        <f t="shared" si="11"/>
        <v>0</v>
      </c>
      <c r="AE15" s="137">
        <f t="shared" si="12"/>
        <v>0</v>
      </c>
      <c r="AF15" s="137">
        <f t="shared" si="13"/>
        <v>0</v>
      </c>
      <c r="AG15" s="137">
        <f t="shared" si="14"/>
        <v>0</v>
      </c>
      <c r="AH15" s="139">
        <f>CLASSIFICAÇÃO!M13</f>
        <v>0</v>
      </c>
      <c r="AI15" s="140"/>
      <c r="AJ15" s="204" t="s">
        <v>5</v>
      </c>
      <c r="AK15" s="137">
        <v>1</v>
      </c>
      <c r="AL15" s="137" t="str">
        <f>VLOOKUP($AK15,$X$15:$AI$18,Y$5,FALSE)</f>
        <v>França</v>
      </c>
      <c r="AM15" s="140">
        <f t="shared" ref="AM15:AT15" si="46">VLOOKUP($AK15,$X$15:$AI$18,Z$5,FALSE)</f>
        <v>0</v>
      </c>
      <c r="AN15" s="137">
        <f t="shared" si="46"/>
        <v>0</v>
      </c>
      <c r="AO15" s="137">
        <f t="shared" si="46"/>
        <v>0</v>
      </c>
      <c r="AP15" s="137">
        <f t="shared" si="46"/>
        <v>0</v>
      </c>
      <c r="AQ15" s="137">
        <f t="shared" si="46"/>
        <v>0</v>
      </c>
      <c r="AR15" s="137">
        <f t="shared" si="46"/>
        <v>0</v>
      </c>
      <c r="AS15" s="137">
        <f t="shared" si="46"/>
        <v>0</v>
      </c>
      <c r="AT15" s="137">
        <f t="shared" si="46"/>
        <v>0</v>
      </c>
      <c r="AU15" s="87">
        <f t="shared" si="24"/>
        <v>0</v>
      </c>
      <c r="AV15" s="87">
        <f>IF(AND(COUNTIF(AU$15:AU$18,AU15)&gt;1,AI$18=12),1,0)</f>
        <v>0</v>
      </c>
      <c r="AW15" s="87">
        <f t="shared" si="26"/>
        <v>9</v>
      </c>
      <c r="AX15" s="87">
        <f t="shared" si="27"/>
        <v>9</v>
      </c>
      <c r="AY15" s="87">
        <f>IF(AM15&gt;LARGE(AX16:AX18,1),3,IF(AM15&gt;LARGE(AX16:AX18,2),1,0))</f>
        <v>0</v>
      </c>
      <c r="AZ15" s="134">
        <f t="shared" ref="AZ15" si="47">IF(AI18=12,3,0)</f>
        <v>0</v>
      </c>
      <c r="BA15" s="87">
        <f t="shared" ref="BA15:BA16" si="48">IF(VLOOKUP(AL15,$Y$7:$AV$38,24,FALSE)&lt;&gt;1,MAX(AY15:AZ15),MIN(AY15:AZ15))</f>
        <v>0</v>
      </c>
      <c r="BF15" s="87">
        <v>9</v>
      </c>
      <c r="BG15" s="87" t="s">
        <v>193</v>
      </c>
    </row>
    <row r="16" spans="1:59" x14ac:dyDescent="0.2">
      <c r="A16" s="87" t="s">
        <v>71</v>
      </c>
      <c r="B16" s="87" t="str">
        <f t="shared" si="5"/>
        <v>Austrália</v>
      </c>
      <c r="C16" s="87">
        <v>10</v>
      </c>
      <c r="D16" s="123" t="s">
        <v>117</v>
      </c>
      <c r="E16" s="123">
        <v>20</v>
      </c>
      <c r="F16" s="133">
        <v>43271</v>
      </c>
      <c r="G16" s="124">
        <v>0.625</v>
      </c>
      <c r="H16" s="123" t="s">
        <v>187</v>
      </c>
      <c r="I16" s="87" t="s">
        <v>32</v>
      </c>
      <c r="J16" s="125" t="str">
        <f t="shared" ref="J16:J17" si="49">$B$14</f>
        <v>Irã</v>
      </c>
      <c r="K16" s="134" t="str">
        <f>IF(VLOOKUP($E16,JOGOS!$B$11:$K$84,7,FALSE)="","",VLOOKUP($E16,JOGOS!$B$11:$K$84,7,FALSE))</f>
        <v/>
      </c>
      <c r="L16" s="87" t="s">
        <v>16</v>
      </c>
      <c r="M16" s="134" t="str">
        <f>IF(VLOOKUP($E16,JOGOS!$B$11:$K$84,9,FALSE)="","",VLOOKUP($E16,JOGOS!$B$11:$K$84,9,FALSE))</f>
        <v/>
      </c>
      <c r="N16" s="126" t="str">
        <f>$B$12</f>
        <v>Espanha</v>
      </c>
      <c r="O16" s="135"/>
      <c r="S16" s="87">
        <f t="shared" si="0"/>
        <v>0</v>
      </c>
      <c r="T16" s="87">
        <f t="shared" si="1"/>
        <v>0</v>
      </c>
      <c r="U16" s="87">
        <f t="shared" si="2"/>
        <v>0</v>
      </c>
      <c r="V16" s="137">
        <v>2.9999999999999997E-4</v>
      </c>
      <c r="W16" s="138">
        <f t="shared" si="6"/>
        <v>-99999999.999699995</v>
      </c>
      <c r="X16" s="137">
        <f t="shared" ref="X16:X18" si="50">RANK(W16,$W$15:$W$18)</f>
        <v>2</v>
      </c>
      <c r="Y16" s="137" t="str">
        <f>$B$16</f>
        <v>Austrália</v>
      </c>
      <c r="Z16" s="140">
        <f t="shared" si="8"/>
        <v>0</v>
      </c>
      <c r="AA16" s="137">
        <f t="shared" si="9"/>
        <v>0</v>
      </c>
      <c r="AB16" s="137">
        <f t="shared" si="10"/>
        <v>0</v>
      </c>
      <c r="AC16" s="137">
        <f t="shared" si="3"/>
        <v>0</v>
      </c>
      <c r="AD16" s="137">
        <f t="shared" si="11"/>
        <v>0</v>
      </c>
      <c r="AE16" s="137">
        <f t="shared" si="12"/>
        <v>0</v>
      </c>
      <c r="AF16" s="137">
        <f t="shared" si="13"/>
        <v>0</v>
      </c>
      <c r="AG16" s="137">
        <f t="shared" si="14"/>
        <v>0</v>
      </c>
      <c r="AH16" s="139">
        <f>CLASSIFICAÇÃO!M14</f>
        <v>0</v>
      </c>
      <c r="AI16" s="140"/>
      <c r="AJ16" s="204"/>
      <c r="AK16" s="137">
        <v>2</v>
      </c>
      <c r="AL16" s="137" t="str">
        <f t="shared" ref="AL16:AL18" si="51">VLOOKUP($AK16,$X$15:$AI$18,Y$5,FALSE)</f>
        <v>Austrália</v>
      </c>
      <c r="AM16" s="137">
        <f t="shared" ref="AM16:AM18" si="52">VLOOKUP($AK16,$X$15:$AI$18,Z$5,FALSE)</f>
        <v>0</v>
      </c>
      <c r="AN16" s="137">
        <f t="shared" ref="AN16:AN18" si="53">VLOOKUP($AK16,$X$15:$AI$18,AA$5,FALSE)</f>
        <v>0</v>
      </c>
      <c r="AO16" s="137">
        <f t="shared" ref="AO16:AO18" si="54">VLOOKUP($AK16,$X$15:$AI$18,AB$5,FALSE)</f>
        <v>0</v>
      </c>
      <c r="AP16" s="137">
        <f t="shared" ref="AP16:AP18" si="55">VLOOKUP($AK16,$X$15:$AI$18,AC$5,FALSE)</f>
        <v>0</v>
      </c>
      <c r="AQ16" s="137">
        <f t="shared" ref="AQ16:AQ18" si="56">VLOOKUP($AK16,$X$15:$AI$18,AD$5,FALSE)</f>
        <v>0</v>
      </c>
      <c r="AR16" s="137">
        <f t="shared" ref="AR16:AR18" si="57">VLOOKUP($AK16,$X$15:$AI$18,AE$5,FALSE)</f>
        <v>0</v>
      </c>
      <c r="AS16" s="137">
        <f t="shared" ref="AS16:AS18" si="58">VLOOKUP($AK16,$X$15:$AI$18,AF$5,FALSE)</f>
        <v>0</v>
      </c>
      <c r="AT16" s="137">
        <f t="shared" ref="AT16:AT18" si="59">VLOOKUP($AK16,$X$15:$AI$18,AG$5,FALSE)</f>
        <v>0</v>
      </c>
      <c r="AU16" s="87">
        <f t="shared" si="24"/>
        <v>0</v>
      </c>
      <c r="AV16" s="87">
        <f t="shared" ref="AV16:AV18" si="60">IF(AND(COUNTIF(AU$15:AU$18,AU16)&gt;1,AI$18=12),1,0)</f>
        <v>0</v>
      </c>
      <c r="AW16" s="87">
        <f t="shared" si="26"/>
        <v>9</v>
      </c>
      <c r="AX16" s="87">
        <f t="shared" si="27"/>
        <v>9</v>
      </c>
      <c r="AY16" s="87">
        <f>IF(AND(AX16&lt;AM15,AM16&gt;LARGE(AX17:AX18,1)),2,IF(AM16&gt;LARGE(AX17:AX18,1),1,0))</f>
        <v>0</v>
      </c>
      <c r="AZ16" s="134">
        <f t="shared" ref="AZ16" si="61">IF(AI18=12,2,0)</f>
        <v>0</v>
      </c>
      <c r="BA16" s="87">
        <f t="shared" si="48"/>
        <v>0</v>
      </c>
    </row>
    <row r="17" spans="1:53" x14ac:dyDescent="0.2">
      <c r="A17" s="87" t="s">
        <v>72</v>
      </c>
      <c r="B17" s="87" t="str">
        <f t="shared" si="5"/>
        <v>Peru</v>
      </c>
      <c r="C17" s="87">
        <v>11</v>
      </c>
      <c r="D17" s="123" t="s">
        <v>169</v>
      </c>
      <c r="E17" s="123">
        <v>35</v>
      </c>
      <c r="F17" s="133">
        <v>43276</v>
      </c>
      <c r="G17" s="124">
        <v>0.625</v>
      </c>
      <c r="H17" s="123" t="s">
        <v>188</v>
      </c>
      <c r="I17" s="87" t="s">
        <v>32</v>
      </c>
      <c r="J17" s="125" t="str">
        <f t="shared" si="49"/>
        <v>Irã</v>
      </c>
      <c r="K17" s="134" t="str">
        <f>IF(VLOOKUP($E17,JOGOS!$B$11:$K$84,7,FALSE)="","",VLOOKUP($E17,JOGOS!$B$11:$K$84,7,FALSE))</f>
        <v/>
      </c>
      <c r="L17" s="87" t="s">
        <v>16</v>
      </c>
      <c r="M17" s="134" t="str">
        <f>IF(VLOOKUP($E17,JOGOS!$B$11:$K$84,9,FALSE)="","",VLOOKUP($E17,JOGOS!$B$11:$K$84,9,FALSE))</f>
        <v/>
      </c>
      <c r="N17" s="126" t="str">
        <f>$B$11</f>
        <v>Portugal</v>
      </c>
      <c r="O17" s="135"/>
      <c r="S17" s="87">
        <f t="shared" si="0"/>
        <v>0</v>
      </c>
      <c r="T17" s="87">
        <f t="shared" si="1"/>
        <v>0</v>
      </c>
      <c r="U17" s="87">
        <f t="shared" si="2"/>
        <v>0</v>
      </c>
      <c r="V17" s="137">
        <v>2.0000000000000001E-4</v>
      </c>
      <c r="W17" s="138">
        <f t="shared" si="6"/>
        <v>-99999999.999799997</v>
      </c>
      <c r="X17" s="137">
        <f t="shared" si="50"/>
        <v>3</v>
      </c>
      <c r="Y17" s="137" t="str">
        <f>$B$17</f>
        <v>Peru</v>
      </c>
      <c r="Z17" s="137">
        <f t="shared" si="8"/>
        <v>0</v>
      </c>
      <c r="AA17" s="137">
        <f t="shared" si="9"/>
        <v>0</v>
      </c>
      <c r="AB17" s="137">
        <f t="shared" si="10"/>
        <v>0</v>
      </c>
      <c r="AC17" s="137">
        <f t="shared" si="3"/>
        <v>0</v>
      </c>
      <c r="AD17" s="137">
        <f t="shared" si="11"/>
        <v>0</v>
      </c>
      <c r="AE17" s="137">
        <f t="shared" si="12"/>
        <v>0</v>
      </c>
      <c r="AF17" s="137">
        <f t="shared" si="13"/>
        <v>0</v>
      </c>
      <c r="AG17" s="137">
        <f t="shared" si="14"/>
        <v>0</v>
      </c>
      <c r="AH17" s="139">
        <f>CLASSIFICAÇÃO!M15</f>
        <v>0</v>
      </c>
      <c r="AI17" s="137"/>
      <c r="AJ17" s="204"/>
      <c r="AK17" s="137">
        <v>3</v>
      </c>
      <c r="AL17" s="137" t="str">
        <f t="shared" si="51"/>
        <v>Peru</v>
      </c>
      <c r="AM17" s="137">
        <f t="shared" si="52"/>
        <v>0</v>
      </c>
      <c r="AN17" s="137">
        <f t="shared" si="53"/>
        <v>0</v>
      </c>
      <c r="AO17" s="137">
        <f t="shared" si="54"/>
        <v>0</v>
      </c>
      <c r="AP17" s="137">
        <f t="shared" si="55"/>
        <v>0</v>
      </c>
      <c r="AQ17" s="137">
        <f t="shared" si="56"/>
        <v>0</v>
      </c>
      <c r="AR17" s="137">
        <f t="shared" si="57"/>
        <v>0</v>
      </c>
      <c r="AS17" s="137">
        <f t="shared" si="58"/>
        <v>0</v>
      </c>
      <c r="AT17" s="137">
        <f t="shared" si="59"/>
        <v>0</v>
      </c>
      <c r="AU17" s="87">
        <f t="shared" si="24"/>
        <v>0</v>
      </c>
      <c r="AV17" s="87">
        <f t="shared" si="60"/>
        <v>0</v>
      </c>
      <c r="AW17" s="87">
        <f t="shared" si="26"/>
        <v>9</v>
      </c>
      <c r="AX17" s="87">
        <f t="shared" si="27"/>
        <v>9</v>
      </c>
      <c r="AY17" s="87">
        <f>IF(AX17&lt;SMALL(AM15:AM16,1),-1,0)</f>
        <v>0</v>
      </c>
      <c r="AZ17" s="134">
        <f t="shared" ref="AZ17" si="62">IF(AI18=12,-1,0)</f>
        <v>0</v>
      </c>
      <c r="BA17" s="87">
        <f t="shared" ref="BA17:BA18" si="63">IF(VLOOKUP(AL17,$Y$7:$AV$38,24,FALSE)&lt;&gt;1,MIN(AY17:AZ17),MAX(AY17:AZ17))</f>
        <v>0</v>
      </c>
    </row>
    <row r="18" spans="1:53" x14ac:dyDescent="0.2">
      <c r="A18" s="87" t="s">
        <v>73</v>
      </c>
      <c r="B18" s="87" t="str">
        <f t="shared" si="5"/>
        <v>Dinamarca</v>
      </c>
      <c r="C18" s="87">
        <v>12</v>
      </c>
      <c r="D18" s="123" t="s">
        <v>170</v>
      </c>
      <c r="E18" s="123">
        <v>36</v>
      </c>
      <c r="F18" s="133">
        <v>43276</v>
      </c>
      <c r="G18" s="124">
        <v>0.625</v>
      </c>
      <c r="H18" s="123" t="s">
        <v>189</v>
      </c>
      <c r="I18" s="87" t="s">
        <v>32</v>
      </c>
      <c r="J18" s="125" t="str">
        <f>$B$12</f>
        <v>Espanha</v>
      </c>
      <c r="K18" s="134" t="str">
        <f>IF(VLOOKUP($E18,JOGOS!$B$11:$K$84,7,FALSE)="","",VLOOKUP($E18,JOGOS!$B$11:$K$84,7,FALSE))</f>
        <v/>
      </c>
      <c r="L18" s="87" t="s">
        <v>16</v>
      </c>
      <c r="M18" s="134" t="str">
        <f>IF(VLOOKUP($E18,JOGOS!$B$11:$K$84,9,FALSE)="","",VLOOKUP($E18,JOGOS!$B$11:$K$84,9,FALSE))</f>
        <v/>
      </c>
      <c r="N18" s="126" t="str">
        <f>$B$13</f>
        <v>Marrocos</v>
      </c>
      <c r="O18" s="135"/>
      <c r="S18" s="87">
        <f t="shared" si="0"/>
        <v>0</v>
      </c>
      <c r="T18" s="87">
        <f t="shared" si="1"/>
        <v>0</v>
      </c>
      <c r="U18" s="87">
        <f t="shared" si="2"/>
        <v>0</v>
      </c>
      <c r="V18" s="141">
        <v>1E-4</v>
      </c>
      <c r="W18" s="142">
        <f t="shared" si="6"/>
        <v>-99999999.999899998</v>
      </c>
      <c r="X18" s="141">
        <f t="shared" si="50"/>
        <v>4</v>
      </c>
      <c r="Y18" s="141" t="str">
        <f>$B$18</f>
        <v>Dinamarca</v>
      </c>
      <c r="Z18" s="141">
        <f t="shared" si="8"/>
        <v>0</v>
      </c>
      <c r="AA18" s="141">
        <f t="shared" si="9"/>
        <v>0</v>
      </c>
      <c r="AB18" s="141">
        <f t="shared" si="10"/>
        <v>0</v>
      </c>
      <c r="AC18" s="141">
        <f t="shared" si="3"/>
        <v>0</v>
      </c>
      <c r="AD18" s="141">
        <f t="shared" si="11"/>
        <v>0</v>
      </c>
      <c r="AE18" s="141">
        <f t="shared" si="12"/>
        <v>0</v>
      </c>
      <c r="AF18" s="141">
        <f t="shared" si="13"/>
        <v>0</v>
      </c>
      <c r="AG18" s="141">
        <f t="shared" si="14"/>
        <v>0</v>
      </c>
      <c r="AH18" s="143">
        <f>CLASSIFICAÇÃO!M16</f>
        <v>0</v>
      </c>
      <c r="AI18" s="141">
        <f>SUM(AA15:AA18)</f>
        <v>0</v>
      </c>
      <c r="AJ18" s="205"/>
      <c r="AK18" s="141">
        <v>4</v>
      </c>
      <c r="AL18" s="141" t="str">
        <f t="shared" si="51"/>
        <v>Dinamarca</v>
      </c>
      <c r="AM18" s="141">
        <f t="shared" si="52"/>
        <v>0</v>
      </c>
      <c r="AN18" s="141">
        <f t="shared" si="53"/>
        <v>0</v>
      </c>
      <c r="AO18" s="141">
        <f t="shared" si="54"/>
        <v>0</v>
      </c>
      <c r="AP18" s="141">
        <f t="shared" si="55"/>
        <v>0</v>
      </c>
      <c r="AQ18" s="141">
        <f t="shared" si="56"/>
        <v>0</v>
      </c>
      <c r="AR18" s="141">
        <f t="shared" si="57"/>
        <v>0</v>
      </c>
      <c r="AS18" s="141">
        <f t="shared" si="58"/>
        <v>0</v>
      </c>
      <c r="AT18" s="141">
        <f t="shared" si="59"/>
        <v>0</v>
      </c>
      <c r="AU18" s="141">
        <f t="shared" si="24"/>
        <v>0</v>
      </c>
      <c r="AV18" s="141">
        <f t="shared" si="60"/>
        <v>0</v>
      </c>
      <c r="AW18" s="141">
        <f t="shared" si="26"/>
        <v>9</v>
      </c>
      <c r="AX18" s="141">
        <f t="shared" si="27"/>
        <v>9</v>
      </c>
      <c r="AY18" s="141">
        <f>IF(AX18&lt;SMALL(AM15:AM17,2),-1,0)</f>
        <v>0</v>
      </c>
      <c r="AZ18" s="143">
        <f t="shared" ref="AZ18" si="64">IF(AI18=12,-1,0)</f>
        <v>0</v>
      </c>
      <c r="BA18" s="141">
        <f t="shared" si="63"/>
        <v>0</v>
      </c>
    </row>
    <row r="19" spans="1:53" x14ac:dyDescent="0.2">
      <c r="A19" s="87" t="s">
        <v>74</v>
      </c>
      <c r="B19" s="87" t="str">
        <f t="shared" si="5"/>
        <v>Argentina</v>
      </c>
      <c r="C19" s="87">
        <v>13</v>
      </c>
      <c r="D19" s="123" t="s">
        <v>132</v>
      </c>
      <c r="E19" s="123">
        <v>5</v>
      </c>
      <c r="F19" s="133">
        <v>43267</v>
      </c>
      <c r="G19" s="124">
        <v>0.29166666666666669</v>
      </c>
      <c r="H19" s="123" t="s">
        <v>187</v>
      </c>
      <c r="I19" s="87" t="s">
        <v>5</v>
      </c>
      <c r="J19" s="125" t="str">
        <f>$B$15</f>
        <v>França</v>
      </c>
      <c r="K19" s="134" t="str">
        <f>IF(VLOOKUP($E19,JOGOS!$B$11:$K$84,7,FALSE)="","",VLOOKUP($E19,JOGOS!$B$11:$K$84,7,FALSE))</f>
        <v/>
      </c>
      <c r="L19" s="87" t="s">
        <v>16</v>
      </c>
      <c r="M19" s="134" t="str">
        <f>IF(VLOOKUP($E19,JOGOS!$B$11:$K$84,9,FALSE)="","",VLOOKUP($E19,JOGOS!$B$11:$K$84,9,FALSE))</f>
        <v/>
      </c>
      <c r="N19" s="126" t="str">
        <f>$B$16</f>
        <v>Austrália</v>
      </c>
      <c r="O19" s="135"/>
      <c r="S19" s="87">
        <f t="shared" si="0"/>
        <v>0</v>
      </c>
      <c r="T19" s="87">
        <f t="shared" si="1"/>
        <v>0</v>
      </c>
      <c r="U19" s="87">
        <f t="shared" si="2"/>
        <v>0</v>
      </c>
      <c r="V19" s="137">
        <v>4.0000000000000002E-4</v>
      </c>
      <c r="W19" s="138">
        <f t="shared" si="6"/>
        <v>-99999999.999599993</v>
      </c>
      <c r="X19" s="137">
        <f>RANK(W19,$W$19:$W$22)</f>
        <v>1</v>
      </c>
      <c r="Y19" s="137" t="str">
        <f>$B$19</f>
        <v>Argentina</v>
      </c>
      <c r="Z19" s="137">
        <f t="shared" si="8"/>
        <v>0</v>
      </c>
      <c r="AA19" s="137">
        <f t="shared" si="9"/>
        <v>0</v>
      </c>
      <c r="AB19" s="137">
        <f t="shared" si="10"/>
        <v>0</v>
      </c>
      <c r="AC19" s="137">
        <f t="shared" si="3"/>
        <v>0</v>
      </c>
      <c r="AD19" s="137">
        <f t="shared" si="11"/>
        <v>0</v>
      </c>
      <c r="AE19" s="137">
        <f t="shared" si="12"/>
        <v>0</v>
      </c>
      <c r="AF19" s="137">
        <f t="shared" si="13"/>
        <v>0</v>
      </c>
      <c r="AG19" s="137">
        <f t="shared" si="14"/>
        <v>0</v>
      </c>
      <c r="AH19" s="139">
        <f>CLASSIFICAÇÃO!Z13</f>
        <v>0</v>
      </c>
      <c r="AI19" s="140"/>
      <c r="AJ19" s="204" t="s">
        <v>10</v>
      </c>
      <c r="AK19" s="137">
        <v>1</v>
      </c>
      <c r="AL19" s="137" t="str">
        <f>VLOOKUP($AK19,$X$19:$AI$22,Y$5,FALSE)</f>
        <v>Argentina</v>
      </c>
      <c r="AM19" s="140">
        <f t="shared" ref="AM19:AT19" si="65">VLOOKUP($AK19,$X$19:$AI$22,Z$5,FALSE)</f>
        <v>0</v>
      </c>
      <c r="AN19" s="137">
        <f t="shared" si="65"/>
        <v>0</v>
      </c>
      <c r="AO19" s="137">
        <f t="shared" si="65"/>
        <v>0</v>
      </c>
      <c r="AP19" s="137">
        <f t="shared" si="65"/>
        <v>0</v>
      </c>
      <c r="AQ19" s="137">
        <f t="shared" si="65"/>
        <v>0</v>
      </c>
      <c r="AR19" s="137">
        <f t="shared" si="65"/>
        <v>0</v>
      </c>
      <c r="AS19" s="137">
        <f t="shared" si="65"/>
        <v>0</v>
      </c>
      <c r="AT19" s="137">
        <f t="shared" si="65"/>
        <v>0</v>
      </c>
      <c r="AU19" s="87">
        <f t="shared" si="24"/>
        <v>0</v>
      </c>
      <c r="AV19" s="87">
        <f>IF(AND(COUNTIF(AU$19:AU$22,AU19)&gt;1,AI$22=12),1,0)</f>
        <v>0</v>
      </c>
      <c r="AW19" s="87">
        <f t="shared" si="26"/>
        <v>9</v>
      </c>
      <c r="AX19" s="87">
        <f t="shared" si="27"/>
        <v>9</v>
      </c>
      <c r="AY19" s="87">
        <f>IF(AM19&gt;LARGE(AX20:AX22,1),3,IF(AM19&gt;LARGE(AX20:AX22,2),1,0))</f>
        <v>0</v>
      </c>
      <c r="AZ19" s="134">
        <f t="shared" ref="AZ19" si="66">IF(AI22=12,3,0)</f>
        <v>0</v>
      </c>
      <c r="BA19" s="87">
        <f t="shared" ref="BA19:BA20" si="67">IF(VLOOKUP(AL19,$Y$7:$AV$38,24,FALSE)&lt;&gt;1,MAX(AY19:AZ19),MIN(AY19:AZ19))</f>
        <v>0</v>
      </c>
    </row>
    <row r="20" spans="1:53" x14ac:dyDescent="0.2">
      <c r="A20" s="87" t="s">
        <v>75</v>
      </c>
      <c r="B20" s="87" t="str">
        <f t="shared" si="5"/>
        <v>Islândia</v>
      </c>
      <c r="C20" s="87">
        <v>14</v>
      </c>
      <c r="D20" s="123" t="s">
        <v>133</v>
      </c>
      <c r="E20" s="123">
        <v>6</v>
      </c>
      <c r="F20" s="133">
        <v>43267</v>
      </c>
      <c r="G20" s="124">
        <v>0.54166666666666663</v>
      </c>
      <c r="H20" s="123" t="s">
        <v>188</v>
      </c>
      <c r="I20" s="87" t="s">
        <v>5</v>
      </c>
      <c r="J20" s="125" t="str">
        <f>$B$17</f>
        <v>Peru</v>
      </c>
      <c r="K20" s="134" t="str">
        <f>IF(VLOOKUP($E20,JOGOS!$B$11:$K$84,7,FALSE)="","",VLOOKUP($E20,JOGOS!$B$11:$K$84,7,FALSE))</f>
        <v/>
      </c>
      <c r="L20" s="87" t="s">
        <v>16</v>
      </c>
      <c r="M20" s="134" t="str">
        <f>IF(VLOOKUP($E20,JOGOS!$B$11:$K$84,9,FALSE)="","",VLOOKUP($E20,JOGOS!$B$11:$K$84,9,FALSE))</f>
        <v/>
      </c>
      <c r="N20" s="126" t="str">
        <f>$B$18</f>
        <v>Dinamarca</v>
      </c>
      <c r="O20" s="135"/>
      <c r="S20" s="87">
        <f t="shared" si="0"/>
        <v>0</v>
      </c>
      <c r="T20" s="87">
        <f t="shared" si="1"/>
        <v>0</v>
      </c>
      <c r="U20" s="87">
        <f t="shared" si="2"/>
        <v>0</v>
      </c>
      <c r="V20" s="137">
        <v>2.9999999999999997E-4</v>
      </c>
      <c r="W20" s="138">
        <f t="shared" si="6"/>
        <v>-99999999.999699995</v>
      </c>
      <c r="X20" s="137">
        <f t="shared" ref="X20:X22" si="68">RANK(W20,$W$19:$W$22)</f>
        <v>2</v>
      </c>
      <c r="Y20" s="137" t="str">
        <f>$B$20</f>
        <v>Islândia</v>
      </c>
      <c r="Z20" s="140">
        <f t="shared" si="8"/>
        <v>0</v>
      </c>
      <c r="AA20" s="137">
        <f t="shared" si="9"/>
        <v>0</v>
      </c>
      <c r="AB20" s="137">
        <f t="shared" si="10"/>
        <v>0</v>
      </c>
      <c r="AC20" s="137">
        <f t="shared" si="3"/>
        <v>0</v>
      </c>
      <c r="AD20" s="137">
        <f t="shared" si="11"/>
        <v>0</v>
      </c>
      <c r="AE20" s="137">
        <f t="shared" si="12"/>
        <v>0</v>
      </c>
      <c r="AF20" s="137">
        <f t="shared" si="13"/>
        <v>0</v>
      </c>
      <c r="AG20" s="137">
        <f t="shared" si="14"/>
        <v>0</v>
      </c>
      <c r="AH20" s="139">
        <f>CLASSIFICAÇÃO!Z14</f>
        <v>0</v>
      </c>
      <c r="AI20" s="140"/>
      <c r="AJ20" s="204"/>
      <c r="AK20" s="137">
        <v>2</v>
      </c>
      <c r="AL20" s="137" t="str">
        <f t="shared" ref="AL20:AL22" si="69">VLOOKUP($AK20,$X$19:$AI$22,Y$5,FALSE)</f>
        <v>Islândia</v>
      </c>
      <c r="AM20" s="137">
        <f t="shared" ref="AM20:AM22" si="70">VLOOKUP($AK20,$X$19:$AI$22,Z$5,FALSE)</f>
        <v>0</v>
      </c>
      <c r="AN20" s="137">
        <f t="shared" ref="AN20:AN22" si="71">VLOOKUP($AK20,$X$19:$AI$22,AA$5,FALSE)</f>
        <v>0</v>
      </c>
      <c r="AO20" s="137">
        <f t="shared" ref="AO20:AO22" si="72">VLOOKUP($AK20,$X$19:$AI$22,AB$5,FALSE)</f>
        <v>0</v>
      </c>
      <c r="AP20" s="137">
        <f t="shared" ref="AP20:AP22" si="73">VLOOKUP($AK20,$X$19:$AI$22,AC$5,FALSE)</f>
        <v>0</v>
      </c>
      <c r="AQ20" s="137">
        <f t="shared" ref="AQ20:AQ22" si="74">VLOOKUP($AK20,$X$19:$AI$22,AD$5,FALSE)</f>
        <v>0</v>
      </c>
      <c r="AR20" s="137">
        <f t="shared" ref="AR20:AR22" si="75">VLOOKUP($AK20,$X$19:$AI$22,AE$5,FALSE)</f>
        <v>0</v>
      </c>
      <c r="AS20" s="137">
        <f t="shared" ref="AS20:AS22" si="76">VLOOKUP($AK20,$X$19:$AI$22,AF$5,FALSE)</f>
        <v>0</v>
      </c>
      <c r="AT20" s="137">
        <f t="shared" ref="AT20:AT22" si="77">VLOOKUP($AK20,$X$19:$AI$22,AG$5,FALSE)</f>
        <v>0</v>
      </c>
      <c r="AU20" s="87">
        <f t="shared" si="24"/>
        <v>0</v>
      </c>
      <c r="AV20" s="87">
        <f t="shared" ref="AV20:AV22" si="78">IF(AND(COUNTIF(AU$19:AU$22,AU20)&gt;1,AI$22=12),1,0)</f>
        <v>0</v>
      </c>
      <c r="AW20" s="87">
        <f t="shared" si="26"/>
        <v>9</v>
      </c>
      <c r="AX20" s="87">
        <f t="shared" si="27"/>
        <v>9</v>
      </c>
      <c r="AY20" s="87">
        <f>IF(AND(AX20&lt;AM19,AM20&gt;LARGE(AX21:AX22,1)),2,IF(AM20&gt;LARGE(AX21:AX22,1),1,0))</f>
        <v>0</v>
      </c>
      <c r="AZ20" s="134">
        <f t="shared" ref="AZ20" si="79">IF(AI22=12,2,0)</f>
        <v>0</v>
      </c>
      <c r="BA20" s="87">
        <f t="shared" si="67"/>
        <v>0</v>
      </c>
    </row>
    <row r="21" spans="1:53" x14ac:dyDescent="0.2">
      <c r="A21" s="87" t="s">
        <v>76</v>
      </c>
      <c r="B21" s="87" t="str">
        <f t="shared" si="5"/>
        <v>Croácia</v>
      </c>
      <c r="C21" s="87">
        <v>15</v>
      </c>
      <c r="D21" s="123" t="s">
        <v>134</v>
      </c>
      <c r="E21" s="123">
        <v>21</v>
      </c>
      <c r="F21" s="133">
        <v>43272</v>
      </c>
      <c r="G21" s="124">
        <v>0.5</v>
      </c>
      <c r="H21" s="123" t="s">
        <v>181</v>
      </c>
      <c r="I21" s="87" t="s">
        <v>5</v>
      </c>
      <c r="J21" s="125" t="str">
        <f>$B$15</f>
        <v>França</v>
      </c>
      <c r="K21" s="134" t="str">
        <f>IF(VLOOKUP($E21,JOGOS!$B$11:$K$84,7,FALSE)="","",VLOOKUP($E21,JOGOS!$B$11:$K$84,7,FALSE))</f>
        <v/>
      </c>
      <c r="L21" s="87" t="s">
        <v>16</v>
      </c>
      <c r="M21" s="134" t="str">
        <f>IF(VLOOKUP($E21,JOGOS!$B$11:$K$84,9,FALSE)="","",VLOOKUP($E21,JOGOS!$B$11:$K$84,9,FALSE))</f>
        <v/>
      </c>
      <c r="N21" s="126" t="str">
        <f>$B$17</f>
        <v>Peru</v>
      </c>
      <c r="O21" s="135"/>
      <c r="S21" s="87">
        <f t="shared" si="0"/>
        <v>0</v>
      </c>
      <c r="T21" s="87">
        <f t="shared" si="1"/>
        <v>0</v>
      </c>
      <c r="U21" s="87">
        <f t="shared" si="2"/>
        <v>0</v>
      </c>
      <c r="V21" s="137">
        <v>2.0000000000000001E-4</v>
      </c>
      <c r="W21" s="138">
        <f t="shared" si="6"/>
        <v>-99999999.999799997</v>
      </c>
      <c r="X21" s="137">
        <f t="shared" si="68"/>
        <v>3</v>
      </c>
      <c r="Y21" s="137" t="str">
        <f>$B$21</f>
        <v>Croácia</v>
      </c>
      <c r="Z21" s="137">
        <f t="shared" si="8"/>
        <v>0</v>
      </c>
      <c r="AA21" s="137">
        <f t="shared" si="9"/>
        <v>0</v>
      </c>
      <c r="AB21" s="137">
        <f t="shared" si="10"/>
        <v>0</v>
      </c>
      <c r="AC21" s="137">
        <f t="shared" si="3"/>
        <v>0</v>
      </c>
      <c r="AD21" s="137">
        <f t="shared" si="11"/>
        <v>0</v>
      </c>
      <c r="AE21" s="137">
        <f t="shared" si="12"/>
        <v>0</v>
      </c>
      <c r="AF21" s="137">
        <f t="shared" si="13"/>
        <v>0</v>
      </c>
      <c r="AG21" s="137">
        <f t="shared" si="14"/>
        <v>0</v>
      </c>
      <c r="AH21" s="139">
        <f>CLASSIFICAÇÃO!Z15</f>
        <v>0</v>
      </c>
      <c r="AI21" s="137"/>
      <c r="AJ21" s="204"/>
      <c r="AK21" s="137">
        <v>3</v>
      </c>
      <c r="AL21" s="137" t="str">
        <f t="shared" si="69"/>
        <v>Croácia</v>
      </c>
      <c r="AM21" s="137">
        <f t="shared" si="70"/>
        <v>0</v>
      </c>
      <c r="AN21" s="137">
        <f t="shared" si="71"/>
        <v>0</v>
      </c>
      <c r="AO21" s="137">
        <f t="shared" si="72"/>
        <v>0</v>
      </c>
      <c r="AP21" s="137">
        <f t="shared" si="73"/>
        <v>0</v>
      </c>
      <c r="AQ21" s="137">
        <f t="shared" si="74"/>
        <v>0</v>
      </c>
      <c r="AR21" s="137">
        <f t="shared" si="75"/>
        <v>0</v>
      </c>
      <c r="AS21" s="137">
        <f t="shared" si="76"/>
        <v>0</v>
      </c>
      <c r="AT21" s="137">
        <f t="shared" si="77"/>
        <v>0</v>
      </c>
      <c r="AU21" s="87">
        <f t="shared" si="24"/>
        <v>0</v>
      </c>
      <c r="AV21" s="87">
        <f t="shared" si="78"/>
        <v>0</v>
      </c>
      <c r="AW21" s="87">
        <f t="shared" si="26"/>
        <v>9</v>
      </c>
      <c r="AX21" s="87">
        <f t="shared" si="27"/>
        <v>9</v>
      </c>
      <c r="AY21" s="87">
        <f>IF(AX21&lt;SMALL(AM19:AM20,1),-1,0)</f>
        <v>0</v>
      </c>
      <c r="AZ21" s="134">
        <f t="shared" ref="AZ21" si="80">IF(AI22=12,-1,0)</f>
        <v>0</v>
      </c>
      <c r="BA21" s="87">
        <f t="shared" ref="BA21:BA22" si="81">IF(VLOOKUP(AL21,$Y$7:$AV$38,24,FALSE)&lt;&gt;1,MIN(AY21:AZ21),MAX(AY21:AZ21))</f>
        <v>0</v>
      </c>
    </row>
    <row r="22" spans="1:53" x14ac:dyDescent="0.2">
      <c r="A22" s="87" t="s">
        <v>77</v>
      </c>
      <c r="B22" s="87" t="str">
        <f t="shared" si="5"/>
        <v>Nigéria</v>
      </c>
      <c r="C22" s="87">
        <v>16</v>
      </c>
      <c r="D22" s="123" t="s">
        <v>118</v>
      </c>
      <c r="E22" s="123">
        <v>22</v>
      </c>
      <c r="F22" s="133">
        <v>43272</v>
      </c>
      <c r="G22" s="124">
        <v>0.375</v>
      </c>
      <c r="H22" s="123" t="s">
        <v>184</v>
      </c>
      <c r="I22" s="87" t="s">
        <v>5</v>
      </c>
      <c r="J22" s="125" t="str">
        <f t="shared" ref="J22:J23" si="82">$B$18</f>
        <v>Dinamarca</v>
      </c>
      <c r="K22" s="134" t="str">
        <f>IF(VLOOKUP($E22,JOGOS!$B$11:$K$84,7,FALSE)="","",VLOOKUP($E22,JOGOS!$B$11:$K$84,7,FALSE))</f>
        <v/>
      </c>
      <c r="L22" s="87" t="s">
        <v>16</v>
      </c>
      <c r="M22" s="134" t="str">
        <f>IF(VLOOKUP($E22,JOGOS!$B$11:$K$84,9,FALSE)="","",VLOOKUP($E22,JOGOS!$B$11:$K$84,9,FALSE))</f>
        <v/>
      </c>
      <c r="N22" s="126" t="str">
        <f>$B$16</f>
        <v>Austrália</v>
      </c>
      <c r="O22" s="135"/>
      <c r="S22" s="87">
        <f t="shared" si="0"/>
        <v>0</v>
      </c>
      <c r="T22" s="87">
        <f t="shared" si="1"/>
        <v>0</v>
      </c>
      <c r="U22" s="87">
        <f t="shared" si="2"/>
        <v>0</v>
      </c>
      <c r="V22" s="141">
        <v>1E-4</v>
      </c>
      <c r="W22" s="142">
        <f t="shared" si="6"/>
        <v>-99999999.999899998</v>
      </c>
      <c r="X22" s="141">
        <f t="shared" si="68"/>
        <v>4</v>
      </c>
      <c r="Y22" s="141" t="str">
        <f>$B$22</f>
        <v>Nigéria</v>
      </c>
      <c r="Z22" s="141">
        <f t="shared" si="8"/>
        <v>0</v>
      </c>
      <c r="AA22" s="141">
        <f t="shared" si="9"/>
        <v>0</v>
      </c>
      <c r="AB22" s="141">
        <f t="shared" si="10"/>
        <v>0</v>
      </c>
      <c r="AC22" s="141">
        <f t="shared" si="3"/>
        <v>0</v>
      </c>
      <c r="AD22" s="141">
        <f t="shared" si="11"/>
        <v>0</v>
      </c>
      <c r="AE22" s="141">
        <f t="shared" si="12"/>
        <v>0</v>
      </c>
      <c r="AF22" s="141">
        <f t="shared" si="13"/>
        <v>0</v>
      </c>
      <c r="AG22" s="141">
        <f t="shared" si="14"/>
        <v>0</v>
      </c>
      <c r="AH22" s="143">
        <f>CLASSIFICAÇÃO!Z16</f>
        <v>0</v>
      </c>
      <c r="AI22" s="141">
        <f>SUM(AA19:AA22)</f>
        <v>0</v>
      </c>
      <c r="AJ22" s="205"/>
      <c r="AK22" s="141">
        <v>4</v>
      </c>
      <c r="AL22" s="141" t="str">
        <f t="shared" si="69"/>
        <v>Nigéria</v>
      </c>
      <c r="AM22" s="141">
        <f t="shared" si="70"/>
        <v>0</v>
      </c>
      <c r="AN22" s="141">
        <f t="shared" si="71"/>
        <v>0</v>
      </c>
      <c r="AO22" s="141">
        <f t="shared" si="72"/>
        <v>0</v>
      </c>
      <c r="AP22" s="141">
        <f t="shared" si="73"/>
        <v>0</v>
      </c>
      <c r="AQ22" s="141">
        <f t="shared" si="74"/>
        <v>0</v>
      </c>
      <c r="AR22" s="141">
        <f t="shared" si="75"/>
        <v>0</v>
      </c>
      <c r="AS22" s="141">
        <f t="shared" si="76"/>
        <v>0</v>
      </c>
      <c r="AT22" s="141">
        <f t="shared" si="77"/>
        <v>0</v>
      </c>
      <c r="AU22" s="141">
        <f t="shared" si="24"/>
        <v>0</v>
      </c>
      <c r="AV22" s="141">
        <f t="shared" si="78"/>
        <v>0</v>
      </c>
      <c r="AW22" s="141">
        <f t="shared" si="26"/>
        <v>9</v>
      </c>
      <c r="AX22" s="141">
        <f t="shared" si="27"/>
        <v>9</v>
      </c>
      <c r="AY22" s="141">
        <f>IF(AX22&lt;SMALL(AM19:AM21,2),-1,0)</f>
        <v>0</v>
      </c>
      <c r="AZ22" s="143">
        <f t="shared" ref="AZ22" si="83">IF(AI22=12,-1,0)</f>
        <v>0</v>
      </c>
      <c r="BA22" s="141">
        <f t="shared" si="81"/>
        <v>0</v>
      </c>
    </row>
    <row r="23" spans="1:53" x14ac:dyDescent="0.2">
      <c r="A23" s="87" t="s">
        <v>78</v>
      </c>
      <c r="B23" s="87" t="str">
        <f t="shared" si="5"/>
        <v>BRASIL</v>
      </c>
      <c r="C23" s="87">
        <v>17</v>
      </c>
      <c r="D23" s="123" t="s">
        <v>171</v>
      </c>
      <c r="E23" s="123">
        <v>37</v>
      </c>
      <c r="F23" s="133">
        <v>43277</v>
      </c>
      <c r="G23" s="124">
        <v>0.45833333333333331</v>
      </c>
      <c r="H23" s="123" t="s">
        <v>180</v>
      </c>
      <c r="I23" s="87" t="s">
        <v>5</v>
      </c>
      <c r="J23" s="125" t="str">
        <f t="shared" si="82"/>
        <v>Dinamarca</v>
      </c>
      <c r="K23" s="134" t="str">
        <f>IF(VLOOKUP($E23,JOGOS!$B$11:$K$84,7,FALSE)="","",VLOOKUP($E23,JOGOS!$B$11:$K$84,7,FALSE))</f>
        <v/>
      </c>
      <c r="L23" s="87" t="s">
        <v>16</v>
      </c>
      <c r="M23" s="134" t="str">
        <f>IF(VLOOKUP($E23,JOGOS!$B$11:$K$84,9,FALSE)="","",VLOOKUP($E23,JOGOS!$B$11:$K$84,9,FALSE))</f>
        <v/>
      </c>
      <c r="N23" s="126" t="str">
        <f>$B$15</f>
        <v>França</v>
      </c>
      <c r="O23" s="135"/>
      <c r="S23" s="87">
        <f t="shared" si="0"/>
        <v>0</v>
      </c>
      <c r="T23" s="87">
        <f t="shared" si="1"/>
        <v>0</v>
      </c>
      <c r="U23" s="87">
        <f t="shared" si="2"/>
        <v>0</v>
      </c>
      <c r="V23" s="137">
        <v>4.0000000000000002E-4</v>
      </c>
      <c r="W23" s="138">
        <f t="shared" si="6"/>
        <v>-99999999.999599993</v>
      </c>
      <c r="X23" s="137">
        <f>RANK(W23,$W$23:$W$26)</f>
        <v>1</v>
      </c>
      <c r="Y23" s="137" t="str">
        <f>$B$23</f>
        <v>BRASIL</v>
      </c>
      <c r="Z23" s="137">
        <f t="shared" si="8"/>
        <v>0</v>
      </c>
      <c r="AA23" s="137">
        <f t="shared" si="9"/>
        <v>0</v>
      </c>
      <c r="AB23" s="137">
        <f t="shared" si="10"/>
        <v>0</v>
      </c>
      <c r="AC23" s="137">
        <f t="shared" si="3"/>
        <v>0</v>
      </c>
      <c r="AD23" s="137">
        <f t="shared" si="11"/>
        <v>0</v>
      </c>
      <c r="AE23" s="137">
        <f t="shared" si="12"/>
        <v>0</v>
      </c>
      <c r="AF23" s="137">
        <f t="shared" si="13"/>
        <v>0</v>
      </c>
      <c r="AG23" s="137">
        <f t="shared" si="14"/>
        <v>0</v>
      </c>
      <c r="AH23" s="139">
        <f>CLASSIFICAÇÃO!M19</f>
        <v>0</v>
      </c>
      <c r="AI23" s="140"/>
      <c r="AJ23" s="204" t="s">
        <v>9</v>
      </c>
      <c r="AK23" s="137">
        <v>1</v>
      </c>
      <c r="AL23" s="137" t="str">
        <f>VLOOKUP($AK23,$X$23:$AI$26,Y$5,FALSE)</f>
        <v>BRASIL</v>
      </c>
      <c r="AM23" s="140">
        <f t="shared" ref="AM23:AT23" si="84">VLOOKUP($AK23,$X$23:$AI$26,Z$5,FALSE)</f>
        <v>0</v>
      </c>
      <c r="AN23" s="137">
        <f t="shared" si="84"/>
        <v>0</v>
      </c>
      <c r="AO23" s="137">
        <f t="shared" si="84"/>
        <v>0</v>
      </c>
      <c r="AP23" s="137">
        <f t="shared" si="84"/>
        <v>0</v>
      </c>
      <c r="AQ23" s="137">
        <f t="shared" si="84"/>
        <v>0</v>
      </c>
      <c r="AR23" s="137">
        <f t="shared" si="84"/>
        <v>0</v>
      </c>
      <c r="AS23" s="137">
        <f t="shared" si="84"/>
        <v>0</v>
      </c>
      <c r="AT23" s="137">
        <f t="shared" si="84"/>
        <v>0</v>
      </c>
      <c r="AU23" s="87">
        <f t="shared" si="24"/>
        <v>0</v>
      </c>
      <c r="AV23" s="87">
        <f>IF(AND(COUNTIF(AU$23:AU$26,AU23)&gt;1,AI$26=12),1,0)</f>
        <v>0</v>
      </c>
      <c r="AW23" s="87">
        <f t="shared" si="26"/>
        <v>9</v>
      </c>
      <c r="AX23" s="87">
        <f t="shared" si="27"/>
        <v>9</v>
      </c>
      <c r="AY23" s="87">
        <f>IF(AM23&gt;LARGE(AX24:AX26,1),3,IF(AM23&gt;LARGE(AX24:AX26,2),1,0))</f>
        <v>0</v>
      </c>
      <c r="AZ23" s="134">
        <f t="shared" ref="AZ23" si="85">IF(AI26=12,3,0)</f>
        <v>0</v>
      </c>
      <c r="BA23" s="87">
        <f t="shared" ref="BA23:BA24" si="86">IF(VLOOKUP(AL23,$Y$7:$AV$38,24,FALSE)&lt;&gt;1,MAX(AY23:AZ23),MIN(AY23:AZ23))</f>
        <v>0</v>
      </c>
    </row>
    <row r="24" spans="1:53" x14ac:dyDescent="0.2">
      <c r="A24" s="87" t="s">
        <v>79</v>
      </c>
      <c r="B24" s="87" t="str">
        <f t="shared" si="5"/>
        <v>Suíça</v>
      </c>
      <c r="C24" s="87">
        <v>18</v>
      </c>
      <c r="D24" s="123" t="s">
        <v>119</v>
      </c>
      <c r="E24" s="123">
        <v>38</v>
      </c>
      <c r="F24" s="133">
        <v>43277</v>
      </c>
      <c r="G24" s="124">
        <v>0.45833333333333331</v>
      </c>
      <c r="H24" s="123" t="s">
        <v>186</v>
      </c>
      <c r="I24" s="87" t="s">
        <v>5</v>
      </c>
      <c r="J24" s="125" t="str">
        <f>$B$16</f>
        <v>Austrália</v>
      </c>
      <c r="K24" s="134" t="str">
        <f>IF(VLOOKUP($E24,JOGOS!$B$11:$K$84,7,FALSE)="","",VLOOKUP($E24,JOGOS!$B$11:$K$84,7,FALSE))</f>
        <v/>
      </c>
      <c r="L24" s="87" t="s">
        <v>16</v>
      </c>
      <c r="M24" s="134" t="str">
        <f>IF(VLOOKUP($E24,JOGOS!$B$11:$K$84,9,FALSE)="","",VLOOKUP($E24,JOGOS!$B$11:$K$84,9,FALSE))</f>
        <v/>
      </c>
      <c r="N24" s="126" t="str">
        <f>$B$17</f>
        <v>Peru</v>
      </c>
      <c r="O24" s="135"/>
      <c r="S24" s="87">
        <f t="shared" si="0"/>
        <v>0</v>
      </c>
      <c r="T24" s="87">
        <f t="shared" si="1"/>
        <v>0</v>
      </c>
      <c r="U24" s="87">
        <f t="shared" si="2"/>
        <v>0</v>
      </c>
      <c r="V24" s="137">
        <v>2.9999999999999997E-4</v>
      </c>
      <c r="W24" s="138">
        <f t="shared" si="6"/>
        <v>-99999999.999699995</v>
      </c>
      <c r="X24" s="137">
        <f t="shared" ref="X24:X26" si="87">RANK(W24,$W$23:$W$26)</f>
        <v>2</v>
      </c>
      <c r="Y24" s="137" t="str">
        <f>$B$24</f>
        <v>Suíça</v>
      </c>
      <c r="Z24" s="140">
        <f t="shared" si="8"/>
        <v>0</v>
      </c>
      <c r="AA24" s="137">
        <f t="shared" si="9"/>
        <v>0</v>
      </c>
      <c r="AB24" s="137">
        <f t="shared" si="10"/>
        <v>0</v>
      </c>
      <c r="AC24" s="137">
        <f t="shared" si="3"/>
        <v>0</v>
      </c>
      <c r="AD24" s="137">
        <f t="shared" si="11"/>
        <v>0</v>
      </c>
      <c r="AE24" s="137">
        <f t="shared" si="12"/>
        <v>0</v>
      </c>
      <c r="AF24" s="137">
        <f t="shared" si="13"/>
        <v>0</v>
      </c>
      <c r="AG24" s="137">
        <f t="shared" si="14"/>
        <v>0</v>
      </c>
      <c r="AH24" s="139">
        <f>CLASSIFICAÇÃO!M20</f>
        <v>0</v>
      </c>
      <c r="AI24" s="140"/>
      <c r="AJ24" s="204"/>
      <c r="AK24" s="137">
        <v>2</v>
      </c>
      <c r="AL24" s="137" t="str">
        <f t="shared" ref="AL24:AL26" si="88">VLOOKUP($AK24,$X$23:$AI$26,Y$5,FALSE)</f>
        <v>Suíça</v>
      </c>
      <c r="AM24" s="137">
        <f t="shared" ref="AM24:AM26" si="89">VLOOKUP($AK24,$X$23:$AI$26,Z$5,FALSE)</f>
        <v>0</v>
      </c>
      <c r="AN24" s="137">
        <f t="shared" ref="AN24:AN26" si="90">VLOOKUP($AK24,$X$23:$AI$26,AA$5,FALSE)</f>
        <v>0</v>
      </c>
      <c r="AO24" s="137">
        <f t="shared" ref="AO24:AO26" si="91">VLOOKUP($AK24,$X$23:$AI$26,AB$5,FALSE)</f>
        <v>0</v>
      </c>
      <c r="AP24" s="137">
        <f t="shared" ref="AP24:AP26" si="92">VLOOKUP($AK24,$X$23:$AI$26,AC$5,FALSE)</f>
        <v>0</v>
      </c>
      <c r="AQ24" s="137">
        <f t="shared" ref="AQ24:AQ26" si="93">VLOOKUP($AK24,$X$23:$AI$26,AD$5,FALSE)</f>
        <v>0</v>
      </c>
      <c r="AR24" s="137">
        <f t="shared" ref="AR24:AR26" si="94">VLOOKUP($AK24,$X$23:$AI$26,AE$5,FALSE)</f>
        <v>0</v>
      </c>
      <c r="AS24" s="137">
        <f t="shared" ref="AS24:AS26" si="95">VLOOKUP($AK24,$X$23:$AI$26,AF$5,FALSE)</f>
        <v>0</v>
      </c>
      <c r="AT24" s="137">
        <f t="shared" ref="AT24:AT26" si="96">VLOOKUP($AK24,$X$23:$AI$26,AG$5,FALSE)</f>
        <v>0</v>
      </c>
      <c r="AU24" s="87">
        <f t="shared" si="24"/>
        <v>0</v>
      </c>
      <c r="AV24" s="87">
        <f t="shared" ref="AV24:AV26" si="97">IF(AND(COUNTIF(AU$23:AU$26,AU24)&gt;1,AI$26=12),1,0)</f>
        <v>0</v>
      </c>
      <c r="AW24" s="87">
        <f t="shared" si="26"/>
        <v>9</v>
      </c>
      <c r="AX24" s="87">
        <f t="shared" si="27"/>
        <v>9</v>
      </c>
      <c r="AY24" s="87">
        <f>IF(AND(AX24&lt;AM23,AM24&gt;LARGE(AX25:AX26,1)),2,IF(AM24&gt;LARGE(AX25:AX26,1),1,0))</f>
        <v>0</v>
      </c>
      <c r="AZ24" s="134">
        <f t="shared" ref="AZ24" si="98">IF(AI26=12,2,0)</f>
        <v>0</v>
      </c>
      <c r="BA24" s="87">
        <f t="shared" si="86"/>
        <v>0</v>
      </c>
    </row>
    <row r="25" spans="1:53" x14ac:dyDescent="0.2">
      <c r="A25" s="87" t="s">
        <v>80</v>
      </c>
      <c r="B25" s="87" t="str">
        <f t="shared" si="5"/>
        <v>Costa Rica</v>
      </c>
      <c r="C25" s="87">
        <v>19</v>
      </c>
      <c r="D25" s="123" t="s">
        <v>172</v>
      </c>
      <c r="E25" s="123">
        <v>7</v>
      </c>
      <c r="F25" s="133">
        <v>43267</v>
      </c>
      <c r="G25" s="124">
        <v>0.41666666666666669</v>
      </c>
      <c r="H25" s="123" t="s">
        <v>180</v>
      </c>
      <c r="I25" s="87" t="s">
        <v>10</v>
      </c>
      <c r="J25" s="125" t="str">
        <f>$B$19</f>
        <v>Argentina</v>
      </c>
      <c r="K25" s="134" t="str">
        <f>IF(VLOOKUP($E25,JOGOS!$B$11:$K$84,7,FALSE)="","",VLOOKUP($E25,JOGOS!$B$11:$K$84,7,FALSE))</f>
        <v/>
      </c>
      <c r="L25" s="87" t="s">
        <v>16</v>
      </c>
      <c r="M25" s="134" t="str">
        <f>IF(VLOOKUP($E25,JOGOS!$B$11:$K$84,9,FALSE)="","",VLOOKUP($E25,JOGOS!$B$11:$K$84,9,FALSE))</f>
        <v/>
      </c>
      <c r="N25" s="126" t="str">
        <f>$B$20</f>
        <v>Islândia</v>
      </c>
      <c r="O25" s="135"/>
      <c r="S25" s="87">
        <f t="shared" si="0"/>
        <v>0</v>
      </c>
      <c r="T25" s="87">
        <f t="shared" si="1"/>
        <v>0</v>
      </c>
      <c r="U25" s="87">
        <f t="shared" si="2"/>
        <v>0</v>
      </c>
      <c r="V25" s="137">
        <v>2.0000000000000001E-4</v>
      </c>
      <c r="W25" s="138">
        <f t="shared" si="6"/>
        <v>-99999999.999799997</v>
      </c>
      <c r="X25" s="137">
        <f t="shared" si="87"/>
        <v>3</v>
      </c>
      <c r="Y25" s="137" t="str">
        <f>$B$25</f>
        <v>Costa Rica</v>
      </c>
      <c r="Z25" s="137">
        <f t="shared" si="8"/>
        <v>0</v>
      </c>
      <c r="AA25" s="137">
        <f t="shared" si="9"/>
        <v>0</v>
      </c>
      <c r="AB25" s="137">
        <f t="shared" si="10"/>
        <v>0</v>
      </c>
      <c r="AC25" s="137">
        <f t="shared" si="3"/>
        <v>0</v>
      </c>
      <c r="AD25" s="137">
        <f t="shared" si="11"/>
        <v>0</v>
      </c>
      <c r="AE25" s="137">
        <f t="shared" si="12"/>
        <v>0</v>
      </c>
      <c r="AF25" s="137">
        <f t="shared" si="13"/>
        <v>0</v>
      </c>
      <c r="AG25" s="137">
        <f t="shared" si="14"/>
        <v>0</v>
      </c>
      <c r="AH25" s="139">
        <f>CLASSIFICAÇÃO!M21</f>
        <v>0</v>
      </c>
      <c r="AI25" s="137"/>
      <c r="AJ25" s="204"/>
      <c r="AK25" s="137">
        <v>3</v>
      </c>
      <c r="AL25" s="137" t="str">
        <f t="shared" si="88"/>
        <v>Costa Rica</v>
      </c>
      <c r="AM25" s="137">
        <f t="shared" si="89"/>
        <v>0</v>
      </c>
      <c r="AN25" s="137">
        <f t="shared" si="90"/>
        <v>0</v>
      </c>
      <c r="AO25" s="137">
        <f t="shared" si="91"/>
        <v>0</v>
      </c>
      <c r="AP25" s="137">
        <f t="shared" si="92"/>
        <v>0</v>
      </c>
      <c r="AQ25" s="137">
        <f t="shared" si="93"/>
        <v>0</v>
      </c>
      <c r="AR25" s="137">
        <f t="shared" si="94"/>
        <v>0</v>
      </c>
      <c r="AS25" s="137">
        <f t="shared" si="95"/>
        <v>0</v>
      </c>
      <c r="AT25" s="137">
        <f t="shared" si="96"/>
        <v>0</v>
      </c>
      <c r="AU25" s="87">
        <f t="shared" si="24"/>
        <v>0</v>
      </c>
      <c r="AV25" s="87">
        <f t="shared" si="97"/>
        <v>0</v>
      </c>
      <c r="AW25" s="87">
        <f t="shared" si="26"/>
        <v>9</v>
      </c>
      <c r="AX25" s="87">
        <f t="shared" si="27"/>
        <v>9</v>
      </c>
      <c r="AY25" s="87">
        <f>IF(AX25&lt;SMALL(AM23:AM24,1),-1,0)</f>
        <v>0</v>
      </c>
      <c r="AZ25" s="134">
        <f t="shared" ref="AZ25" si="99">IF(AI26=12,-1,0)</f>
        <v>0</v>
      </c>
      <c r="BA25" s="87">
        <f t="shared" ref="BA25:BA26" si="100">IF(VLOOKUP(AL25,$Y$7:$AV$38,24,FALSE)&lt;&gt;1,MIN(AY25:AZ25),MAX(AY25:AZ25))</f>
        <v>0</v>
      </c>
    </row>
    <row r="26" spans="1:53" x14ac:dyDescent="0.2">
      <c r="A26" s="87" t="s">
        <v>81</v>
      </c>
      <c r="B26" s="87" t="str">
        <f t="shared" si="5"/>
        <v>Sérvia</v>
      </c>
      <c r="C26" s="87">
        <v>20</v>
      </c>
      <c r="D26" s="123" t="s">
        <v>120</v>
      </c>
      <c r="E26" s="123">
        <v>8</v>
      </c>
      <c r="F26" s="133">
        <v>43267</v>
      </c>
      <c r="G26" s="124">
        <v>0.66666666666666663</v>
      </c>
      <c r="H26" s="123" t="s">
        <v>189</v>
      </c>
      <c r="I26" s="87" t="s">
        <v>10</v>
      </c>
      <c r="J26" s="125" t="str">
        <f>$B$21</f>
        <v>Croácia</v>
      </c>
      <c r="K26" s="134" t="str">
        <f>IF(VLOOKUP($E26,JOGOS!$B$11:$K$84,7,FALSE)="","",VLOOKUP($E26,JOGOS!$B$11:$K$84,7,FALSE))</f>
        <v/>
      </c>
      <c r="L26" s="87" t="s">
        <v>16</v>
      </c>
      <c r="M26" s="134" t="str">
        <f>IF(VLOOKUP($E26,JOGOS!$B$11:$K$84,9,FALSE)="","",VLOOKUP($E26,JOGOS!$B$11:$K$84,9,FALSE))</f>
        <v/>
      </c>
      <c r="N26" s="126" t="str">
        <f>$B$22</f>
        <v>Nigéria</v>
      </c>
      <c r="O26" s="135"/>
      <c r="S26" s="87">
        <f t="shared" si="0"/>
        <v>0</v>
      </c>
      <c r="T26" s="87">
        <f t="shared" si="1"/>
        <v>0</v>
      </c>
      <c r="U26" s="87">
        <f t="shared" si="2"/>
        <v>0</v>
      </c>
      <c r="V26" s="141">
        <v>1E-4</v>
      </c>
      <c r="W26" s="142">
        <f t="shared" si="6"/>
        <v>-99999999.999899998</v>
      </c>
      <c r="X26" s="141">
        <f t="shared" si="87"/>
        <v>4</v>
      </c>
      <c r="Y26" s="141" t="str">
        <f>$B$26</f>
        <v>Sérvia</v>
      </c>
      <c r="Z26" s="141">
        <f t="shared" si="8"/>
        <v>0</v>
      </c>
      <c r="AA26" s="141">
        <f t="shared" si="9"/>
        <v>0</v>
      </c>
      <c r="AB26" s="141">
        <f t="shared" si="10"/>
        <v>0</v>
      </c>
      <c r="AC26" s="141">
        <f t="shared" si="3"/>
        <v>0</v>
      </c>
      <c r="AD26" s="141">
        <f t="shared" si="11"/>
        <v>0</v>
      </c>
      <c r="AE26" s="141">
        <f t="shared" si="12"/>
        <v>0</v>
      </c>
      <c r="AF26" s="141">
        <f t="shared" si="13"/>
        <v>0</v>
      </c>
      <c r="AG26" s="141">
        <f t="shared" si="14"/>
        <v>0</v>
      </c>
      <c r="AH26" s="143">
        <f>CLASSIFICAÇÃO!M22</f>
        <v>0</v>
      </c>
      <c r="AI26" s="141">
        <f>SUM(AA23:AA26)</f>
        <v>0</v>
      </c>
      <c r="AJ26" s="205"/>
      <c r="AK26" s="141">
        <v>4</v>
      </c>
      <c r="AL26" s="141" t="str">
        <f t="shared" si="88"/>
        <v>Sérvia</v>
      </c>
      <c r="AM26" s="141">
        <f t="shared" si="89"/>
        <v>0</v>
      </c>
      <c r="AN26" s="141">
        <f t="shared" si="90"/>
        <v>0</v>
      </c>
      <c r="AO26" s="141">
        <f t="shared" si="91"/>
        <v>0</v>
      </c>
      <c r="AP26" s="141">
        <f t="shared" si="92"/>
        <v>0</v>
      </c>
      <c r="AQ26" s="141">
        <f t="shared" si="93"/>
        <v>0</v>
      </c>
      <c r="AR26" s="141">
        <f t="shared" si="94"/>
        <v>0</v>
      </c>
      <c r="AS26" s="141">
        <f t="shared" si="95"/>
        <v>0</v>
      </c>
      <c r="AT26" s="141">
        <f t="shared" si="96"/>
        <v>0</v>
      </c>
      <c r="AU26" s="141">
        <f t="shared" si="24"/>
        <v>0</v>
      </c>
      <c r="AV26" s="141">
        <f t="shared" si="97"/>
        <v>0</v>
      </c>
      <c r="AW26" s="141">
        <f t="shared" si="26"/>
        <v>9</v>
      </c>
      <c r="AX26" s="141">
        <f t="shared" si="27"/>
        <v>9</v>
      </c>
      <c r="AY26" s="141">
        <f>IF(AX26&lt;SMALL(AM23:AM25,2),-1,0)</f>
        <v>0</v>
      </c>
      <c r="AZ26" s="143">
        <f t="shared" ref="AZ26" si="101">IF(AI26=12,-1,0)</f>
        <v>0</v>
      </c>
      <c r="BA26" s="141">
        <f t="shared" si="100"/>
        <v>0</v>
      </c>
    </row>
    <row r="27" spans="1:53" x14ac:dyDescent="0.2">
      <c r="A27" s="87" t="s">
        <v>82</v>
      </c>
      <c r="B27" s="87" t="str">
        <f t="shared" si="5"/>
        <v>Alemanha</v>
      </c>
      <c r="C27" s="87">
        <v>21</v>
      </c>
      <c r="D27" s="123" t="s">
        <v>121</v>
      </c>
      <c r="E27" s="123">
        <v>23</v>
      </c>
      <c r="F27" s="133">
        <v>43272</v>
      </c>
      <c r="G27" s="124">
        <v>0.625</v>
      </c>
      <c r="H27" s="123" t="s">
        <v>190</v>
      </c>
      <c r="I27" s="87" t="s">
        <v>10</v>
      </c>
      <c r="J27" s="125" t="str">
        <f>$B$19</f>
        <v>Argentina</v>
      </c>
      <c r="K27" s="134" t="str">
        <f>IF(VLOOKUP($E27,JOGOS!$B$11:$K$84,7,FALSE)="","",VLOOKUP($E27,JOGOS!$B$11:$K$84,7,FALSE))</f>
        <v/>
      </c>
      <c r="L27" s="87" t="s">
        <v>16</v>
      </c>
      <c r="M27" s="134" t="str">
        <f>IF(VLOOKUP($E27,JOGOS!$B$11:$K$84,9,FALSE)="","",VLOOKUP($E27,JOGOS!$B$11:$K$84,9,FALSE))</f>
        <v/>
      </c>
      <c r="N27" s="126" t="str">
        <f>$B$21</f>
        <v>Croácia</v>
      </c>
      <c r="O27" s="135"/>
      <c r="S27" s="87">
        <f t="shared" si="0"/>
        <v>0</v>
      </c>
      <c r="T27" s="87">
        <f t="shared" si="1"/>
        <v>0</v>
      </c>
      <c r="U27" s="87">
        <f t="shared" si="2"/>
        <v>0</v>
      </c>
      <c r="V27" s="137">
        <v>4.0000000000000002E-4</v>
      </c>
      <c r="W27" s="138">
        <f t="shared" si="6"/>
        <v>-99999999.999599993</v>
      </c>
      <c r="X27" s="137">
        <f>RANK(W27,$W$27:$W$30)</f>
        <v>1</v>
      </c>
      <c r="Y27" s="137" t="str">
        <f>$B$27</f>
        <v>Alemanha</v>
      </c>
      <c r="Z27" s="137">
        <f t="shared" si="8"/>
        <v>0</v>
      </c>
      <c r="AA27" s="137">
        <f t="shared" si="9"/>
        <v>0</v>
      </c>
      <c r="AB27" s="137">
        <f t="shared" si="10"/>
        <v>0</v>
      </c>
      <c r="AC27" s="137">
        <f t="shared" si="3"/>
        <v>0</v>
      </c>
      <c r="AD27" s="137">
        <f t="shared" si="11"/>
        <v>0</v>
      </c>
      <c r="AE27" s="137">
        <f t="shared" si="12"/>
        <v>0</v>
      </c>
      <c r="AF27" s="137">
        <f t="shared" si="13"/>
        <v>0</v>
      </c>
      <c r="AG27" s="137">
        <f t="shared" si="14"/>
        <v>0</v>
      </c>
      <c r="AH27" s="139">
        <f>CLASSIFICAÇÃO!Z19</f>
        <v>0</v>
      </c>
      <c r="AI27" s="140"/>
      <c r="AJ27" s="204" t="s">
        <v>69</v>
      </c>
      <c r="AK27" s="137">
        <v>1</v>
      </c>
      <c r="AL27" s="137" t="str">
        <f>VLOOKUP($AK27,$X$27:$AI$30,Y$5,FALSE)</f>
        <v>Alemanha</v>
      </c>
      <c r="AM27" s="140">
        <f t="shared" ref="AM27:AT27" si="102">VLOOKUP($AK27,$X$27:$AI$30,Z$5,FALSE)</f>
        <v>0</v>
      </c>
      <c r="AN27" s="137">
        <f t="shared" si="102"/>
        <v>0</v>
      </c>
      <c r="AO27" s="137">
        <f t="shared" si="102"/>
        <v>0</v>
      </c>
      <c r="AP27" s="137">
        <f t="shared" si="102"/>
        <v>0</v>
      </c>
      <c r="AQ27" s="137">
        <f t="shared" si="102"/>
        <v>0</v>
      </c>
      <c r="AR27" s="137">
        <f t="shared" si="102"/>
        <v>0</v>
      </c>
      <c r="AS27" s="137">
        <f t="shared" si="102"/>
        <v>0</v>
      </c>
      <c r="AT27" s="137">
        <f t="shared" si="102"/>
        <v>0</v>
      </c>
      <c r="AU27" s="87">
        <f t="shared" si="24"/>
        <v>0</v>
      </c>
      <c r="AV27" s="87">
        <f>IF(AND(COUNTIF(AU$27:AU$30,AU27)&gt;1,AI$30=12),1,0)</f>
        <v>0</v>
      </c>
      <c r="AW27" s="87">
        <f t="shared" si="26"/>
        <v>9</v>
      </c>
      <c r="AX27" s="87">
        <f t="shared" si="27"/>
        <v>9</v>
      </c>
      <c r="AY27" s="87">
        <f>IF(AM27&gt;LARGE(AX28:AX30,1),3,IF(AM27&gt;LARGE(AX28:AX30,2),1,0))</f>
        <v>0</v>
      </c>
      <c r="AZ27" s="134">
        <f t="shared" ref="AZ27" si="103">IF(AI30=12,3,0)</f>
        <v>0</v>
      </c>
      <c r="BA27" s="87">
        <f t="shared" ref="BA27:BA28" si="104">IF(VLOOKUP(AL27,$Y$7:$AV$38,24,FALSE)&lt;&gt;1,MAX(AY27:AZ27),MIN(AY27:AZ27))</f>
        <v>0</v>
      </c>
    </row>
    <row r="28" spans="1:53" x14ac:dyDescent="0.2">
      <c r="A28" s="87" t="s">
        <v>83</v>
      </c>
      <c r="B28" s="87" t="str">
        <f t="shared" si="5"/>
        <v>México</v>
      </c>
      <c r="C28" s="87">
        <v>22</v>
      </c>
      <c r="D28" s="123" t="s">
        <v>173</v>
      </c>
      <c r="E28" s="123">
        <v>24</v>
      </c>
      <c r="F28" s="133">
        <v>43273</v>
      </c>
      <c r="G28" s="124">
        <v>0.5</v>
      </c>
      <c r="H28" s="123" t="s">
        <v>185</v>
      </c>
      <c r="I28" s="87" t="s">
        <v>10</v>
      </c>
      <c r="J28" s="125" t="str">
        <f>$B$22</f>
        <v>Nigéria</v>
      </c>
      <c r="K28" s="134" t="str">
        <f>IF(VLOOKUP($E28,JOGOS!$B$11:$K$84,7,FALSE)="","",VLOOKUP($E28,JOGOS!$B$11:$K$84,7,FALSE))</f>
        <v/>
      </c>
      <c r="L28" s="87" t="s">
        <v>16</v>
      </c>
      <c r="M28" s="134" t="str">
        <f>IF(VLOOKUP($E28,JOGOS!$B$11:$K$84,9,FALSE)="","",VLOOKUP($E28,JOGOS!$B$11:$K$84,9,FALSE))</f>
        <v/>
      </c>
      <c r="N28" s="126" t="str">
        <f>$B$20</f>
        <v>Islândia</v>
      </c>
      <c r="O28" s="135"/>
      <c r="S28" s="87">
        <f t="shared" si="0"/>
        <v>0</v>
      </c>
      <c r="T28" s="87">
        <f t="shared" si="1"/>
        <v>0</v>
      </c>
      <c r="U28" s="87">
        <f t="shared" si="2"/>
        <v>0</v>
      </c>
      <c r="V28" s="137">
        <v>2.9999999999999997E-4</v>
      </c>
      <c r="W28" s="138">
        <f t="shared" si="6"/>
        <v>-99999999.999699995</v>
      </c>
      <c r="X28" s="137">
        <f t="shared" ref="X28:X30" si="105">RANK(W28,$W$27:$W$30)</f>
        <v>2</v>
      </c>
      <c r="Y28" s="137" t="str">
        <f>$B$28</f>
        <v>México</v>
      </c>
      <c r="Z28" s="140">
        <f t="shared" si="8"/>
        <v>0</v>
      </c>
      <c r="AA28" s="137">
        <f t="shared" si="9"/>
        <v>0</v>
      </c>
      <c r="AB28" s="137">
        <f t="shared" si="10"/>
        <v>0</v>
      </c>
      <c r="AC28" s="137">
        <f t="shared" si="3"/>
        <v>0</v>
      </c>
      <c r="AD28" s="137">
        <f t="shared" si="11"/>
        <v>0</v>
      </c>
      <c r="AE28" s="137">
        <f t="shared" si="12"/>
        <v>0</v>
      </c>
      <c r="AF28" s="137">
        <f t="shared" si="13"/>
        <v>0</v>
      </c>
      <c r="AG28" s="137">
        <f t="shared" si="14"/>
        <v>0</v>
      </c>
      <c r="AH28" s="139">
        <f>CLASSIFICAÇÃO!Z20</f>
        <v>0</v>
      </c>
      <c r="AI28" s="140"/>
      <c r="AJ28" s="204"/>
      <c r="AK28" s="137">
        <v>2</v>
      </c>
      <c r="AL28" s="137" t="str">
        <f t="shared" ref="AL28:AL30" si="106">VLOOKUP($AK28,$X$27:$AI$30,Y$5,FALSE)</f>
        <v>México</v>
      </c>
      <c r="AM28" s="137">
        <f t="shared" ref="AM28:AM30" si="107">VLOOKUP($AK28,$X$27:$AI$30,Z$5,FALSE)</f>
        <v>0</v>
      </c>
      <c r="AN28" s="137">
        <f t="shared" ref="AN28:AN30" si="108">VLOOKUP($AK28,$X$27:$AI$30,AA$5,FALSE)</f>
        <v>0</v>
      </c>
      <c r="AO28" s="137">
        <f t="shared" ref="AO28:AO30" si="109">VLOOKUP($AK28,$X$27:$AI$30,AB$5,FALSE)</f>
        <v>0</v>
      </c>
      <c r="AP28" s="137">
        <f t="shared" ref="AP28:AP30" si="110">VLOOKUP($AK28,$X$27:$AI$30,AC$5,FALSE)</f>
        <v>0</v>
      </c>
      <c r="AQ28" s="137">
        <f t="shared" ref="AQ28:AQ30" si="111">VLOOKUP($AK28,$X$27:$AI$30,AD$5,FALSE)</f>
        <v>0</v>
      </c>
      <c r="AR28" s="137">
        <f t="shared" ref="AR28:AR30" si="112">VLOOKUP($AK28,$X$27:$AI$30,AE$5,FALSE)</f>
        <v>0</v>
      </c>
      <c r="AS28" s="137">
        <f t="shared" ref="AS28:AS30" si="113">VLOOKUP($AK28,$X$27:$AI$30,AF$5,FALSE)</f>
        <v>0</v>
      </c>
      <c r="AT28" s="137">
        <f t="shared" ref="AT28:AT30" si="114">VLOOKUP($AK28,$X$27:$AI$30,AG$5,FALSE)</f>
        <v>0</v>
      </c>
      <c r="AU28" s="87">
        <f t="shared" si="24"/>
        <v>0</v>
      </c>
      <c r="AV28" s="87">
        <f t="shared" ref="AV28:AV30" si="115">IF(AND(COUNTIF(AU$27:AU$30,AU28)&gt;1,AI$30=12),1,0)</f>
        <v>0</v>
      </c>
      <c r="AW28" s="87">
        <f t="shared" si="26"/>
        <v>9</v>
      </c>
      <c r="AX28" s="87">
        <f t="shared" si="27"/>
        <v>9</v>
      </c>
      <c r="AY28" s="87">
        <f>IF(AND(AX28&lt;AM27,AM28&gt;LARGE(AX29:AX30,1)),2,IF(AM28&gt;LARGE(AX29:AX30,1),1,0))</f>
        <v>0</v>
      </c>
      <c r="AZ28" s="134">
        <f t="shared" ref="AZ28" si="116">IF(AI30=12,2,0)</f>
        <v>0</v>
      </c>
      <c r="BA28" s="87">
        <f t="shared" si="104"/>
        <v>0</v>
      </c>
    </row>
    <row r="29" spans="1:53" x14ac:dyDescent="0.2">
      <c r="A29" s="87" t="s">
        <v>84</v>
      </c>
      <c r="B29" s="87" t="str">
        <f t="shared" si="5"/>
        <v>Suécia</v>
      </c>
      <c r="C29" s="87">
        <v>23</v>
      </c>
      <c r="D29" s="123" t="s">
        <v>174</v>
      </c>
      <c r="E29" s="123">
        <v>39</v>
      </c>
      <c r="F29" s="133">
        <v>43277</v>
      </c>
      <c r="G29" s="124">
        <v>0.625</v>
      </c>
      <c r="H29" s="123" t="s">
        <v>182</v>
      </c>
      <c r="I29" s="87" t="s">
        <v>10</v>
      </c>
      <c r="J29" s="125" t="str">
        <f>$B$22</f>
        <v>Nigéria</v>
      </c>
      <c r="K29" s="134" t="str">
        <f>IF(VLOOKUP($E29,JOGOS!$B$11:$K$84,7,FALSE)="","",VLOOKUP($E29,JOGOS!$B$11:$K$84,7,FALSE))</f>
        <v/>
      </c>
      <c r="L29" s="87" t="s">
        <v>16</v>
      </c>
      <c r="M29" s="134" t="str">
        <f>IF(VLOOKUP($E29,JOGOS!$B$11:$K$84,9,FALSE)="","",VLOOKUP($E29,JOGOS!$B$11:$K$84,9,FALSE))</f>
        <v/>
      </c>
      <c r="N29" s="126" t="str">
        <f>$B$19</f>
        <v>Argentina</v>
      </c>
      <c r="O29" s="135"/>
      <c r="S29" s="87">
        <f t="shared" si="0"/>
        <v>0</v>
      </c>
      <c r="T29" s="87">
        <f t="shared" si="1"/>
        <v>0</v>
      </c>
      <c r="U29" s="87">
        <f t="shared" si="2"/>
        <v>0</v>
      </c>
      <c r="V29" s="137">
        <v>2.0000000000000001E-4</v>
      </c>
      <c r="W29" s="138">
        <f t="shared" si="6"/>
        <v>-99999999.999799997</v>
      </c>
      <c r="X29" s="137">
        <f t="shared" si="105"/>
        <v>3</v>
      </c>
      <c r="Y29" s="137" t="str">
        <f>$B$29</f>
        <v>Suécia</v>
      </c>
      <c r="Z29" s="137">
        <f t="shared" si="8"/>
        <v>0</v>
      </c>
      <c r="AA29" s="137">
        <f t="shared" si="9"/>
        <v>0</v>
      </c>
      <c r="AB29" s="137">
        <f t="shared" si="10"/>
        <v>0</v>
      </c>
      <c r="AC29" s="137">
        <f t="shared" si="3"/>
        <v>0</v>
      </c>
      <c r="AD29" s="137">
        <f t="shared" si="11"/>
        <v>0</v>
      </c>
      <c r="AE29" s="137">
        <f t="shared" si="12"/>
        <v>0</v>
      </c>
      <c r="AF29" s="137">
        <f t="shared" si="13"/>
        <v>0</v>
      </c>
      <c r="AG29" s="137">
        <f t="shared" si="14"/>
        <v>0</v>
      </c>
      <c r="AH29" s="139">
        <f>CLASSIFICAÇÃO!Z21</f>
        <v>0</v>
      </c>
      <c r="AI29" s="137"/>
      <c r="AJ29" s="204"/>
      <c r="AK29" s="137">
        <v>3</v>
      </c>
      <c r="AL29" s="137" t="str">
        <f t="shared" si="106"/>
        <v>Suécia</v>
      </c>
      <c r="AM29" s="137">
        <f t="shared" si="107"/>
        <v>0</v>
      </c>
      <c r="AN29" s="137">
        <f t="shared" si="108"/>
        <v>0</v>
      </c>
      <c r="AO29" s="137">
        <f t="shared" si="109"/>
        <v>0</v>
      </c>
      <c r="AP29" s="137">
        <f t="shared" si="110"/>
        <v>0</v>
      </c>
      <c r="AQ29" s="137">
        <f t="shared" si="111"/>
        <v>0</v>
      </c>
      <c r="AR29" s="137">
        <f t="shared" si="112"/>
        <v>0</v>
      </c>
      <c r="AS29" s="137">
        <f t="shared" si="113"/>
        <v>0</v>
      </c>
      <c r="AT29" s="137">
        <f t="shared" si="114"/>
        <v>0</v>
      </c>
      <c r="AU29" s="87">
        <f t="shared" si="24"/>
        <v>0</v>
      </c>
      <c r="AV29" s="87">
        <f t="shared" si="115"/>
        <v>0</v>
      </c>
      <c r="AW29" s="87">
        <f t="shared" si="26"/>
        <v>9</v>
      </c>
      <c r="AX29" s="87">
        <f t="shared" si="27"/>
        <v>9</v>
      </c>
      <c r="AY29" s="87">
        <f>IF(AX29&lt;SMALL(AM27:AM28,1),-1,0)</f>
        <v>0</v>
      </c>
      <c r="AZ29" s="134">
        <f t="shared" ref="AZ29" si="117">IF(AI30=12,-1,0)</f>
        <v>0</v>
      </c>
      <c r="BA29" s="87">
        <f t="shared" ref="BA29:BA30" si="118">IF(VLOOKUP(AL29,$Y$7:$AV$38,24,FALSE)&lt;&gt;1,MIN(AY29:AZ29),MAX(AY29:AZ29))</f>
        <v>0</v>
      </c>
    </row>
    <row r="30" spans="1:53" x14ac:dyDescent="0.2">
      <c r="A30" s="87" t="s">
        <v>85</v>
      </c>
      <c r="B30" s="87" t="str">
        <f t="shared" si="5"/>
        <v>Coreia do Sul</v>
      </c>
      <c r="C30" s="87">
        <v>24</v>
      </c>
      <c r="D30" s="123" t="s">
        <v>175</v>
      </c>
      <c r="E30" s="123">
        <v>40</v>
      </c>
      <c r="F30" s="133">
        <v>43277</v>
      </c>
      <c r="G30" s="124">
        <v>0.625</v>
      </c>
      <c r="H30" s="123" t="s">
        <v>183</v>
      </c>
      <c r="I30" s="87" t="s">
        <v>10</v>
      </c>
      <c r="J30" s="125" t="str">
        <f>$B$20</f>
        <v>Islândia</v>
      </c>
      <c r="K30" s="134" t="str">
        <f>IF(VLOOKUP($E30,JOGOS!$B$11:$K$84,7,FALSE)="","",VLOOKUP($E30,JOGOS!$B$11:$K$84,7,FALSE))</f>
        <v/>
      </c>
      <c r="L30" s="87" t="s">
        <v>16</v>
      </c>
      <c r="M30" s="134" t="str">
        <f>IF(VLOOKUP($E30,JOGOS!$B$11:$K$84,9,FALSE)="","",VLOOKUP($E30,JOGOS!$B$11:$K$84,9,FALSE))</f>
        <v/>
      </c>
      <c r="N30" s="126" t="str">
        <f>$B$21</f>
        <v>Croácia</v>
      </c>
      <c r="O30" s="135"/>
      <c r="S30" s="87">
        <f t="shared" si="0"/>
        <v>0</v>
      </c>
      <c r="T30" s="87">
        <f t="shared" si="1"/>
        <v>0</v>
      </c>
      <c r="U30" s="87">
        <f t="shared" si="2"/>
        <v>0</v>
      </c>
      <c r="V30" s="141">
        <v>1E-4</v>
      </c>
      <c r="W30" s="142">
        <f t="shared" si="6"/>
        <v>-99999999.999899998</v>
      </c>
      <c r="X30" s="141">
        <f t="shared" si="105"/>
        <v>4</v>
      </c>
      <c r="Y30" s="141" t="str">
        <f>$B$30</f>
        <v>Coreia do Sul</v>
      </c>
      <c r="Z30" s="141">
        <f t="shared" si="8"/>
        <v>0</v>
      </c>
      <c r="AA30" s="141">
        <f t="shared" si="9"/>
        <v>0</v>
      </c>
      <c r="AB30" s="141">
        <f t="shared" si="10"/>
        <v>0</v>
      </c>
      <c r="AC30" s="141">
        <f t="shared" si="3"/>
        <v>0</v>
      </c>
      <c r="AD30" s="141">
        <f t="shared" si="11"/>
        <v>0</v>
      </c>
      <c r="AE30" s="141">
        <f t="shared" si="12"/>
        <v>0</v>
      </c>
      <c r="AF30" s="141">
        <f t="shared" si="13"/>
        <v>0</v>
      </c>
      <c r="AG30" s="141">
        <f t="shared" si="14"/>
        <v>0</v>
      </c>
      <c r="AH30" s="143">
        <f>CLASSIFICAÇÃO!Z22</f>
        <v>0</v>
      </c>
      <c r="AI30" s="141">
        <f>SUM(AA27:AA30)</f>
        <v>0</v>
      </c>
      <c r="AJ30" s="205"/>
      <c r="AK30" s="141">
        <v>4</v>
      </c>
      <c r="AL30" s="141" t="str">
        <f t="shared" si="106"/>
        <v>Coreia do Sul</v>
      </c>
      <c r="AM30" s="141">
        <f t="shared" si="107"/>
        <v>0</v>
      </c>
      <c r="AN30" s="141">
        <f t="shared" si="108"/>
        <v>0</v>
      </c>
      <c r="AO30" s="141">
        <f t="shared" si="109"/>
        <v>0</v>
      </c>
      <c r="AP30" s="141">
        <f t="shared" si="110"/>
        <v>0</v>
      </c>
      <c r="AQ30" s="141">
        <f t="shared" si="111"/>
        <v>0</v>
      </c>
      <c r="AR30" s="141">
        <f t="shared" si="112"/>
        <v>0</v>
      </c>
      <c r="AS30" s="141">
        <f t="shared" si="113"/>
        <v>0</v>
      </c>
      <c r="AT30" s="141">
        <f t="shared" si="114"/>
        <v>0</v>
      </c>
      <c r="AU30" s="141">
        <f t="shared" si="24"/>
        <v>0</v>
      </c>
      <c r="AV30" s="141">
        <f t="shared" si="115"/>
        <v>0</v>
      </c>
      <c r="AW30" s="141">
        <f t="shared" si="26"/>
        <v>9</v>
      </c>
      <c r="AX30" s="141">
        <f t="shared" si="27"/>
        <v>9</v>
      </c>
      <c r="AY30" s="141">
        <f>IF(AX30&lt;SMALL(AM27:AM29,2),-1,0)</f>
        <v>0</v>
      </c>
      <c r="AZ30" s="143">
        <f t="shared" ref="AZ30" si="119">IF(AI30=12,-1,0)</f>
        <v>0</v>
      </c>
      <c r="BA30" s="141">
        <f t="shared" si="118"/>
        <v>0</v>
      </c>
    </row>
    <row r="31" spans="1:53" x14ac:dyDescent="0.2">
      <c r="A31" s="87" t="s">
        <v>137</v>
      </c>
      <c r="B31" s="87" t="str">
        <f t="shared" si="5"/>
        <v>Bélgica</v>
      </c>
      <c r="C31" s="87">
        <v>25</v>
      </c>
      <c r="D31" s="123" t="s">
        <v>135</v>
      </c>
      <c r="E31" s="123">
        <v>9</v>
      </c>
      <c r="F31" s="133">
        <v>43268</v>
      </c>
      <c r="G31" s="124">
        <v>0.625</v>
      </c>
      <c r="H31" s="123" t="s">
        <v>183</v>
      </c>
      <c r="I31" s="87" t="s">
        <v>9</v>
      </c>
      <c r="J31" s="125" t="str">
        <f>$B$23</f>
        <v>BRASIL</v>
      </c>
      <c r="K31" s="134" t="str">
        <f>IF(VLOOKUP($E31,JOGOS!$B$11:$K$84,7,FALSE)="","",VLOOKUP($E31,JOGOS!$B$11:$K$84,7,FALSE))</f>
        <v/>
      </c>
      <c r="L31" s="87" t="s">
        <v>16</v>
      </c>
      <c r="M31" s="134" t="str">
        <f>IF(VLOOKUP($E31,JOGOS!$B$11:$K$84,9,FALSE)="","",VLOOKUP($E31,JOGOS!$B$11:$K$84,9,FALSE))</f>
        <v/>
      </c>
      <c r="N31" s="126" t="str">
        <f>$B$24</f>
        <v>Suíça</v>
      </c>
      <c r="O31" s="135"/>
      <c r="S31" s="87">
        <f t="shared" si="0"/>
        <v>0</v>
      </c>
      <c r="T31" s="87">
        <f t="shared" si="1"/>
        <v>0</v>
      </c>
      <c r="U31" s="87">
        <f t="shared" si="2"/>
        <v>0</v>
      </c>
      <c r="V31" s="137">
        <v>4.0000000000000002E-4</v>
      </c>
      <c r="W31" s="138">
        <f t="shared" si="6"/>
        <v>-99999999.999599993</v>
      </c>
      <c r="X31" s="137">
        <f>RANK(W31,$W$31:$W$34)</f>
        <v>1</v>
      </c>
      <c r="Y31" s="137" t="str">
        <f>$B$31</f>
        <v>Bélgica</v>
      </c>
      <c r="Z31" s="137">
        <f t="shared" si="8"/>
        <v>0</v>
      </c>
      <c r="AA31" s="137">
        <f t="shared" si="9"/>
        <v>0</v>
      </c>
      <c r="AB31" s="137">
        <f t="shared" si="10"/>
        <v>0</v>
      </c>
      <c r="AC31" s="137">
        <f t="shared" si="3"/>
        <v>0</v>
      </c>
      <c r="AD31" s="137">
        <f t="shared" si="11"/>
        <v>0</v>
      </c>
      <c r="AE31" s="137">
        <f t="shared" si="12"/>
        <v>0</v>
      </c>
      <c r="AF31" s="137">
        <f t="shared" si="13"/>
        <v>0</v>
      </c>
      <c r="AG31" s="137">
        <f t="shared" si="14"/>
        <v>0</v>
      </c>
      <c r="AH31" s="139">
        <f>CLASSIFICAÇÃO!M25</f>
        <v>0</v>
      </c>
      <c r="AI31" s="140"/>
      <c r="AJ31" s="204" t="s">
        <v>19</v>
      </c>
      <c r="AK31" s="137">
        <v>1</v>
      </c>
      <c r="AL31" s="137" t="str">
        <f>VLOOKUP($AK31,$X$31:$AI$34,Y$5,FALSE)</f>
        <v>Bélgica</v>
      </c>
      <c r="AM31" s="140">
        <f t="shared" ref="AM31:AT31" si="120">VLOOKUP($AK31,$X$31:$AI$34,Z$5,FALSE)</f>
        <v>0</v>
      </c>
      <c r="AN31" s="137">
        <f t="shared" si="120"/>
        <v>0</v>
      </c>
      <c r="AO31" s="137">
        <f t="shared" si="120"/>
        <v>0</v>
      </c>
      <c r="AP31" s="137">
        <f t="shared" si="120"/>
        <v>0</v>
      </c>
      <c r="AQ31" s="137">
        <f t="shared" si="120"/>
        <v>0</v>
      </c>
      <c r="AR31" s="137">
        <f t="shared" si="120"/>
        <v>0</v>
      </c>
      <c r="AS31" s="137">
        <f t="shared" si="120"/>
        <v>0</v>
      </c>
      <c r="AT31" s="137">
        <f t="shared" si="120"/>
        <v>0</v>
      </c>
      <c r="AU31" s="87">
        <f t="shared" si="24"/>
        <v>0</v>
      </c>
      <c r="AV31" s="87">
        <f>IF(AND(COUNTIF(AU$31:AU$34,AU31)&gt;1,AI$34=12),1,0)</f>
        <v>0</v>
      </c>
      <c r="AW31" s="87">
        <f t="shared" si="26"/>
        <v>9</v>
      </c>
      <c r="AX31" s="87">
        <f t="shared" si="27"/>
        <v>9</v>
      </c>
      <c r="AY31" s="87">
        <f>IF(AM31&gt;LARGE(AX32:AX34,1),3,IF(AM31&gt;LARGE(AX32:AX34,2),1,0))</f>
        <v>0</v>
      </c>
      <c r="AZ31" s="134">
        <f t="shared" ref="AZ31" si="121">IF(AI34=12,3,0)</f>
        <v>0</v>
      </c>
      <c r="BA31" s="87">
        <f t="shared" ref="BA31:BA32" si="122">IF(VLOOKUP(AL31,$Y$7:$AV$38,24,FALSE)&lt;&gt;1,MAX(AY31:AZ31),MIN(AY31:AZ31))</f>
        <v>0</v>
      </c>
    </row>
    <row r="32" spans="1:53" x14ac:dyDescent="0.2">
      <c r="A32" s="87" t="s">
        <v>138</v>
      </c>
      <c r="B32" s="87" t="str">
        <f t="shared" si="5"/>
        <v>Panamá</v>
      </c>
      <c r="C32" s="87">
        <v>26</v>
      </c>
      <c r="D32" s="123" t="s">
        <v>122</v>
      </c>
      <c r="E32" s="123">
        <v>10</v>
      </c>
      <c r="F32" s="133">
        <v>43268</v>
      </c>
      <c r="G32" s="124">
        <v>0.375</v>
      </c>
      <c r="H32" s="123" t="s">
        <v>184</v>
      </c>
      <c r="I32" s="87" t="s">
        <v>9</v>
      </c>
      <c r="J32" s="125" t="str">
        <f>$B$25</f>
        <v>Costa Rica</v>
      </c>
      <c r="K32" s="134" t="str">
        <f>IF(VLOOKUP($E32,JOGOS!$B$11:$K$84,7,FALSE)="","",VLOOKUP($E32,JOGOS!$B$11:$K$84,7,FALSE))</f>
        <v/>
      </c>
      <c r="L32" s="87" t="s">
        <v>16</v>
      </c>
      <c r="M32" s="134" t="str">
        <f>IF(VLOOKUP($E32,JOGOS!$B$11:$K$84,9,FALSE)="","",VLOOKUP($E32,JOGOS!$B$11:$K$84,9,FALSE))</f>
        <v/>
      </c>
      <c r="N32" s="126" t="str">
        <f>$B$26</f>
        <v>Sérvia</v>
      </c>
      <c r="O32" s="135"/>
      <c r="S32" s="87">
        <f t="shared" si="0"/>
        <v>0</v>
      </c>
      <c r="T32" s="87">
        <f t="shared" si="1"/>
        <v>0</v>
      </c>
      <c r="U32" s="87">
        <f t="shared" si="2"/>
        <v>0</v>
      </c>
      <c r="V32" s="137">
        <v>2.9999999999999997E-4</v>
      </c>
      <c r="W32" s="138">
        <f t="shared" si="6"/>
        <v>-99999999.999699995</v>
      </c>
      <c r="X32" s="137">
        <f t="shared" ref="X32:X34" si="123">RANK(W32,$W$31:$W$34)</f>
        <v>2</v>
      </c>
      <c r="Y32" s="137" t="str">
        <f>$B$32</f>
        <v>Panamá</v>
      </c>
      <c r="Z32" s="140">
        <f t="shared" si="8"/>
        <v>0</v>
      </c>
      <c r="AA32" s="137">
        <f t="shared" si="9"/>
        <v>0</v>
      </c>
      <c r="AB32" s="137">
        <f t="shared" si="10"/>
        <v>0</v>
      </c>
      <c r="AC32" s="137">
        <f t="shared" si="3"/>
        <v>0</v>
      </c>
      <c r="AD32" s="137">
        <f t="shared" si="11"/>
        <v>0</v>
      </c>
      <c r="AE32" s="137">
        <f t="shared" si="12"/>
        <v>0</v>
      </c>
      <c r="AF32" s="137">
        <f t="shared" si="13"/>
        <v>0</v>
      </c>
      <c r="AG32" s="137">
        <f t="shared" si="14"/>
        <v>0</v>
      </c>
      <c r="AH32" s="139">
        <f>CLASSIFICAÇÃO!M26</f>
        <v>0</v>
      </c>
      <c r="AI32" s="140"/>
      <c r="AJ32" s="204"/>
      <c r="AK32" s="137">
        <v>2</v>
      </c>
      <c r="AL32" s="137" t="str">
        <f t="shared" ref="AL32:AL34" si="124">VLOOKUP($AK32,$X$31:$AI$34,Y$5,FALSE)</f>
        <v>Panamá</v>
      </c>
      <c r="AM32" s="137">
        <f t="shared" ref="AM32:AM34" si="125">VLOOKUP($AK32,$X$31:$AI$34,Z$5,FALSE)</f>
        <v>0</v>
      </c>
      <c r="AN32" s="137">
        <f t="shared" ref="AN32:AN34" si="126">VLOOKUP($AK32,$X$31:$AI$34,AA$5,FALSE)</f>
        <v>0</v>
      </c>
      <c r="AO32" s="137">
        <f t="shared" ref="AO32:AO34" si="127">VLOOKUP($AK32,$X$31:$AI$34,AB$5,FALSE)</f>
        <v>0</v>
      </c>
      <c r="AP32" s="137">
        <f t="shared" ref="AP32:AP34" si="128">VLOOKUP($AK32,$X$31:$AI$34,AC$5,FALSE)</f>
        <v>0</v>
      </c>
      <c r="AQ32" s="137">
        <f t="shared" ref="AQ32:AQ34" si="129">VLOOKUP($AK32,$X$31:$AI$34,AD$5,FALSE)</f>
        <v>0</v>
      </c>
      <c r="AR32" s="137">
        <f t="shared" ref="AR32:AR34" si="130">VLOOKUP($AK32,$X$31:$AI$34,AE$5,FALSE)</f>
        <v>0</v>
      </c>
      <c r="AS32" s="137">
        <f t="shared" ref="AS32:AS34" si="131">VLOOKUP($AK32,$X$31:$AI$34,AF$5,FALSE)</f>
        <v>0</v>
      </c>
      <c r="AT32" s="137">
        <f t="shared" ref="AT32:AT34" si="132">VLOOKUP($AK32,$X$31:$AI$34,AG$5,FALSE)</f>
        <v>0</v>
      </c>
      <c r="AU32" s="87">
        <f t="shared" si="24"/>
        <v>0</v>
      </c>
      <c r="AV32" s="87">
        <f t="shared" ref="AV32:AV34" si="133">IF(AND(COUNTIF(AU$31:AU$34,AU32)&gt;1,AI$34=12),1,0)</f>
        <v>0</v>
      </c>
      <c r="AW32" s="87">
        <f t="shared" si="26"/>
        <v>9</v>
      </c>
      <c r="AX32" s="87">
        <f t="shared" si="27"/>
        <v>9</v>
      </c>
      <c r="AY32" s="87">
        <f>IF(AND(AX32&lt;AM31,AM32&gt;LARGE(AX33:AX34,1)),2,IF(AM32&gt;LARGE(AX33:AX34,1),1,0))</f>
        <v>0</v>
      </c>
      <c r="AZ32" s="134">
        <f t="shared" ref="AZ32" si="134">IF(AI34=12,2,0)</f>
        <v>0</v>
      </c>
      <c r="BA32" s="87">
        <f t="shared" si="122"/>
        <v>0</v>
      </c>
    </row>
    <row r="33" spans="1:53" x14ac:dyDescent="0.2">
      <c r="A33" s="87" t="s">
        <v>139</v>
      </c>
      <c r="B33" s="87" t="str">
        <f t="shared" si="5"/>
        <v>Tunísia</v>
      </c>
      <c r="C33" s="87">
        <v>27</v>
      </c>
      <c r="D33" s="123" t="s">
        <v>176</v>
      </c>
      <c r="E33" s="123">
        <v>25</v>
      </c>
      <c r="F33" s="133">
        <v>43273</v>
      </c>
      <c r="G33" s="124">
        <v>0.375</v>
      </c>
      <c r="H33" s="123" t="s">
        <v>182</v>
      </c>
      <c r="I33" s="87" t="s">
        <v>9</v>
      </c>
      <c r="J33" s="125" t="str">
        <f>$B$23</f>
        <v>BRASIL</v>
      </c>
      <c r="K33" s="134" t="str">
        <f>IF(VLOOKUP($E33,JOGOS!$B$11:$K$84,7,FALSE)="","",VLOOKUP($E33,JOGOS!$B$11:$K$84,7,FALSE))</f>
        <v/>
      </c>
      <c r="L33" s="87" t="s">
        <v>16</v>
      </c>
      <c r="M33" s="134" t="str">
        <f>IF(VLOOKUP($E33,JOGOS!$B$11:$K$84,9,FALSE)="","",VLOOKUP($E33,JOGOS!$B$11:$K$84,9,FALSE))</f>
        <v/>
      </c>
      <c r="N33" s="126" t="str">
        <f>$B$25</f>
        <v>Costa Rica</v>
      </c>
      <c r="O33" s="135"/>
      <c r="S33" s="87">
        <f t="shared" si="0"/>
        <v>0</v>
      </c>
      <c r="T33" s="87">
        <f t="shared" si="1"/>
        <v>0</v>
      </c>
      <c r="U33" s="87">
        <f t="shared" si="2"/>
        <v>0</v>
      </c>
      <c r="V33" s="137">
        <v>2.0000000000000001E-4</v>
      </c>
      <c r="W33" s="138">
        <f t="shared" si="6"/>
        <v>-99999999.999799997</v>
      </c>
      <c r="X33" s="137">
        <f t="shared" si="123"/>
        <v>3</v>
      </c>
      <c r="Y33" s="137" t="str">
        <f>$B$33</f>
        <v>Tunísia</v>
      </c>
      <c r="Z33" s="137">
        <f t="shared" si="8"/>
        <v>0</v>
      </c>
      <c r="AA33" s="137">
        <f t="shared" si="9"/>
        <v>0</v>
      </c>
      <c r="AB33" s="137">
        <f t="shared" si="10"/>
        <v>0</v>
      </c>
      <c r="AC33" s="137">
        <f t="shared" si="3"/>
        <v>0</v>
      </c>
      <c r="AD33" s="137">
        <f t="shared" si="11"/>
        <v>0</v>
      </c>
      <c r="AE33" s="137">
        <f t="shared" si="12"/>
        <v>0</v>
      </c>
      <c r="AF33" s="137">
        <f t="shared" si="13"/>
        <v>0</v>
      </c>
      <c r="AG33" s="137">
        <f t="shared" si="14"/>
        <v>0</v>
      </c>
      <c r="AH33" s="139">
        <f>CLASSIFICAÇÃO!M27</f>
        <v>0</v>
      </c>
      <c r="AI33" s="137"/>
      <c r="AJ33" s="204"/>
      <c r="AK33" s="137">
        <v>3</v>
      </c>
      <c r="AL33" s="137" t="str">
        <f t="shared" si="124"/>
        <v>Tunísia</v>
      </c>
      <c r="AM33" s="137">
        <f t="shared" si="125"/>
        <v>0</v>
      </c>
      <c r="AN33" s="137">
        <f t="shared" si="126"/>
        <v>0</v>
      </c>
      <c r="AO33" s="137">
        <f t="shared" si="127"/>
        <v>0</v>
      </c>
      <c r="AP33" s="137">
        <f t="shared" si="128"/>
        <v>0</v>
      </c>
      <c r="AQ33" s="137">
        <f t="shared" si="129"/>
        <v>0</v>
      </c>
      <c r="AR33" s="137">
        <f t="shared" si="130"/>
        <v>0</v>
      </c>
      <c r="AS33" s="137">
        <f t="shared" si="131"/>
        <v>0</v>
      </c>
      <c r="AT33" s="137">
        <f t="shared" si="132"/>
        <v>0</v>
      </c>
      <c r="AU33" s="87">
        <f t="shared" si="24"/>
        <v>0</v>
      </c>
      <c r="AV33" s="87">
        <f t="shared" si="133"/>
        <v>0</v>
      </c>
      <c r="AW33" s="87">
        <f t="shared" si="26"/>
        <v>9</v>
      </c>
      <c r="AX33" s="87">
        <f t="shared" si="27"/>
        <v>9</v>
      </c>
      <c r="AY33" s="87">
        <f>IF(AX33&lt;SMALL(AM31:AM32,1),-1,0)</f>
        <v>0</v>
      </c>
      <c r="AZ33" s="134">
        <f t="shared" ref="AZ33" si="135">IF(AI34=12,-1,0)</f>
        <v>0</v>
      </c>
      <c r="BA33" s="87">
        <f t="shared" ref="BA33:BA34" si="136">IF(VLOOKUP(AL33,$Y$7:$AV$38,24,FALSE)&lt;&gt;1,MIN(AY33:AZ33),MAX(AY33:AZ33))</f>
        <v>0</v>
      </c>
    </row>
    <row r="34" spans="1:53" x14ac:dyDescent="0.2">
      <c r="A34" s="87" t="s">
        <v>140</v>
      </c>
      <c r="B34" s="87" t="str">
        <f t="shared" si="5"/>
        <v>Inglaterra</v>
      </c>
      <c r="C34" s="87">
        <v>28</v>
      </c>
      <c r="D34" s="123" t="s">
        <v>177</v>
      </c>
      <c r="E34" s="123">
        <v>26</v>
      </c>
      <c r="F34" s="133">
        <v>43273</v>
      </c>
      <c r="G34" s="124">
        <v>0.625</v>
      </c>
      <c r="H34" s="123" t="s">
        <v>189</v>
      </c>
      <c r="I34" s="87" t="s">
        <v>9</v>
      </c>
      <c r="J34" s="125" t="str">
        <f t="shared" ref="J34:J35" si="137">$B$26</f>
        <v>Sérvia</v>
      </c>
      <c r="K34" s="134" t="str">
        <f>IF(VLOOKUP($E34,JOGOS!$B$11:$K$84,7,FALSE)="","",VLOOKUP($E34,JOGOS!$B$11:$K$84,7,FALSE))</f>
        <v/>
      </c>
      <c r="L34" s="87" t="s">
        <v>16</v>
      </c>
      <c r="M34" s="134" t="str">
        <f>IF(VLOOKUP($E34,JOGOS!$B$11:$K$84,9,FALSE)="","",VLOOKUP($E34,JOGOS!$B$11:$K$84,9,FALSE))</f>
        <v/>
      </c>
      <c r="N34" s="126" t="str">
        <f>$B$24</f>
        <v>Suíça</v>
      </c>
      <c r="O34" s="135"/>
      <c r="S34" s="87">
        <f t="shared" si="0"/>
        <v>0</v>
      </c>
      <c r="T34" s="87">
        <f t="shared" si="1"/>
        <v>0</v>
      </c>
      <c r="U34" s="87">
        <f t="shared" si="2"/>
        <v>0</v>
      </c>
      <c r="V34" s="141">
        <v>1E-4</v>
      </c>
      <c r="W34" s="142">
        <f t="shared" si="6"/>
        <v>-99999999.999899998</v>
      </c>
      <c r="X34" s="141">
        <f t="shared" si="123"/>
        <v>4</v>
      </c>
      <c r="Y34" s="141" t="str">
        <f>$B$34</f>
        <v>Inglaterra</v>
      </c>
      <c r="Z34" s="141">
        <f t="shared" si="8"/>
        <v>0</v>
      </c>
      <c r="AA34" s="141">
        <f t="shared" si="9"/>
        <v>0</v>
      </c>
      <c r="AB34" s="141">
        <f t="shared" si="10"/>
        <v>0</v>
      </c>
      <c r="AC34" s="141">
        <f t="shared" si="3"/>
        <v>0</v>
      </c>
      <c r="AD34" s="141">
        <f t="shared" si="11"/>
        <v>0</v>
      </c>
      <c r="AE34" s="141">
        <f t="shared" si="12"/>
        <v>0</v>
      </c>
      <c r="AF34" s="141">
        <f t="shared" si="13"/>
        <v>0</v>
      </c>
      <c r="AG34" s="141">
        <f t="shared" si="14"/>
        <v>0</v>
      </c>
      <c r="AH34" s="143">
        <f>CLASSIFICAÇÃO!M28</f>
        <v>0</v>
      </c>
      <c r="AI34" s="141">
        <f>SUM(AA31:AA34)</f>
        <v>0</v>
      </c>
      <c r="AJ34" s="205"/>
      <c r="AK34" s="141">
        <v>4</v>
      </c>
      <c r="AL34" s="141" t="str">
        <f t="shared" si="124"/>
        <v>Inglaterra</v>
      </c>
      <c r="AM34" s="141">
        <f t="shared" si="125"/>
        <v>0</v>
      </c>
      <c r="AN34" s="141">
        <f t="shared" si="126"/>
        <v>0</v>
      </c>
      <c r="AO34" s="141">
        <f t="shared" si="127"/>
        <v>0</v>
      </c>
      <c r="AP34" s="141">
        <f t="shared" si="128"/>
        <v>0</v>
      </c>
      <c r="AQ34" s="141">
        <f t="shared" si="129"/>
        <v>0</v>
      </c>
      <c r="AR34" s="141">
        <f t="shared" si="130"/>
        <v>0</v>
      </c>
      <c r="AS34" s="141">
        <f t="shared" si="131"/>
        <v>0</v>
      </c>
      <c r="AT34" s="141">
        <f t="shared" si="132"/>
        <v>0</v>
      </c>
      <c r="AU34" s="141">
        <f t="shared" si="24"/>
        <v>0</v>
      </c>
      <c r="AV34" s="141">
        <f t="shared" si="133"/>
        <v>0</v>
      </c>
      <c r="AW34" s="141">
        <f t="shared" si="26"/>
        <v>9</v>
      </c>
      <c r="AX34" s="141">
        <f t="shared" si="27"/>
        <v>9</v>
      </c>
      <c r="AY34" s="141">
        <f>IF(AX34&lt;SMALL(AM31:AM33,2),-1,0)</f>
        <v>0</v>
      </c>
      <c r="AZ34" s="143">
        <f t="shared" ref="AZ34" si="138">IF(AI34=12,-1,0)</f>
        <v>0</v>
      </c>
      <c r="BA34" s="141">
        <f t="shared" si="136"/>
        <v>0</v>
      </c>
    </row>
    <row r="35" spans="1:53" x14ac:dyDescent="0.2">
      <c r="A35" s="87" t="s">
        <v>141</v>
      </c>
      <c r="B35" s="87" t="str">
        <f t="shared" si="5"/>
        <v>Polônia</v>
      </c>
      <c r="C35" s="87">
        <v>29</v>
      </c>
      <c r="D35" s="123" t="s">
        <v>178</v>
      </c>
      <c r="E35" s="123">
        <v>41</v>
      </c>
      <c r="F35" s="133">
        <v>43278</v>
      </c>
      <c r="G35" s="124">
        <v>0.625</v>
      </c>
      <c r="H35" s="123" t="s">
        <v>180</v>
      </c>
      <c r="I35" s="87" t="s">
        <v>9</v>
      </c>
      <c r="J35" s="125" t="str">
        <f t="shared" si="137"/>
        <v>Sérvia</v>
      </c>
      <c r="K35" s="134" t="str">
        <f>IF(VLOOKUP($E35,JOGOS!$B$11:$K$84,7,FALSE)="","",VLOOKUP($E35,JOGOS!$B$11:$K$84,7,FALSE))</f>
        <v/>
      </c>
      <c r="L35" s="87" t="s">
        <v>16</v>
      </c>
      <c r="M35" s="134" t="str">
        <f>IF(VLOOKUP($E35,JOGOS!$B$11:$K$84,9,FALSE)="","",VLOOKUP($E35,JOGOS!$B$11:$K$84,9,FALSE))</f>
        <v/>
      </c>
      <c r="N35" s="126" t="str">
        <f>$B$23</f>
        <v>BRASIL</v>
      </c>
      <c r="O35" s="135"/>
      <c r="S35" s="87">
        <f t="shared" si="0"/>
        <v>0</v>
      </c>
      <c r="T35" s="87">
        <f t="shared" si="1"/>
        <v>0</v>
      </c>
      <c r="U35" s="87">
        <f t="shared" si="2"/>
        <v>0</v>
      </c>
      <c r="V35" s="137">
        <v>4.0000000000000002E-4</v>
      </c>
      <c r="W35" s="138">
        <f t="shared" si="6"/>
        <v>-99999999.999599993</v>
      </c>
      <c r="X35" s="137">
        <f>RANK(W35,$W$35:$W$38)</f>
        <v>1</v>
      </c>
      <c r="Y35" s="137" t="str">
        <f>$B$35</f>
        <v>Polônia</v>
      </c>
      <c r="Z35" s="137">
        <f t="shared" si="8"/>
        <v>0</v>
      </c>
      <c r="AA35" s="137">
        <f t="shared" si="9"/>
        <v>0</v>
      </c>
      <c r="AB35" s="137">
        <f t="shared" si="10"/>
        <v>0</v>
      </c>
      <c r="AC35" s="137">
        <f t="shared" si="3"/>
        <v>0</v>
      </c>
      <c r="AD35" s="137">
        <f t="shared" si="11"/>
        <v>0</v>
      </c>
      <c r="AE35" s="137">
        <f t="shared" si="12"/>
        <v>0</v>
      </c>
      <c r="AF35" s="137">
        <f t="shared" si="13"/>
        <v>0</v>
      </c>
      <c r="AG35" s="137">
        <f t="shared" si="14"/>
        <v>0</v>
      </c>
      <c r="AH35" s="139">
        <f>CLASSIFICAÇÃO!Z25</f>
        <v>0</v>
      </c>
      <c r="AI35" s="140"/>
      <c r="AJ35" s="204" t="s">
        <v>149</v>
      </c>
      <c r="AK35" s="137">
        <v>1</v>
      </c>
      <c r="AL35" s="137" t="str">
        <f>VLOOKUP($AK35,$X$35:$AI$38,Y$5,FALSE)</f>
        <v>Polônia</v>
      </c>
      <c r="AM35" s="140">
        <f t="shared" ref="AM35:AT35" si="139">VLOOKUP($AK35,$X$35:$AI$38,Z$5,FALSE)</f>
        <v>0</v>
      </c>
      <c r="AN35" s="137">
        <f t="shared" si="139"/>
        <v>0</v>
      </c>
      <c r="AO35" s="137">
        <f t="shared" si="139"/>
        <v>0</v>
      </c>
      <c r="AP35" s="137">
        <f t="shared" si="139"/>
        <v>0</v>
      </c>
      <c r="AQ35" s="137">
        <f t="shared" si="139"/>
        <v>0</v>
      </c>
      <c r="AR35" s="137">
        <f t="shared" si="139"/>
        <v>0</v>
      </c>
      <c r="AS35" s="137">
        <f t="shared" si="139"/>
        <v>0</v>
      </c>
      <c r="AT35" s="137">
        <f t="shared" si="139"/>
        <v>0</v>
      </c>
      <c r="AU35" s="87">
        <f t="shared" si="24"/>
        <v>0</v>
      </c>
      <c r="AV35" s="87">
        <f>IF(AND(COUNTIF(AU$35:AU$38,AU35)&gt;1,AI$38=12),1,0)</f>
        <v>0</v>
      </c>
      <c r="AW35" s="87">
        <f t="shared" si="26"/>
        <v>9</v>
      </c>
      <c r="AX35" s="87">
        <f t="shared" si="27"/>
        <v>9</v>
      </c>
      <c r="AY35" s="87">
        <f>IF(AM35&gt;LARGE(AX36:AX38,1),3,IF(AM35&gt;LARGE(AX36:AX38,2),1,0))</f>
        <v>0</v>
      </c>
      <c r="AZ35" s="134">
        <f t="shared" ref="AZ35" si="140">IF(AI38=12,3,0)</f>
        <v>0</v>
      </c>
      <c r="BA35" s="87">
        <f t="shared" ref="BA35:BA36" si="141">IF(VLOOKUP(AL35,$Y$7:$AV$38,24,FALSE)&lt;&gt;1,MAX(AY35:AZ35),MIN(AY35:AZ35))</f>
        <v>0</v>
      </c>
    </row>
    <row r="36" spans="1:53" x14ac:dyDescent="0.2">
      <c r="A36" s="87" t="s">
        <v>142</v>
      </c>
      <c r="B36" s="87" t="str">
        <f t="shared" si="5"/>
        <v>Senegal</v>
      </c>
      <c r="C36" s="87">
        <v>30</v>
      </c>
      <c r="D36" s="123" t="s">
        <v>136</v>
      </c>
      <c r="E36" s="123">
        <v>42</v>
      </c>
      <c r="F36" s="133">
        <v>43278</v>
      </c>
      <c r="G36" s="124">
        <v>0.625</v>
      </c>
      <c r="H36" s="123" t="s">
        <v>190</v>
      </c>
      <c r="I36" s="87" t="s">
        <v>9</v>
      </c>
      <c r="J36" s="125" t="str">
        <f>$B$24</f>
        <v>Suíça</v>
      </c>
      <c r="K36" s="134" t="str">
        <f>IF(VLOOKUP($E36,JOGOS!$B$11:$K$84,7,FALSE)="","",VLOOKUP($E36,JOGOS!$B$11:$K$84,7,FALSE))</f>
        <v/>
      </c>
      <c r="L36" s="87" t="s">
        <v>16</v>
      </c>
      <c r="M36" s="134" t="str">
        <f>IF(VLOOKUP($E36,JOGOS!$B$11:$K$84,9,FALSE)="","",VLOOKUP($E36,JOGOS!$B$11:$K$84,9,FALSE))</f>
        <v/>
      </c>
      <c r="N36" s="126" t="str">
        <f>$B$25</f>
        <v>Costa Rica</v>
      </c>
      <c r="O36" s="135"/>
      <c r="S36" s="87">
        <f t="shared" si="0"/>
        <v>0</v>
      </c>
      <c r="T36" s="87">
        <f t="shared" si="1"/>
        <v>0</v>
      </c>
      <c r="U36" s="87">
        <f t="shared" si="2"/>
        <v>0</v>
      </c>
      <c r="V36" s="137">
        <v>2.9999999999999997E-4</v>
      </c>
      <c r="W36" s="138">
        <f t="shared" si="6"/>
        <v>-99999999.999699995</v>
      </c>
      <c r="X36" s="137">
        <f t="shared" ref="X36:X38" si="142">RANK(W36,$W$35:$W$38)</f>
        <v>2</v>
      </c>
      <c r="Y36" s="137" t="str">
        <f>$B$36</f>
        <v>Senegal</v>
      </c>
      <c r="Z36" s="140">
        <f t="shared" si="8"/>
        <v>0</v>
      </c>
      <c r="AA36" s="137">
        <f t="shared" si="9"/>
        <v>0</v>
      </c>
      <c r="AB36" s="137">
        <f t="shared" si="10"/>
        <v>0</v>
      </c>
      <c r="AC36" s="137">
        <f t="shared" si="3"/>
        <v>0</v>
      </c>
      <c r="AD36" s="137">
        <f t="shared" si="11"/>
        <v>0</v>
      </c>
      <c r="AE36" s="137">
        <f t="shared" si="12"/>
        <v>0</v>
      </c>
      <c r="AF36" s="137">
        <f t="shared" si="13"/>
        <v>0</v>
      </c>
      <c r="AG36" s="137">
        <f t="shared" si="14"/>
        <v>0</v>
      </c>
      <c r="AH36" s="139">
        <f>CLASSIFICAÇÃO!Z26</f>
        <v>0</v>
      </c>
      <c r="AI36" s="140"/>
      <c r="AJ36" s="204"/>
      <c r="AK36" s="137">
        <v>2</v>
      </c>
      <c r="AL36" s="137" t="str">
        <f t="shared" ref="AL36:AL38" si="143">VLOOKUP($AK36,$X$35:$AI$38,Y$5,FALSE)</f>
        <v>Senegal</v>
      </c>
      <c r="AM36" s="137">
        <f t="shared" ref="AM36:AM38" si="144">VLOOKUP($AK36,$X$35:$AI$38,Z$5,FALSE)</f>
        <v>0</v>
      </c>
      <c r="AN36" s="137">
        <f t="shared" ref="AN36:AN38" si="145">VLOOKUP($AK36,$X$35:$AI$38,AA$5,FALSE)</f>
        <v>0</v>
      </c>
      <c r="AO36" s="137">
        <f t="shared" ref="AO36:AO38" si="146">VLOOKUP($AK36,$X$35:$AI$38,AB$5,FALSE)</f>
        <v>0</v>
      </c>
      <c r="AP36" s="137">
        <f t="shared" ref="AP36:AP38" si="147">VLOOKUP($AK36,$X$35:$AI$38,AC$5,FALSE)</f>
        <v>0</v>
      </c>
      <c r="AQ36" s="137">
        <f t="shared" ref="AQ36:AQ38" si="148">VLOOKUP($AK36,$X$35:$AI$38,AD$5,FALSE)</f>
        <v>0</v>
      </c>
      <c r="AR36" s="137">
        <f t="shared" ref="AR36:AR38" si="149">VLOOKUP($AK36,$X$35:$AI$38,AE$5,FALSE)</f>
        <v>0</v>
      </c>
      <c r="AS36" s="137">
        <f t="shared" ref="AS36:AS38" si="150">VLOOKUP($AK36,$X$35:$AI$38,AF$5,FALSE)</f>
        <v>0</v>
      </c>
      <c r="AT36" s="137">
        <f t="shared" ref="AT36:AT38" si="151">VLOOKUP($AK36,$X$35:$AI$38,AG$5,FALSE)</f>
        <v>0</v>
      </c>
      <c r="AU36" s="87">
        <f t="shared" si="24"/>
        <v>0</v>
      </c>
      <c r="AV36" s="87">
        <f t="shared" ref="AV36:AV38" si="152">IF(AND(COUNTIF(AU$35:AU$38,AU36)&gt;1,AI$38=12),1,0)</f>
        <v>0</v>
      </c>
      <c r="AW36" s="87">
        <f t="shared" si="26"/>
        <v>9</v>
      </c>
      <c r="AX36" s="87">
        <f t="shared" si="27"/>
        <v>9</v>
      </c>
      <c r="AY36" s="87">
        <f>IF(AND(AX36&lt;AM35,AM36&gt;LARGE(AX37:AX38,1)),2,IF(AM36&gt;LARGE(AX37:AX38,1),1,0))</f>
        <v>0</v>
      </c>
      <c r="AZ36" s="134">
        <f t="shared" ref="AZ36" si="153">IF(AI38=12,2,0)</f>
        <v>0</v>
      </c>
      <c r="BA36" s="87">
        <f t="shared" si="141"/>
        <v>0</v>
      </c>
    </row>
    <row r="37" spans="1:53" x14ac:dyDescent="0.2">
      <c r="A37" s="87" t="s">
        <v>143</v>
      </c>
      <c r="B37" s="87" t="str">
        <f t="shared" si="5"/>
        <v>Colômbia</v>
      </c>
      <c r="C37" s="87">
        <v>31</v>
      </c>
      <c r="D37" s="123" t="s">
        <v>179</v>
      </c>
      <c r="E37" s="123">
        <v>11</v>
      </c>
      <c r="F37" s="133">
        <v>43268</v>
      </c>
      <c r="G37" s="124">
        <v>0.5</v>
      </c>
      <c r="H37" s="123" t="s">
        <v>180</v>
      </c>
      <c r="I37" s="87" t="s">
        <v>69</v>
      </c>
      <c r="J37" s="125" t="str">
        <f>$B$27</f>
        <v>Alemanha</v>
      </c>
      <c r="K37" s="134" t="str">
        <f>IF(VLOOKUP($E37,JOGOS!$B$11:$K$84,7,FALSE)="","",VLOOKUP($E37,JOGOS!$B$11:$K$84,7,FALSE))</f>
        <v/>
      </c>
      <c r="L37" s="87" t="s">
        <v>16</v>
      </c>
      <c r="M37" s="134" t="str">
        <f>IF(VLOOKUP($E37,JOGOS!$B$11:$K$84,9,FALSE)="","",VLOOKUP($E37,JOGOS!$B$11:$K$84,9,FALSE))</f>
        <v/>
      </c>
      <c r="N37" s="126" t="str">
        <f>$B$28</f>
        <v>México</v>
      </c>
      <c r="O37" s="135"/>
      <c r="S37" s="87">
        <f t="shared" si="0"/>
        <v>0</v>
      </c>
      <c r="T37" s="87">
        <f t="shared" si="1"/>
        <v>0</v>
      </c>
      <c r="U37" s="87">
        <f t="shared" si="2"/>
        <v>0</v>
      </c>
      <c r="V37" s="137">
        <v>2.0000000000000001E-4</v>
      </c>
      <c r="W37" s="138">
        <f t="shared" si="6"/>
        <v>-99999999.999799997</v>
      </c>
      <c r="X37" s="137">
        <f t="shared" si="142"/>
        <v>3</v>
      </c>
      <c r="Y37" s="137" t="str">
        <f>$B$37</f>
        <v>Colômbia</v>
      </c>
      <c r="Z37" s="137">
        <f t="shared" si="8"/>
        <v>0</v>
      </c>
      <c r="AA37" s="137">
        <f t="shared" si="9"/>
        <v>0</v>
      </c>
      <c r="AB37" s="137">
        <f t="shared" si="10"/>
        <v>0</v>
      </c>
      <c r="AC37" s="137">
        <f t="shared" si="3"/>
        <v>0</v>
      </c>
      <c r="AD37" s="137">
        <f t="shared" si="11"/>
        <v>0</v>
      </c>
      <c r="AE37" s="137">
        <f t="shared" si="12"/>
        <v>0</v>
      </c>
      <c r="AF37" s="137">
        <f t="shared" si="13"/>
        <v>0</v>
      </c>
      <c r="AG37" s="137">
        <f t="shared" si="14"/>
        <v>0</v>
      </c>
      <c r="AH37" s="139">
        <f>CLASSIFICAÇÃO!Z27</f>
        <v>0</v>
      </c>
      <c r="AI37" s="137"/>
      <c r="AJ37" s="204"/>
      <c r="AK37" s="137">
        <v>3</v>
      </c>
      <c r="AL37" s="137" t="str">
        <f t="shared" si="143"/>
        <v>Colômbia</v>
      </c>
      <c r="AM37" s="137">
        <f t="shared" si="144"/>
        <v>0</v>
      </c>
      <c r="AN37" s="137">
        <f t="shared" si="145"/>
        <v>0</v>
      </c>
      <c r="AO37" s="137">
        <f t="shared" si="146"/>
        <v>0</v>
      </c>
      <c r="AP37" s="137">
        <f t="shared" si="147"/>
        <v>0</v>
      </c>
      <c r="AQ37" s="137">
        <f t="shared" si="148"/>
        <v>0</v>
      </c>
      <c r="AR37" s="137">
        <f t="shared" si="149"/>
        <v>0</v>
      </c>
      <c r="AS37" s="137">
        <f t="shared" si="150"/>
        <v>0</v>
      </c>
      <c r="AT37" s="137">
        <f t="shared" si="151"/>
        <v>0</v>
      </c>
      <c r="AU37" s="87">
        <f t="shared" si="24"/>
        <v>0</v>
      </c>
      <c r="AV37" s="87">
        <f t="shared" si="152"/>
        <v>0</v>
      </c>
      <c r="AW37" s="87">
        <f t="shared" si="26"/>
        <v>9</v>
      </c>
      <c r="AX37" s="87">
        <f t="shared" si="27"/>
        <v>9</v>
      </c>
      <c r="AY37" s="87">
        <f>IF(AX37&lt;SMALL(AM35:AM36,1),-1,0)</f>
        <v>0</v>
      </c>
      <c r="AZ37" s="134">
        <f t="shared" ref="AZ37" si="154">IF(AI38=12,-1,0)</f>
        <v>0</v>
      </c>
      <c r="BA37" s="87">
        <f t="shared" ref="BA37:BA38" si="155">IF(VLOOKUP(AL37,$Y$7:$AV$38,24,FALSE)&lt;&gt;1,MIN(AY37:AZ37),MAX(AY37:AZ37))</f>
        <v>0</v>
      </c>
    </row>
    <row r="38" spans="1:53" x14ac:dyDescent="0.2">
      <c r="A38" s="87" t="s">
        <v>144</v>
      </c>
      <c r="B38" s="87" t="str">
        <f t="shared" si="5"/>
        <v>Japão</v>
      </c>
      <c r="C38" s="87">
        <v>32</v>
      </c>
      <c r="D38" s="123" t="s">
        <v>123</v>
      </c>
      <c r="E38" s="123">
        <v>12</v>
      </c>
      <c r="F38" s="133">
        <v>43269</v>
      </c>
      <c r="G38" s="124">
        <v>0.375</v>
      </c>
      <c r="H38" s="123" t="s">
        <v>190</v>
      </c>
      <c r="I38" s="87" t="s">
        <v>69</v>
      </c>
      <c r="J38" s="125" t="str">
        <f>$B$29</f>
        <v>Suécia</v>
      </c>
      <c r="K38" s="134" t="str">
        <f>IF(VLOOKUP($E38,JOGOS!$B$11:$K$84,7,FALSE)="","",VLOOKUP($E38,JOGOS!$B$11:$K$84,7,FALSE))</f>
        <v/>
      </c>
      <c r="L38" s="87" t="s">
        <v>16</v>
      </c>
      <c r="M38" s="134" t="str">
        <f>IF(VLOOKUP($E38,JOGOS!$B$11:$K$84,9,FALSE)="","",VLOOKUP($E38,JOGOS!$B$11:$K$84,9,FALSE))</f>
        <v/>
      </c>
      <c r="N38" s="126" t="str">
        <f>$B$30</f>
        <v>Coreia do Sul</v>
      </c>
      <c r="O38" s="135"/>
      <c r="S38" s="87">
        <f t="shared" si="0"/>
        <v>0</v>
      </c>
      <c r="T38" s="87">
        <f t="shared" si="1"/>
        <v>0</v>
      </c>
      <c r="U38" s="87">
        <f t="shared" si="2"/>
        <v>0</v>
      </c>
      <c r="V38" s="141">
        <v>1E-4</v>
      </c>
      <c r="W38" s="142">
        <f t="shared" si="6"/>
        <v>-99999999.999899998</v>
      </c>
      <c r="X38" s="141">
        <f t="shared" si="142"/>
        <v>4</v>
      </c>
      <c r="Y38" s="141" t="str">
        <f>$B$38</f>
        <v>Japão</v>
      </c>
      <c r="Z38" s="141">
        <f t="shared" si="8"/>
        <v>0</v>
      </c>
      <c r="AA38" s="141">
        <f t="shared" si="9"/>
        <v>0</v>
      </c>
      <c r="AB38" s="141">
        <f t="shared" si="10"/>
        <v>0</v>
      </c>
      <c r="AC38" s="141">
        <f t="shared" si="3"/>
        <v>0</v>
      </c>
      <c r="AD38" s="141">
        <f t="shared" si="11"/>
        <v>0</v>
      </c>
      <c r="AE38" s="141">
        <f t="shared" si="12"/>
        <v>0</v>
      </c>
      <c r="AF38" s="141">
        <f t="shared" si="13"/>
        <v>0</v>
      </c>
      <c r="AG38" s="141">
        <f t="shared" si="14"/>
        <v>0</v>
      </c>
      <c r="AH38" s="143">
        <f>CLASSIFICAÇÃO!Z28</f>
        <v>0</v>
      </c>
      <c r="AI38" s="141">
        <f>SUM(AA35:AA38)</f>
        <v>0</v>
      </c>
      <c r="AJ38" s="205"/>
      <c r="AK38" s="141">
        <v>4</v>
      </c>
      <c r="AL38" s="141" t="str">
        <f t="shared" si="143"/>
        <v>Japão</v>
      </c>
      <c r="AM38" s="141">
        <f t="shared" si="144"/>
        <v>0</v>
      </c>
      <c r="AN38" s="141">
        <f t="shared" si="145"/>
        <v>0</v>
      </c>
      <c r="AO38" s="141">
        <f t="shared" si="146"/>
        <v>0</v>
      </c>
      <c r="AP38" s="141">
        <f t="shared" si="147"/>
        <v>0</v>
      </c>
      <c r="AQ38" s="141">
        <f t="shared" si="148"/>
        <v>0</v>
      </c>
      <c r="AR38" s="141">
        <f t="shared" si="149"/>
        <v>0</v>
      </c>
      <c r="AS38" s="141">
        <f t="shared" si="150"/>
        <v>0</v>
      </c>
      <c r="AT38" s="141">
        <f t="shared" si="151"/>
        <v>0</v>
      </c>
      <c r="AU38" s="141">
        <f t="shared" si="24"/>
        <v>0</v>
      </c>
      <c r="AV38" s="141">
        <f t="shared" si="152"/>
        <v>0</v>
      </c>
      <c r="AW38" s="141">
        <f t="shared" si="26"/>
        <v>9</v>
      </c>
      <c r="AX38" s="141">
        <f t="shared" si="27"/>
        <v>9</v>
      </c>
      <c r="AY38" s="141">
        <f>IF(AX38&lt;SMALL(AM35:AM37,2),-1,0)</f>
        <v>0</v>
      </c>
      <c r="AZ38" s="143">
        <f t="shared" ref="AZ38" si="156">IF(AI38=12,-1,0)</f>
        <v>0</v>
      </c>
      <c r="BA38" s="141">
        <f t="shared" si="155"/>
        <v>0</v>
      </c>
    </row>
    <row r="39" spans="1:53" x14ac:dyDescent="0.2">
      <c r="C39" s="87">
        <v>33</v>
      </c>
      <c r="D39" s="123" t="s">
        <v>65</v>
      </c>
      <c r="E39" s="123">
        <v>27</v>
      </c>
      <c r="F39" s="133">
        <v>43274</v>
      </c>
      <c r="G39" s="124">
        <v>0.625</v>
      </c>
      <c r="H39" s="123" t="s">
        <v>186</v>
      </c>
      <c r="I39" s="87" t="s">
        <v>69</v>
      </c>
      <c r="J39" s="125" t="str">
        <f>$B$27</f>
        <v>Alemanha</v>
      </c>
      <c r="K39" s="134" t="str">
        <f>IF(VLOOKUP($E39,JOGOS!$B$11:$K$84,7,FALSE)="","",VLOOKUP($E39,JOGOS!$B$11:$K$84,7,FALSE))</f>
        <v/>
      </c>
      <c r="L39" s="87" t="s">
        <v>16</v>
      </c>
      <c r="M39" s="134" t="str">
        <f>IF(VLOOKUP($E39,JOGOS!$B$11:$K$84,9,FALSE)="","",VLOOKUP($E39,JOGOS!$B$11:$K$84,9,FALSE))</f>
        <v/>
      </c>
      <c r="N39" s="126" t="str">
        <f>$B$29</f>
        <v>Suécia</v>
      </c>
      <c r="O39" s="135"/>
      <c r="S39" s="87">
        <f t="shared" si="0"/>
        <v>0</v>
      </c>
      <c r="T39" s="87">
        <f t="shared" si="1"/>
        <v>0</v>
      </c>
      <c r="U39" s="87">
        <f t="shared" si="2"/>
        <v>0</v>
      </c>
    </row>
    <row r="40" spans="1:53" x14ac:dyDescent="0.2">
      <c r="E40" s="123">
        <v>28</v>
      </c>
      <c r="F40" s="133">
        <v>43274</v>
      </c>
      <c r="G40" s="124">
        <v>0.5</v>
      </c>
      <c r="H40" s="123" t="s">
        <v>183</v>
      </c>
      <c r="I40" s="87" t="s">
        <v>69</v>
      </c>
      <c r="J40" s="125" t="str">
        <f>$B$30</f>
        <v>Coreia do Sul</v>
      </c>
      <c r="K40" s="134" t="str">
        <f>IF(VLOOKUP($E40,JOGOS!$B$11:$K$84,7,FALSE)="","",VLOOKUP($E40,JOGOS!$B$11:$K$84,7,FALSE))</f>
        <v/>
      </c>
      <c r="L40" s="87" t="s">
        <v>16</v>
      </c>
      <c r="M40" s="134" t="str">
        <f>IF(VLOOKUP($E40,JOGOS!$B$11:$K$84,9,FALSE)="","",VLOOKUP($E40,JOGOS!$B$11:$K$84,9,FALSE))</f>
        <v/>
      </c>
      <c r="N40" s="126" t="str">
        <f>$B$28</f>
        <v>México</v>
      </c>
      <c r="O40" s="135"/>
      <c r="S40" s="87">
        <f t="shared" si="0"/>
        <v>0</v>
      </c>
      <c r="T40" s="87">
        <f t="shared" si="1"/>
        <v>0</v>
      </c>
      <c r="U40" s="87">
        <f t="shared" si="2"/>
        <v>0</v>
      </c>
    </row>
    <row r="41" spans="1:53" x14ac:dyDescent="0.2">
      <c r="E41" s="123">
        <v>43</v>
      </c>
      <c r="F41" s="133">
        <v>43278</v>
      </c>
      <c r="G41" s="124">
        <v>0.45833333333333331</v>
      </c>
      <c r="H41" s="123" t="s">
        <v>187</v>
      </c>
      <c r="I41" s="87" t="s">
        <v>69</v>
      </c>
      <c r="J41" s="125" t="str">
        <f>$B$30</f>
        <v>Coreia do Sul</v>
      </c>
      <c r="K41" s="134" t="str">
        <f>IF(VLOOKUP($E41,JOGOS!$B$11:$K$84,7,FALSE)="","",VLOOKUP($E41,JOGOS!$B$11:$K$84,7,FALSE))</f>
        <v/>
      </c>
      <c r="L41" s="87" t="s">
        <v>16</v>
      </c>
      <c r="M41" s="134" t="str">
        <f>IF(VLOOKUP($E41,JOGOS!$B$11:$K$84,9,FALSE)="","",VLOOKUP($E41,JOGOS!$B$11:$K$84,9,FALSE))</f>
        <v/>
      </c>
      <c r="N41" s="126" t="str">
        <f>$B$27</f>
        <v>Alemanha</v>
      </c>
      <c r="O41" s="135"/>
      <c r="S41" s="87">
        <f t="shared" si="0"/>
        <v>0</v>
      </c>
      <c r="T41" s="87">
        <f t="shared" si="1"/>
        <v>0</v>
      </c>
      <c r="U41" s="87">
        <f t="shared" si="2"/>
        <v>0</v>
      </c>
    </row>
    <row r="42" spans="1:53" x14ac:dyDescent="0.2">
      <c r="E42" s="123">
        <v>44</v>
      </c>
      <c r="F42" s="133">
        <v>43278</v>
      </c>
      <c r="G42" s="124">
        <v>0.45833333333333331</v>
      </c>
      <c r="H42" s="123" t="s">
        <v>181</v>
      </c>
      <c r="I42" s="87" t="s">
        <v>69</v>
      </c>
      <c r="J42" s="125" t="str">
        <f>$B$28</f>
        <v>México</v>
      </c>
      <c r="K42" s="134" t="str">
        <f>IF(VLOOKUP($E42,JOGOS!$B$11:$K$84,7,FALSE)="","",VLOOKUP($E42,JOGOS!$B$11:$K$84,7,FALSE))</f>
        <v/>
      </c>
      <c r="L42" s="87" t="s">
        <v>16</v>
      </c>
      <c r="M42" s="134" t="str">
        <f>IF(VLOOKUP($E42,JOGOS!$B$11:$K$84,9,FALSE)="","",VLOOKUP($E42,JOGOS!$B$11:$K$84,9,FALSE))</f>
        <v/>
      </c>
      <c r="N42" s="126" t="str">
        <f>$B$29</f>
        <v>Suécia</v>
      </c>
      <c r="O42" s="135"/>
      <c r="S42" s="87">
        <f t="shared" si="0"/>
        <v>0</v>
      </c>
      <c r="T42" s="87">
        <f t="shared" si="1"/>
        <v>0</v>
      </c>
      <c r="U42" s="87">
        <f t="shared" si="2"/>
        <v>0</v>
      </c>
    </row>
    <row r="43" spans="1:53" x14ac:dyDescent="0.2">
      <c r="E43" s="123">
        <v>13</v>
      </c>
      <c r="F43" s="133">
        <v>43269</v>
      </c>
      <c r="G43" s="124">
        <v>0.5</v>
      </c>
      <c r="H43" s="123" t="s">
        <v>186</v>
      </c>
      <c r="I43" s="87" t="s">
        <v>19</v>
      </c>
      <c r="J43" s="125" t="str">
        <f>$B$31</f>
        <v>Bélgica</v>
      </c>
      <c r="K43" s="134" t="str">
        <f>IF(VLOOKUP($E43,JOGOS!$B$11:$K$84,7,FALSE)="","",VLOOKUP($E43,JOGOS!$B$11:$K$84,7,FALSE))</f>
        <v/>
      </c>
      <c r="L43" s="87" t="s">
        <v>16</v>
      </c>
      <c r="M43" s="134" t="str">
        <f>IF(VLOOKUP($E43,JOGOS!$B$11:$K$84,9,FALSE)="","",VLOOKUP($E43,JOGOS!$B$11:$K$84,9,FALSE))</f>
        <v/>
      </c>
      <c r="N43" s="126" t="str">
        <f>$B$32</f>
        <v>Panamá</v>
      </c>
      <c r="O43" s="135"/>
      <c r="S43" s="87">
        <f t="shared" si="0"/>
        <v>0</v>
      </c>
      <c r="T43" s="87">
        <f t="shared" si="1"/>
        <v>0</v>
      </c>
      <c r="U43" s="87">
        <f t="shared" si="2"/>
        <v>0</v>
      </c>
    </row>
    <row r="44" spans="1:53" x14ac:dyDescent="0.2">
      <c r="E44" s="123">
        <v>14</v>
      </c>
      <c r="F44" s="133">
        <v>43269</v>
      </c>
      <c r="G44" s="124">
        <v>0.625</v>
      </c>
      <c r="H44" s="123" t="s">
        <v>185</v>
      </c>
      <c r="I44" s="87" t="s">
        <v>19</v>
      </c>
      <c r="J44" s="125" t="str">
        <f>$B$33</f>
        <v>Tunísia</v>
      </c>
      <c r="K44" s="134" t="str">
        <f>IF(VLOOKUP($E44,JOGOS!$B$11:$K$84,7,FALSE)="","",VLOOKUP($E44,JOGOS!$B$11:$K$84,7,FALSE))</f>
        <v/>
      </c>
      <c r="L44" s="87" t="s">
        <v>16</v>
      </c>
      <c r="M44" s="134" t="str">
        <f>IF(VLOOKUP($E44,JOGOS!$B$11:$K$84,9,FALSE)="","",VLOOKUP($E44,JOGOS!$B$11:$K$84,9,FALSE))</f>
        <v/>
      </c>
      <c r="N44" s="126" t="str">
        <f>$B$34</f>
        <v>Inglaterra</v>
      </c>
      <c r="O44" s="135"/>
      <c r="S44" s="87">
        <f t="shared" si="0"/>
        <v>0</v>
      </c>
      <c r="T44" s="87">
        <f t="shared" si="1"/>
        <v>0</v>
      </c>
      <c r="U44" s="87">
        <f t="shared" si="2"/>
        <v>0</v>
      </c>
    </row>
    <row r="45" spans="1:53" x14ac:dyDescent="0.2">
      <c r="E45" s="123">
        <v>29</v>
      </c>
      <c r="F45" s="133">
        <v>43274</v>
      </c>
      <c r="G45" s="124">
        <v>0.375</v>
      </c>
      <c r="H45" s="123" t="s">
        <v>180</v>
      </c>
      <c r="I45" s="87" t="s">
        <v>19</v>
      </c>
      <c r="J45" s="125" t="str">
        <f>$B$31</f>
        <v>Bélgica</v>
      </c>
      <c r="K45" s="134" t="str">
        <f>IF(VLOOKUP($E45,JOGOS!$B$11:$K$84,7,FALSE)="","",VLOOKUP($E45,JOGOS!$B$11:$K$84,7,FALSE))</f>
        <v/>
      </c>
      <c r="L45" s="87" t="s">
        <v>16</v>
      </c>
      <c r="M45" s="134" t="str">
        <f>IF(VLOOKUP($E45,JOGOS!$B$11:$K$84,9,FALSE)="","",VLOOKUP($E45,JOGOS!$B$11:$K$84,9,FALSE))</f>
        <v/>
      </c>
      <c r="N45" s="126" t="str">
        <f>$B$33</f>
        <v>Tunísia</v>
      </c>
      <c r="O45" s="135"/>
      <c r="S45" s="87">
        <f t="shared" si="0"/>
        <v>0</v>
      </c>
      <c r="T45" s="87">
        <f t="shared" si="1"/>
        <v>0</v>
      </c>
      <c r="U45" s="87">
        <f t="shared" si="2"/>
        <v>0</v>
      </c>
    </row>
    <row r="46" spans="1:53" x14ac:dyDescent="0.2">
      <c r="E46" s="123">
        <v>30</v>
      </c>
      <c r="F46" s="133">
        <v>43275</v>
      </c>
      <c r="G46" s="124">
        <v>0.375</v>
      </c>
      <c r="H46" s="123" t="s">
        <v>190</v>
      </c>
      <c r="I46" s="87" t="s">
        <v>19</v>
      </c>
      <c r="J46" s="125" t="str">
        <f>$B$34</f>
        <v>Inglaterra</v>
      </c>
      <c r="K46" s="134" t="str">
        <f>IF(VLOOKUP($E46,JOGOS!$B$11:$K$84,7,FALSE)="","",VLOOKUP($E46,JOGOS!$B$11:$K$84,7,FALSE))</f>
        <v/>
      </c>
      <c r="L46" s="87" t="s">
        <v>16</v>
      </c>
      <c r="M46" s="134" t="str">
        <f>IF(VLOOKUP($E46,JOGOS!$B$11:$K$84,9,FALSE)="","",VLOOKUP($E46,JOGOS!$B$11:$K$84,9,FALSE))</f>
        <v/>
      </c>
      <c r="N46" s="126" t="str">
        <f>$B$32</f>
        <v>Panamá</v>
      </c>
      <c r="O46" s="135"/>
      <c r="S46" s="87">
        <f t="shared" si="0"/>
        <v>0</v>
      </c>
      <c r="T46" s="87">
        <f t="shared" si="1"/>
        <v>0</v>
      </c>
      <c r="U46" s="87">
        <f t="shared" si="2"/>
        <v>0</v>
      </c>
    </row>
    <row r="47" spans="1:53" x14ac:dyDescent="0.2">
      <c r="E47" s="123">
        <v>45</v>
      </c>
      <c r="F47" s="133">
        <v>43279</v>
      </c>
      <c r="G47" s="124">
        <v>0.625</v>
      </c>
      <c r="H47" s="123" t="s">
        <v>189</v>
      </c>
      <c r="I47" s="87" t="s">
        <v>19</v>
      </c>
      <c r="J47" s="125" t="str">
        <f>$B$34</f>
        <v>Inglaterra</v>
      </c>
      <c r="K47" s="134" t="str">
        <f>IF(VLOOKUP($E47,JOGOS!$B$11:$K$84,7,FALSE)="","",VLOOKUP($E47,JOGOS!$B$11:$K$84,7,FALSE))</f>
        <v/>
      </c>
      <c r="L47" s="87" t="s">
        <v>16</v>
      </c>
      <c r="M47" s="134" t="str">
        <f>IF(VLOOKUP($E47,JOGOS!$B$11:$K$84,9,FALSE)="","",VLOOKUP($E47,JOGOS!$B$11:$K$84,9,FALSE))</f>
        <v/>
      </c>
      <c r="N47" s="126" t="str">
        <f>$B$31</f>
        <v>Bélgica</v>
      </c>
      <c r="O47" s="135"/>
      <c r="S47" s="87">
        <f t="shared" si="0"/>
        <v>0</v>
      </c>
      <c r="T47" s="87">
        <f t="shared" si="1"/>
        <v>0</v>
      </c>
      <c r="U47" s="87">
        <f t="shared" si="2"/>
        <v>0</v>
      </c>
    </row>
    <row r="48" spans="1:53" x14ac:dyDescent="0.2">
      <c r="E48" s="123">
        <v>46</v>
      </c>
      <c r="F48" s="133">
        <v>43279</v>
      </c>
      <c r="G48" s="124">
        <v>0.625</v>
      </c>
      <c r="H48" s="123" t="s">
        <v>188</v>
      </c>
      <c r="I48" s="87" t="s">
        <v>19</v>
      </c>
      <c r="J48" s="125" t="str">
        <f>$B$32</f>
        <v>Panamá</v>
      </c>
      <c r="K48" s="134" t="str">
        <f>IF(VLOOKUP($E48,JOGOS!$B$11:$K$84,7,FALSE)="","",VLOOKUP($E48,JOGOS!$B$11:$K$84,7,FALSE))</f>
        <v/>
      </c>
      <c r="L48" s="87" t="s">
        <v>16</v>
      </c>
      <c r="M48" s="134" t="str">
        <f>IF(VLOOKUP($E48,JOGOS!$B$11:$K$84,9,FALSE)="","",VLOOKUP($E48,JOGOS!$B$11:$K$84,9,FALSE))</f>
        <v/>
      </c>
      <c r="N48" s="126" t="str">
        <f>$B$33</f>
        <v>Tunísia</v>
      </c>
      <c r="O48" s="135"/>
      <c r="S48" s="87">
        <f t="shared" si="0"/>
        <v>0</v>
      </c>
      <c r="T48" s="87">
        <f t="shared" si="1"/>
        <v>0</v>
      </c>
      <c r="U48" s="87">
        <f t="shared" si="2"/>
        <v>0</v>
      </c>
    </row>
    <row r="49" spans="2:57" x14ac:dyDescent="0.2">
      <c r="E49" s="123">
        <v>15</v>
      </c>
      <c r="F49" s="133">
        <v>43270</v>
      </c>
      <c r="G49" s="124">
        <v>0.5</v>
      </c>
      <c r="H49" s="123" t="s">
        <v>180</v>
      </c>
      <c r="I49" s="87" t="s">
        <v>149</v>
      </c>
      <c r="J49" s="125" t="str">
        <f>$B$35</f>
        <v>Polônia</v>
      </c>
      <c r="K49" s="134" t="str">
        <f>IF(VLOOKUP($E49,JOGOS!$B$11:$K$84,7,FALSE)="","",VLOOKUP($E49,JOGOS!$B$11:$K$84,7,FALSE))</f>
        <v/>
      </c>
      <c r="L49" s="87" t="s">
        <v>16</v>
      </c>
      <c r="M49" s="134" t="str">
        <f>IF(VLOOKUP($E49,JOGOS!$B$11:$K$84,9,FALSE)="","",VLOOKUP($E49,JOGOS!$B$11:$K$84,9,FALSE))</f>
        <v/>
      </c>
      <c r="N49" s="126" t="str">
        <f>$B$36</f>
        <v>Senegal</v>
      </c>
      <c r="O49" s="135"/>
      <c r="S49" s="87">
        <f t="shared" si="0"/>
        <v>0</v>
      </c>
      <c r="T49" s="87">
        <f t="shared" si="1"/>
        <v>0</v>
      </c>
      <c r="U49" s="87">
        <f t="shared" si="2"/>
        <v>0</v>
      </c>
    </row>
    <row r="50" spans="2:57" x14ac:dyDescent="0.2">
      <c r="E50" s="123">
        <v>16</v>
      </c>
      <c r="F50" s="133">
        <v>43270</v>
      </c>
      <c r="G50" s="124">
        <v>0.375</v>
      </c>
      <c r="H50" s="123" t="s">
        <v>188</v>
      </c>
      <c r="I50" s="87" t="s">
        <v>149</v>
      </c>
      <c r="J50" s="125" t="str">
        <f>$B$37</f>
        <v>Colômbia</v>
      </c>
      <c r="K50" s="134" t="str">
        <f>IF(VLOOKUP($E50,JOGOS!$B$11:$K$84,7,FALSE)="","",VLOOKUP($E50,JOGOS!$B$11:$K$84,7,FALSE))</f>
        <v/>
      </c>
      <c r="L50" s="87" t="s">
        <v>16</v>
      </c>
      <c r="M50" s="134" t="str">
        <f>IF(VLOOKUP($E50,JOGOS!$B$11:$K$84,9,FALSE)="","",VLOOKUP($E50,JOGOS!$B$11:$K$84,9,FALSE))</f>
        <v/>
      </c>
      <c r="N50" s="126" t="str">
        <f>$B$38</f>
        <v>Japão</v>
      </c>
      <c r="O50" s="135"/>
      <c r="S50" s="87">
        <f t="shared" si="0"/>
        <v>0</v>
      </c>
      <c r="T50" s="87">
        <f t="shared" si="1"/>
        <v>0</v>
      </c>
      <c r="U50" s="87">
        <f t="shared" si="2"/>
        <v>0</v>
      </c>
    </row>
    <row r="51" spans="2:57" x14ac:dyDescent="0.2">
      <c r="E51" s="123">
        <v>31</v>
      </c>
      <c r="F51" s="133">
        <v>43275</v>
      </c>
      <c r="G51" s="124">
        <v>0.625</v>
      </c>
      <c r="H51" s="123" t="s">
        <v>187</v>
      </c>
      <c r="I51" s="87" t="s">
        <v>149</v>
      </c>
      <c r="J51" s="125" t="str">
        <f>$B$35</f>
        <v>Polônia</v>
      </c>
      <c r="K51" s="134" t="str">
        <f>IF(VLOOKUP($E51,JOGOS!$B$11:$K$84,7,FALSE)="","",VLOOKUP($E51,JOGOS!$B$11:$K$84,7,FALSE))</f>
        <v/>
      </c>
      <c r="L51" s="87" t="s">
        <v>16</v>
      </c>
      <c r="M51" s="134" t="str">
        <f>IF(VLOOKUP($E51,JOGOS!$B$11:$K$84,9,FALSE)="","",VLOOKUP($E51,JOGOS!$B$11:$K$84,9,FALSE))</f>
        <v/>
      </c>
      <c r="N51" s="126" t="str">
        <f>$B$37</f>
        <v>Colômbia</v>
      </c>
      <c r="O51" s="135"/>
      <c r="S51" s="87">
        <f t="shared" si="0"/>
        <v>0</v>
      </c>
      <c r="T51" s="87">
        <f t="shared" si="1"/>
        <v>0</v>
      </c>
      <c r="U51" s="87">
        <f t="shared" si="2"/>
        <v>0</v>
      </c>
    </row>
    <row r="52" spans="2:57" x14ac:dyDescent="0.2">
      <c r="E52" s="123">
        <v>32</v>
      </c>
      <c r="F52" s="133">
        <v>43275</v>
      </c>
      <c r="G52" s="124">
        <v>0.5</v>
      </c>
      <c r="H52" s="123" t="s">
        <v>181</v>
      </c>
      <c r="I52" s="87" t="s">
        <v>149</v>
      </c>
      <c r="J52" s="125" t="str">
        <f>$B$38</f>
        <v>Japão</v>
      </c>
      <c r="K52" s="134" t="str">
        <f>IF(VLOOKUP($E52,JOGOS!$B$11:$K$84,7,FALSE)="","",VLOOKUP($E52,JOGOS!$B$11:$K$84,7,FALSE))</f>
        <v/>
      </c>
      <c r="L52" s="87" t="s">
        <v>16</v>
      </c>
      <c r="M52" s="134" t="str">
        <f>IF(VLOOKUP($E52,JOGOS!$B$11:$K$84,9,FALSE)="","",VLOOKUP($E52,JOGOS!$B$11:$K$84,9,FALSE))</f>
        <v/>
      </c>
      <c r="N52" s="126" t="str">
        <f>$B$36</f>
        <v>Senegal</v>
      </c>
      <c r="O52" s="135"/>
      <c r="S52" s="87">
        <f t="shared" si="0"/>
        <v>0</v>
      </c>
      <c r="T52" s="87">
        <f t="shared" si="1"/>
        <v>0</v>
      </c>
      <c r="U52" s="87">
        <f t="shared" si="2"/>
        <v>0</v>
      </c>
    </row>
    <row r="53" spans="2:57" x14ac:dyDescent="0.2">
      <c r="E53" s="123">
        <v>47</v>
      </c>
      <c r="F53" s="133">
        <v>43279</v>
      </c>
      <c r="G53" s="124">
        <v>0.45833333333333331</v>
      </c>
      <c r="H53" s="123" t="s">
        <v>185</v>
      </c>
      <c r="I53" s="87" t="s">
        <v>149</v>
      </c>
      <c r="J53" s="125" t="str">
        <f>$B$38</f>
        <v>Japão</v>
      </c>
      <c r="K53" s="134" t="str">
        <f>IF(VLOOKUP($E53,JOGOS!$B$11:$K$84,7,FALSE)="","",VLOOKUP($E53,JOGOS!$B$11:$K$84,7,FALSE))</f>
        <v/>
      </c>
      <c r="L53" s="87" t="s">
        <v>16</v>
      </c>
      <c r="M53" s="134" t="str">
        <f>IF(VLOOKUP($E53,JOGOS!$B$11:$K$84,9,FALSE)="","",VLOOKUP($E53,JOGOS!$B$11:$K$84,9,FALSE))</f>
        <v/>
      </c>
      <c r="N53" s="126" t="str">
        <f>$B$35</f>
        <v>Polônia</v>
      </c>
      <c r="O53" s="135"/>
      <c r="S53" s="87">
        <f t="shared" si="0"/>
        <v>0</v>
      </c>
      <c r="T53" s="87">
        <f t="shared" si="1"/>
        <v>0</v>
      </c>
      <c r="U53" s="87">
        <f t="shared" si="2"/>
        <v>0</v>
      </c>
    </row>
    <row r="54" spans="2:57" x14ac:dyDescent="0.2">
      <c r="E54" s="123">
        <v>48</v>
      </c>
      <c r="F54" s="133">
        <v>43279</v>
      </c>
      <c r="G54" s="124">
        <v>0.45833333333333331</v>
      </c>
      <c r="H54" s="123" t="s">
        <v>184</v>
      </c>
      <c r="I54" s="87" t="s">
        <v>149</v>
      </c>
      <c r="J54" s="125" t="str">
        <f>$B$36</f>
        <v>Senegal</v>
      </c>
      <c r="K54" s="134" t="str">
        <f>IF(VLOOKUP($E54,JOGOS!$B$11:$K$84,7,FALSE)="","",VLOOKUP($E54,JOGOS!$B$11:$K$84,7,FALSE))</f>
        <v/>
      </c>
      <c r="L54" s="87" t="s">
        <v>16</v>
      </c>
      <c r="M54" s="134" t="str">
        <f>IF(VLOOKUP($E54,JOGOS!$B$11:$K$84,9,FALSE)="","",VLOOKUP($E54,JOGOS!$B$11:$K$84,9,FALSE))</f>
        <v/>
      </c>
      <c r="N54" s="126" t="str">
        <f>$B$37</f>
        <v>Colômbia</v>
      </c>
      <c r="O54" s="135"/>
      <c r="S54" s="87">
        <f t="shared" si="0"/>
        <v>0</v>
      </c>
      <c r="T54" s="87">
        <f t="shared" si="1"/>
        <v>0</v>
      </c>
      <c r="U54" s="87">
        <f t="shared" si="2"/>
        <v>0</v>
      </c>
    </row>
    <row r="55" spans="2:57" x14ac:dyDescent="0.2">
      <c r="F55" s="133"/>
      <c r="K55" s="134"/>
      <c r="M55" s="134"/>
      <c r="O55" s="135"/>
    </row>
    <row r="56" spans="2:57" x14ac:dyDescent="0.2">
      <c r="K56" s="134"/>
      <c r="M56" s="134"/>
      <c r="O56" s="206" t="s">
        <v>46</v>
      </c>
      <c r="P56" s="206"/>
      <c r="S56" s="87" t="s">
        <v>7</v>
      </c>
      <c r="T56" s="87" t="s">
        <v>14</v>
      </c>
      <c r="U56" s="87" t="s">
        <v>15</v>
      </c>
      <c r="V56" s="87" t="s">
        <v>47</v>
      </c>
      <c r="W56" s="87" t="s">
        <v>39</v>
      </c>
      <c r="X56" s="87" t="s">
        <v>48</v>
      </c>
      <c r="Y56" s="87" t="s">
        <v>49</v>
      </c>
      <c r="Z56" s="87" t="s">
        <v>40</v>
      </c>
      <c r="AA56" s="127" t="s">
        <v>50</v>
      </c>
      <c r="AB56" s="87" t="s">
        <v>51</v>
      </c>
      <c r="AC56" s="87" t="s">
        <v>52</v>
      </c>
      <c r="AD56" s="87" t="s">
        <v>53</v>
      </c>
      <c r="AE56" s="87" t="s">
        <v>54</v>
      </c>
      <c r="AF56" s="87" t="s">
        <v>60</v>
      </c>
      <c r="BB56" s="123"/>
      <c r="BC56" s="123"/>
      <c r="BD56" s="87"/>
      <c r="BE56" s="87"/>
    </row>
    <row r="57" spans="2:57" x14ac:dyDescent="0.2">
      <c r="E57" s="123">
        <v>49</v>
      </c>
      <c r="F57" s="133">
        <v>43281</v>
      </c>
      <c r="G57" s="124">
        <v>0.625</v>
      </c>
      <c r="H57" s="123" t="s">
        <v>186</v>
      </c>
      <c r="I57" s="87" t="s">
        <v>105</v>
      </c>
      <c r="J57" s="125" t="str">
        <f>IF($BA$7=3,$AL$7,"1º Grupo A")</f>
        <v>1º Grupo A</v>
      </c>
      <c r="K57" s="134" t="str">
        <f>IF(VLOOKUP($E57,JOGOS!$B$11:$K$84,7,FALSE)="","",VLOOKUP($E57,JOGOS!$B$11:$K$84,7,FALSE))</f>
        <v/>
      </c>
      <c r="L57" s="87" t="s">
        <v>16</v>
      </c>
      <c r="M57" s="134" t="str">
        <f>IF(VLOOKUP($E57,JOGOS!$B$11:$K$84,9,FALSE)="","",VLOOKUP($E57,JOGOS!$B$11:$K$84,9,FALSE))</f>
        <v/>
      </c>
      <c r="N57" s="126" t="str">
        <f>IF($BA$12=2,$AL$12,"2º Grupo B")</f>
        <v>2º Grupo B</v>
      </c>
      <c r="O57" s="87" t="str">
        <f>IF(VLOOKUP($E57,JOGOS!$B$11:$N$84,11,FALSE)="","",VLOOKUP($E57,JOGOS!$B$11:$N$84,11,FALSE))</f>
        <v/>
      </c>
      <c r="P57" s="87" t="str">
        <f>IF(VLOOKUP($E57,JOGOS!$B$11:$N$84,13,FALSE)="","",VLOOKUP($E57,JOGOS!$B$11:$N$84,13,FALSE))</f>
        <v/>
      </c>
      <c r="S57" s="87">
        <f t="shared" ref="S57:S64" si="157">IF(OR($K57="",$M57=""),0,1)</f>
        <v>0</v>
      </c>
      <c r="T57" s="87">
        <f t="shared" ref="T57:T64" si="158">IF(OR($K57="",$M57=""),0,IF($K57&gt;$M57,1,0))</f>
        <v>0</v>
      </c>
      <c r="U57" s="87">
        <f t="shared" ref="U57:U64" si="159">IF(OR($K57="",$M57=""),0,IF($K57&lt;$M57,1,0))</f>
        <v>0</v>
      </c>
      <c r="V57" s="87">
        <f>IF(AND($S57=1,$K57=$M57),1,0)</f>
        <v>0</v>
      </c>
      <c r="W57" s="87">
        <f t="shared" ref="W57:W64" si="160">IF(AND($V57=1,OR($O57="",$P57="")),1,0)</f>
        <v>0</v>
      </c>
      <c r="X57" s="87">
        <f t="shared" ref="X57:X64" si="161">IF(AND($V57=1,$O57=$P57),1,0)</f>
        <v>0</v>
      </c>
      <c r="Y57" s="87">
        <f t="shared" ref="Y57:Y64" si="162">IF($V57=0,0,IF(AND($V57=1,$W57=0,$X57=0),0,1))</f>
        <v>0</v>
      </c>
      <c r="Z57" s="87">
        <f t="shared" ref="Z57:Z64" si="163">IF(AND($S57=1,SUM(V57:Y57)&lt;2),1,0)</f>
        <v>0</v>
      </c>
      <c r="AA57" s="134">
        <f t="shared" ref="AA57:AA64" si="164">IF($O57="",0,$O57)</f>
        <v>0</v>
      </c>
      <c r="AB57" s="87">
        <f t="shared" ref="AB57:AB64" si="165">IF($P57="",0,$P57)</f>
        <v>0</v>
      </c>
      <c r="AC57" s="87">
        <f>SUM(K57,O57)</f>
        <v>0</v>
      </c>
      <c r="AD57" s="87">
        <f>SUM(M57,P57)</f>
        <v>0</v>
      </c>
      <c r="AE57" s="87" t="str">
        <f>IF($Z57=0,"Venc. Jogo 49",IF(AND($Z57=1,$AC57&gt;$AD57),$J57,$N57))</f>
        <v>Venc. Jogo 49</v>
      </c>
      <c r="AF57" s="87" t="str">
        <f>IF($Z57=0,"Perdedor Jogo 49",IF(AND($Z57=1,$AC57&lt;$AD57),$J57,$N57))</f>
        <v>Perdedor Jogo 49</v>
      </c>
      <c r="BB57" s="123"/>
      <c r="BC57" s="123"/>
      <c r="BD57" s="87"/>
      <c r="BE57" s="87"/>
    </row>
    <row r="58" spans="2:57" x14ac:dyDescent="0.2">
      <c r="E58" s="123">
        <v>50</v>
      </c>
      <c r="F58" s="133">
        <v>43281</v>
      </c>
      <c r="G58" s="124">
        <v>0.45833333333333331</v>
      </c>
      <c r="H58" s="123" t="s">
        <v>187</v>
      </c>
      <c r="I58" s="87" t="s">
        <v>107</v>
      </c>
      <c r="J58" s="125" t="str">
        <f>IF($BA$15=3,$AL$15,"1º Grupo C")</f>
        <v>1º Grupo C</v>
      </c>
      <c r="K58" s="134" t="str">
        <f>IF(VLOOKUP($E58,JOGOS!$B$11:$K$84,7,FALSE)="","",VLOOKUP($E58,JOGOS!$B$11:$K$84,7,FALSE))</f>
        <v/>
      </c>
      <c r="L58" s="87" t="s">
        <v>16</v>
      </c>
      <c r="M58" s="134" t="str">
        <f>IF(VLOOKUP($E58,JOGOS!$B$11:$K$84,9,FALSE)="","",VLOOKUP($E58,JOGOS!$B$11:$K$84,9,FALSE))</f>
        <v/>
      </c>
      <c r="N58" s="126" t="str">
        <f>IF($BA$20=2,$AL$20,"2º Grupo D")</f>
        <v>2º Grupo D</v>
      </c>
      <c r="O58" s="87" t="str">
        <f>IF(VLOOKUP($E58,JOGOS!$B$11:$N$84,11,FALSE)="","",VLOOKUP($E58,JOGOS!$B$11:$N$84,11,FALSE))</f>
        <v/>
      </c>
      <c r="P58" s="87" t="str">
        <f>IF(VLOOKUP($E58,JOGOS!$B$11:$N$84,13,FALSE)="","",VLOOKUP($E58,JOGOS!$B$11:$N$84,13,FALSE))</f>
        <v/>
      </c>
      <c r="S58" s="87">
        <f t="shared" si="157"/>
        <v>0</v>
      </c>
      <c r="T58" s="87">
        <f t="shared" si="158"/>
        <v>0</v>
      </c>
      <c r="U58" s="87">
        <f t="shared" si="159"/>
        <v>0</v>
      </c>
      <c r="V58" s="87">
        <f t="shared" ref="V58:V64" si="166">IF(AND($S58=1,$K58=$M58),1,0)</f>
        <v>0</v>
      </c>
      <c r="W58" s="87">
        <f t="shared" si="160"/>
        <v>0</v>
      </c>
      <c r="X58" s="87">
        <f t="shared" si="161"/>
        <v>0</v>
      </c>
      <c r="Y58" s="87">
        <f t="shared" si="162"/>
        <v>0</v>
      </c>
      <c r="Z58" s="87">
        <f t="shared" si="163"/>
        <v>0</v>
      </c>
      <c r="AA58" s="134">
        <f t="shared" si="164"/>
        <v>0</v>
      </c>
      <c r="AB58" s="87">
        <f t="shared" si="165"/>
        <v>0</v>
      </c>
      <c r="AC58" s="87">
        <f t="shared" ref="AC58:AC64" si="167">SUM(K58,O58)</f>
        <v>0</v>
      </c>
      <c r="AD58" s="87">
        <f t="shared" ref="AD58:AD64" si="168">SUM(M58,P58)</f>
        <v>0</v>
      </c>
      <c r="AE58" s="87" t="str">
        <f>IF($Z58=0,"Venc. Jogo 50",IF(AND($Z58=1,$AC58&gt;$AD58),$J58,$N58))</f>
        <v>Venc. Jogo 50</v>
      </c>
      <c r="AF58" s="87" t="str">
        <f>IF($Z58=0,"Perdedor Jogo 50",IF(AND($Z58=1,$AC58&lt;$AD58),$J58,$N58))</f>
        <v>Perdedor Jogo 50</v>
      </c>
      <c r="BB58" s="123"/>
      <c r="BC58" s="123"/>
      <c r="BD58" s="87"/>
      <c r="BE58" s="87"/>
    </row>
    <row r="59" spans="2:57" x14ac:dyDescent="0.2">
      <c r="B59" s="144" t="s">
        <v>86</v>
      </c>
      <c r="E59" s="123">
        <v>51</v>
      </c>
      <c r="F59" s="133">
        <v>43282</v>
      </c>
      <c r="G59" s="124">
        <v>0.45833333333333331</v>
      </c>
      <c r="H59" s="123" t="s">
        <v>180</v>
      </c>
      <c r="I59" s="87" t="s">
        <v>106</v>
      </c>
      <c r="J59" s="125" t="str">
        <f>IF($BA$11=3,$AL$11,"1º Grupo B")</f>
        <v>1º Grupo B</v>
      </c>
      <c r="K59" s="134" t="str">
        <f>IF(VLOOKUP($E59,JOGOS!$B$11:$K$84,7,FALSE)="","",VLOOKUP($E59,JOGOS!$B$11:$K$84,7,FALSE))</f>
        <v/>
      </c>
      <c r="L59" s="87" t="s">
        <v>16</v>
      </c>
      <c r="M59" s="134" t="str">
        <f>IF(VLOOKUP($E59,JOGOS!$B$11:$K$84,9,FALSE)="","",VLOOKUP($E59,JOGOS!$B$11:$K$84,9,FALSE))</f>
        <v/>
      </c>
      <c r="N59" s="126" t="str">
        <f>IF($BA$8=2,$AL$8,"2º Grupo A")</f>
        <v>2º Grupo A</v>
      </c>
      <c r="O59" s="87" t="str">
        <f>IF(VLOOKUP($E59,JOGOS!$B$11:$N$84,11,FALSE)="","",VLOOKUP($E59,JOGOS!$B$11:$N$84,11,FALSE))</f>
        <v/>
      </c>
      <c r="P59" s="87" t="str">
        <f>IF(VLOOKUP($E59,JOGOS!$B$11:$N$84,13,FALSE)="","",VLOOKUP($E59,JOGOS!$B$11:$N$84,13,FALSE))</f>
        <v/>
      </c>
      <c r="S59" s="87">
        <f t="shared" si="157"/>
        <v>0</v>
      </c>
      <c r="T59" s="87">
        <f t="shared" si="158"/>
        <v>0</v>
      </c>
      <c r="U59" s="87">
        <f t="shared" si="159"/>
        <v>0</v>
      </c>
      <c r="V59" s="87">
        <f t="shared" si="166"/>
        <v>0</v>
      </c>
      <c r="W59" s="87">
        <f t="shared" si="160"/>
        <v>0</v>
      </c>
      <c r="X59" s="87">
        <f t="shared" si="161"/>
        <v>0</v>
      </c>
      <c r="Y59" s="87">
        <f t="shared" si="162"/>
        <v>0</v>
      </c>
      <c r="Z59" s="87">
        <f t="shared" si="163"/>
        <v>0</v>
      </c>
      <c r="AA59" s="134">
        <f t="shared" si="164"/>
        <v>0</v>
      </c>
      <c r="AB59" s="87">
        <f t="shared" si="165"/>
        <v>0</v>
      </c>
      <c r="AC59" s="87">
        <f t="shared" si="167"/>
        <v>0</v>
      </c>
      <c r="AD59" s="87">
        <f t="shared" si="168"/>
        <v>0</v>
      </c>
      <c r="AE59" s="87" t="str">
        <f>IF($Z59=0,"Venc. Jogo 51",IF(AND($Z59=1,$AC59&gt;$AD59),$J59,$N59))</f>
        <v>Venc. Jogo 51</v>
      </c>
      <c r="AF59" s="87" t="str">
        <f>IF($Z59=0,"Perdedor Jogo 51",IF(AND($Z59=1,$AC59&lt;$AD59),$J59,$N59))</f>
        <v>Perdedor Jogo 51</v>
      </c>
      <c r="BB59" s="123"/>
      <c r="BC59" s="123"/>
      <c r="BD59" s="87"/>
      <c r="BE59" s="87"/>
    </row>
    <row r="60" spans="2:57" x14ac:dyDescent="0.2">
      <c r="E60" s="123">
        <v>52</v>
      </c>
      <c r="F60" s="133">
        <v>43282</v>
      </c>
      <c r="G60" s="124">
        <v>0.625</v>
      </c>
      <c r="H60" s="123" t="s">
        <v>190</v>
      </c>
      <c r="I60" s="87" t="s">
        <v>108</v>
      </c>
      <c r="J60" s="125" t="str">
        <f>IF($BA$19=3,$AL$19,"1º Grupo D")</f>
        <v>1º Grupo D</v>
      </c>
      <c r="K60" s="134" t="str">
        <f>IF(VLOOKUP($E60,JOGOS!$B$11:$K$84,7,FALSE)="","",VLOOKUP($E60,JOGOS!$B$11:$K$84,7,FALSE))</f>
        <v/>
      </c>
      <c r="L60" s="87" t="s">
        <v>16</v>
      </c>
      <c r="M60" s="134" t="str">
        <f>IF(VLOOKUP($E60,JOGOS!$B$11:$K$84,9,FALSE)="","",VLOOKUP($E60,JOGOS!$B$11:$K$84,9,FALSE))</f>
        <v/>
      </c>
      <c r="N60" s="126" t="str">
        <f>IF($BA$16=2,$AL$16,"2º Grupo C")</f>
        <v>2º Grupo C</v>
      </c>
      <c r="O60" s="87" t="str">
        <f>IF(VLOOKUP($E60,JOGOS!$B$11:$N$84,11,FALSE)="","",VLOOKUP($E60,JOGOS!$B$11:$N$84,11,FALSE))</f>
        <v/>
      </c>
      <c r="P60" s="87" t="str">
        <f>IF(VLOOKUP($E60,JOGOS!$B$11:$N$84,13,FALSE)="","",VLOOKUP($E60,JOGOS!$B$11:$N$84,13,FALSE))</f>
        <v/>
      </c>
      <c r="S60" s="87">
        <f t="shared" si="157"/>
        <v>0</v>
      </c>
      <c r="T60" s="87">
        <f t="shared" si="158"/>
        <v>0</v>
      </c>
      <c r="U60" s="87">
        <f t="shared" si="159"/>
        <v>0</v>
      </c>
      <c r="V60" s="87">
        <f t="shared" si="166"/>
        <v>0</v>
      </c>
      <c r="W60" s="87">
        <f t="shared" si="160"/>
        <v>0</v>
      </c>
      <c r="X60" s="87">
        <f t="shared" si="161"/>
        <v>0</v>
      </c>
      <c r="Y60" s="87">
        <f t="shared" si="162"/>
        <v>0</v>
      </c>
      <c r="Z60" s="87">
        <f t="shared" si="163"/>
        <v>0</v>
      </c>
      <c r="AA60" s="134">
        <f t="shared" si="164"/>
        <v>0</v>
      </c>
      <c r="AB60" s="87">
        <f t="shared" si="165"/>
        <v>0</v>
      </c>
      <c r="AC60" s="87">
        <f t="shared" si="167"/>
        <v>0</v>
      </c>
      <c r="AD60" s="87">
        <f t="shared" si="168"/>
        <v>0</v>
      </c>
      <c r="AE60" s="87" t="str">
        <f>IF($Z60=0,"Venc. Jogo 52",IF(AND($Z60=1,$AC60&gt;$AD60),$J60,$N60))</f>
        <v>Venc. Jogo 52</v>
      </c>
      <c r="AF60" s="87" t="str">
        <f>IF($Z60=0,"Perdedor Jogo 52",IF(AND($Z60=1,$AC60&lt;$AD60),$J60,$N60))</f>
        <v>Perdedor Jogo 52</v>
      </c>
      <c r="BB60" s="123"/>
      <c r="BC60" s="123"/>
      <c r="BD60" s="87"/>
      <c r="BE60" s="87"/>
    </row>
    <row r="61" spans="2:57" x14ac:dyDescent="0.2">
      <c r="E61" s="123">
        <v>53</v>
      </c>
      <c r="F61" s="133">
        <v>43283</v>
      </c>
      <c r="G61" s="124">
        <v>0.45833333333333331</v>
      </c>
      <c r="H61" s="123" t="s">
        <v>184</v>
      </c>
      <c r="I61" s="87" t="s">
        <v>109</v>
      </c>
      <c r="J61" s="125" t="str">
        <f>IF($BA$23=3,$AL$23,"1º Grupo E")</f>
        <v>1º Grupo E</v>
      </c>
      <c r="K61" s="134" t="str">
        <f>IF(VLOOKUP($E61,JOGOS!$B$11:$K$84,7,FALSE)="","",VLOOKUP($E61,JOGOS!$B$11:$K$84,7,FALSE))</f>
        <v/>
      </c>
      <c r="L61" s="87" t="s">
        <v>16</v>
      </c>
      <c r="M61" s="134" t="str">
        <f>IF(VLOOKUP($E61,JOGOS!$B$11:$K$84,9,FALSE)="","",VLOOKUP($E61,JOGOS!$B$11:$K$84,9,FALSE))</f>
        <v/>
      </c>
      <c r="N61" s="126" t="str">
        <f>IF($BA$28=2,$AL$28,"2º Grupo F")</f>
        <v>2º Grupo F</v>
      </c>
      <c r="O61" s="87" t="str">
        <f>IF(VLOOKUP($E61,JOGOS!$B$11:$N$84,11,FALSE)="","",VLOOKUP($E61,JOGOS!$B$11:$N$84,11,FALSE))</f>
        <v/>
      </c>
      <c r="P61" s="87" t="str">
        <f>IF(VLOOKUP($E61,JOGOS!$B$11:$N$84,13,FALSE)="","",VLOOKUP($E61,JOGOS!$B$11:$N$84,13,FALSE))</f>
        <v/>
      </c>
      <c r="S61" s="87">
        <f t="shared" si="157"/>
        <v>0</v>
      </c>
      <c r="T61" s="87">
        <f t="shared" si="158"/>
        <v>0</v>
      </c>
      <c r="U61" s="87">
        <f t="shared" si="159"/>
        <v>0</v>
      </c>
      <c r="V61" s="87">
        <f t="shared" si="166"/>
        <v>0</v>
      </c>
      <c r="W61" s="87">
        <f t="shared" si="160"/>
        <v>0</v>
      </c>
      <c r="X61" s="87">
        <f t="shared" si="161"/>
        <v>0</v>
      </c>
      <c r="Y61" s="87">
        <f t="shared" si="162"/>
        <v>0</v>
      </c>
      <c r="Z61" s="87">
        <f t="shared" si="163"/>
        <v>0</v>
      </c>
      <c r="AA61" s="134">
        <f t="shared" si="164"/>
        <v>0</v>
      </c>
      <c r="AB61" s="87">
        <f t="shared" si="165"/>
        <v>0</v>
      </c>
      <c r="AC61" s="87">
        <f t="shared" si="167"/>
        <v>0</v>
      </c>
      <c r="AD61" s="87">
        <f t="shared" si="168"/>
        <v>0</v>
      </c>
      <c r="AE61" s="87" t="str">
        <f>IF($Z61=0,"Venc. Jogo 53",IF(AND($Z61=1,$AC61&gt;$AD61),$J61,$N61))</f>
        <v>Venc. Jogo 53</v>
      </c>
      <c r="AF61" s="87" t="str">
        <f>IF($Z61=0,"Perdedor Jogo 53",IF(AND($Z61=1,$AC61&lt;$AD61),$J61,$N61))</f>
        <v>Perdedor Jogo 53</v>
      </c>
      <c r="BB61" s="123"/>
      <c r="BC61" s="123"/>
      <c r="BD61" s="87"/>
      <c r="BE61" s="87"/>
    </row>
    <row r="62" spans="2:57" x14ac:dyDescent="0.2">
      <c r="E62" s="123">
        <v>54</v>
      </c>
      <c r="F62" s="133">
        <v>43283</v>
      </c>
      <c r="G62" s="124">
        <v>0.625</v>
      </c>
      <c r="H62" s="123" t="s">
        <v>183</v>
      </c>
      <c r="I62" s="87" t="s">
        <v>111</v>
      </c>
      <c r="J62" s="125" t="str">
        <f>IF($BA$31=3,$AL$31,"1º Grupo G")</f>
        <v>1º Grupo G</v>
      </c>
      <c r="K62" s="134" t="str">
        <f>IF(VLOOKUP($E62,JOGOS!$B$11:$K$84,7,FALSE)="","",VLOOKUP($E62,JOGOS!$B$11:$K$84,7,FALSE))</f>
        <v/>
      </c>
      <c r="L62" s="87" t="s">
        <v>16</v>
      </c>
      <c r="M62" s="134" t="str">
        <f>IF(VLOOKUP($E62,JOGOS!$B$11:$K$84,9,FALSE)="","",VLOOKUP($E62,JOGOS!$B$11:$K$84,9,FALSE))</f>
        <v/>
      </c>
      <c r="N62" s="126" t="str">
        <f>IF($BA$36=2,$AL$36,"2º Grupo H")</f>
        <v>2º Grupo H</v>
      </c>
      <c r="O62" s="87" t="str">
        <f>IF(VLOOKUP($E62,JOGOS!$B$11:$N$84,11,FALSE)="","",VLOOKUP($E62,JOGOS!$B$11:$N$84,11,FALSE))</f>
        <v/>
      </c>
      <c r="P62" s="87" t="str">
        <f>IF(VLOOKUP($E62,JOGOS!$B$11:$N$84,13,FALSE)="","",VLOOKUP($E62,JOGOS!$B$11:$N$84,13,FALSE))</f>
        <v/>
      </c>
      <c r="S62" s="87">
        <f t="shared" si="157"/>
        <v>0</v>
      </c>
      <c r="T62" s="87">
        <f t="shared" si="158"/>
        <v>0</v>
      </c>
      <c r="U62" s="87">
        <f t="shared" si="159"/>
        <v>0</v>
      </c>
      <c r="V62" s="87">
        <f t="shared" si="166"/>
        <v>0</v>
      </c>
      <c r="W62" s="87">
        <f t="shared" si="160"/>
        <v>0</v>
      </c>
      <c r="X62" s="87">
        <f t="shared" si="161"/>
        <v>0</v>
      </c>
      <c r="Y62" s="87">
        <f t="shared" si="162"/>
        <v>0</v>
      </c>
      <c r="Z62" s="87">
        <f t="shared" si="163"/>
        <v>0</v>
      </c>
      <c r="AA62" s="134">
        <f t="shared" si="164"/>
        <v>0</v>
      </c>
      <c r="AB62" s="87">
        <f t="shared" si="165"/>
        <v>0</v>
      </c>
      <c r="AC62" s="87">
        <f t="shared" si="167"/>
        <v>0</v>
      </c>
      <c r="AD62" s="87">
        <f t="shared" si="168"/>
        <v>0</v>
      </c>
      <c r="AE62" s="87" t="str">
        <f>IF($Z62=0,"Venc. Jogo 54",IF(AND($Z62=1,$AC62&gt;$AD62),$J62,$N62))</f>
        <v>Venc. Jogo 54</v>
      </c>
      <c r="AF62" s="87" t="str">
        <f>IF($Z62=0,"Perdedor Jogo 54",IF(AND($Z62=1,$AC62&lt;$AD62),$J62,$N62))</f>
        <v>Perdedor Jogo 54</v>
      </c>
      <c r="BB62" s="123"/>
      <c r="BC62" s="123"/>
      <c r="BD62" s="87"/>
      <c r="BE62" s="87"/>
    </row>
    <row r="63" spans="2:57" x14ac:dyDescent="0.2">
      <c r="E63" s="123">
        <v>55</v>
      </c>
      <c r="F63" s="133">
        <v>43284</v>
      </c>
      <c r="G63" s="124">
        <v>0.45833333333333331</v>
      </c>
      <c r="H63" s="123" t="s">
        <v>182</v>
      </c>
      <c r="I63" s="87" t="s">
        <v>110</v>
      </c>
      <c r="J63" s="125" t="str">
        <f>IF($BA$27=3,$AL$27,"1º Grupo F")</f>
        <v>1º Grupo F</v>
      </c>
      <c r="K63" s="134" t="str">
        <f>IF(VLOOKUP($E63,JOGOS!$B$11:$K$84,7,FALSE)="","",VLOOKUP($E63,JOGOS!$B$11:$K$84,7,FALSE))</f>
        <v/>
      </c>
      <c r="L63" s="87" t="s">
        <v>16</v>
      </c>
      <c r="M63" s="134" t="str">
        <f>IF(VLOOKUP($E63,JOGOS!$B$11:$K$84,9,FALSE)="","",VLOOKUP($E63,JOGOS!$B$11:$K$84,9,FALSE))</f>
        <v/>
      </c>
      <c r="N63" s="126" t="str">
        <f>IF($BA$24=2,$AL$24,"2º Grupo E")</f>
        <v>2º Grupo E</v>
      </c>
      <c r="O63" s="87" t="str">
        <f>IF(VLOOKUP($E63,JOGOS!$B$11:$N$84,11,FALSE)="","",VLOOKUP($E63,JOGOS!$B$11:$N$84,11,FALSE))</f>
        <v/>
      </c>
      <c r="P63" s="87" t="str">
        <f>IF(VLOOKUP($E63,JOGOS!$B$11:$N$84,13,FALSE)="","",VLOOKUP($E63,JOGOS!$B$11:$N$84,13,FALSE))</f>
        <v/>
      </c>
      <c r="S63" s="87">
        <f t="shared" si="157"/>
        <v>0</v>
      </c>
      <c r="T63" s="87">
        <f t="shared" si="158"/>
        <v>0</v>
      </c>
      <c r="U63" s="87">
        <f t="shared" si="159"/>
        <v>0</v>
      </c>
      <c r="V63" s="87">
        <f t="shared" si="166"/>
        <v>0</v>
      </c>
      <c r="W63" s="87">
        <f t="shared" si="160"/>
        <v>0</v>
      </c>
      <c r="X63" s="87">
        <f t="shared" si="161"/>
        <v>0</v>
      </c>
      <c r="Y63" s="87">
        <f t="shared" si="162"/>
        <v>0</v>
      </c>
      <c r="Z63" s="87">
        <f t="shared" si="163"/>
        <v>0</v>
      </c>
      <c r="AA63" s="134">
        <f t="shared" si="164"/>
        <v>0</v>
      </c>
      <c r="AB63" s="87">
        <f t="shared" si="165"/>
        <v>0</v>
      </c>
      <c r="AC63" s="87">
        <f t="shared" si="167"/>
        <v>0</v>
      </c>
      <c r="AD63" s="87">
        <f t="shared" si="168"/>
        <v>0</v>
      </c>
      <c r="AE63" s="87" t="str">
        <f>IF($Z63=0,"Venc. Jogo 55",IF(AND($Z63=1,$AC63&gt;$AD63),$J63,$N63))</f>
        <v>Venc. Jogo 55</v>
      </c>
      <c r="AF63" s="87" t="str">
        <f>IF($Z63=0,"Perdedor Jogo 55",IF(AND($Z63=1,$AC63&lt;$AD63),$J63,$N63))</f>
        <v>Perdedor Jogo 55</v>
      </c>
      <c r="BB63" s="123"/>
      <c r="BC63" s="123"/>
      <c r="BD63" s="87"/>
      <c r="BE63" s="87"/>
    </row>
    <row r="64" spans="2:57" x14ac:dyDescent="0.2">
      <c r="E64" s="123">
        <v>56</v>
      </c>
      <c r="F64" s="133">
        <v>43284</v>
      </c>
      <c r="G64" s="124">
        <v>0.625</v>
      </c>
      <c r="H64" s="123" t="s">
        <v>180</v>
      </c>
      <c r="I64" s="87" t="s">
        <v>112</v>
      </c>
      <c r="J64" s="125" t="str">
        <f>IF($BA$35=3,$AL$35,"1º Grupo H")</f>
        <v>1º Grupo H</v>
      </c>
      <c r="K64" s="134" t="str">
        <f>IF(VLOOKUP($E64,JOGOS!$B$11:$K$84,7,FALSE)="","",VLOOKUP($E64,JOGOS!$B$11:$K$84,7,FALSE))</f>
        <v/>
      </c>
      <c r="L64" s="87" t="s">
        <v>16</v>
      </c>
      <c r="M64" s="134" t="str">
        <f>IF(VLOOKUP($E64,JOGOS!$B$11:$K$84,9,FALSE)="","",VLOOKUP($E64,JOGOS!$B$11:$K$84,9,FALSE))</f>
        <v/>
      </c>
      <c r="N64" s="126" t="str">
        <f>IF($BA$32=2,$AL$32,"2º Grupo G")</f>
        <v>2º Grupo G</v>
      </c>
      <c r="O64" s="87" t="str">
        <f>IF(VLOOKUP($E64,JOGOS!$B$11:$N$84,11,FALSE)="","",VLOOKUP($E64,JOGOS!$B$11:$N$84,11,FALSE))</f>
        <v/>
      </c>
      <c r="P64" s="87" t="str">
        <f>IF(VLOOKUP($E64,JOGOS!$B$11:$N$84,13,FALSE)="","",VLOOKUP($E64,JOGOS!$B$11:$N$84,13,FALSE))</f>
        <v/>
      </c>
      <c r="S64" s="87">
        <f t="shared" si="157"/>
        <v>0</v>
      </c>
      <c r="T64" s="87">
        <f t="shared" si="158"/>
        <v>0</v>
      </c>
      <c r="U64" s="87">
        <f t="shared" si="159"/>
        <v>0</v>
      </c>
      <c r="V64" s="87">
        <f t="shared" si="166"/>
        <v>0</v>
      </c>
      <c r="W64" s="87">
        <f t="shared" si="160"/>
        <v>0</v>
      </c>
      <c r="X64" s="87">
        <f t="shared" si="161"/>
        <v>0</v>
      </c>
      <c r="Y64" s="87">
        <f t="shared" si="162"/>
        <v>0</v>
      </c>
      <c r="Z64" s="87">
        <f t="shared" si="163"/>
        <v>0</v>
      </c>
      <c r="AA64" s="134">
        <f t="shared" si="164"/>
        <v>0</v>
      </c>
      <c r="AB64" s="87">
        <f t="shared" si="165"/>
        <v>0</v>
      </c>
      <c r="AC64" s="87">
        <f t="shared" si="167"/>
        <v>0</v>
      </c>
      <c r="AD64" s="87">
        <f t="shared" si="168"/>
        <v>0</v>
      </c>
      <c r="AE64" s="87" t="str">
        <f>IF($Z64=0,"Venc. Jogo 56",IF(AND($Z64=1,$AC64&gt;$AD64),$J64,$N64))</f>
        <v>Venc. Jogo 56</v>
      </c>
      <c r="AF64" s="87" t="str">
        <f>IF($Z64=0,"Perdedor Jogo 56",IF(AND($Z64=1,$AC64&lt;$AD64),$J64,$N64))</f>
        <v>Perdedor Jogo 56</v>
      </c>
      <c r="BB64" s="123"/>
      <c r="BC64" s="123"/>
      <c r="BD64" s="87"/>
      <c r="BE64" s="87"/>
    </row>
    <row r="65" spans="5:57" x14ac:dyDescent="0.2">
      <c r="F65" s="133"/>
      <c r="K65" s="134"/>
      <c r="M65" s="134"/>
      <c r="W65" s="87"/>
      <c r="AA65" s="134"/>
      <c r="BB65" s="123"/>
      <c r="BC65" s="123"/>
      <c r="BD65" s="87"/>
      <c r="BE65" s="87"/>
    </row>
    <row r="66" spans="5:57" x14ac:dyDescent="0.2">
      <c r="K66" s="134"/>
      <c r="M66" s="134"/>
      <c r="O66" s="206" t="s">
        <v>46</v>
      </c>
      <c r="P66" s="206"/>
      <c r="S66" s="87" t="s">
        <v>7</v>
      </c>
      <c r="T66" s="87" t="s">
        <v>14</v>
      </c>
      <c r="U66" s="87" t="s">
        <v>15</v>
      </c>
      <c r="V66" s="87" t="s">
        <v>47</v>
      </c>
      <c r="W66" s="87" t="s">
        <v>39</v>
      </c>
      <c r="X66" s="87" t="s">
        <v>48</v>
      </c>
      <c r="Y66" s="87" t="s">
        <v>49</v>
      </c>
      <c r="Z66" s="87" t="s">
        <v>40</v>
      </c>
      <c r="AA66" s="127" t="s">
        <v>50</v>
      </c>
      <c r="AB66" s="87" t="s">
        <v>51</v>
      </c>
      <c r="AC66" s="87" t="s">
        <v>52</v>
      </c>
      <c r="AD66" s="87" t="s">
        <v>53</v>
      </c>
      <c r="AE66" s="87" t="s">
        <v>54</v>
      </c>
      <c r="AF66" s="87" t="s">
        <v>60</v>
      </c>
      <c r="BB66" s="123"/>
      <c r="BC66" s="123"/>
      <c r="BD66" s="87"/>
      <c r="BE66" s="87"/>
    </row>
    <row r="67" spans="5:57" x14ac:dyDescent="0.2">
      <c r="E67" s="123">
        <v>57</v>
      </c>
      <c r="F67" s="133">
        <v>43287</v>
      </c>
      <c r="G67" s="124">
        <v>0.45833333333333331</v>
      </c>
      <c r="H67" s="123" t="s">
        <v>190</v>
      </c>
      <c r="I67" s="87" t="s">
        <v>152</v>
      </c>
      <c r="J67" s="125" t="str">
        <f>$AE$57</f>
        <v>Venc. Jogo 49</v>
      </c>
      <c r="K67" s="134" t="str">
        <f>IF(VLOOKUP($E67,JOGOS!$B$11:$K$84,7,FALSE)="","",VLOOKUP($E67,JOGOS!$B$11:$K$84,7,FALSE))</f>
        <v/>
      </c>
      <c r="L67" s="87" t="s">
        <v>16</v>
      </c>
      <c r="M67" s="134" t="str">
        <f>IF(VLOOKUP($E67,JOGOS!$B$11:$K$84,9,FALSE)="","",VLOOKUP($E67,JOGOS!$B$11:$K$84,9,FALSE))</f>
        <v/>
      </c>
      <c r="N67" s="126" t="str">
        <f>$AE$58</f>
        <v>Venc. Jogo 50</v>
      </c>
      <c r="O67" s="87" t="str">
        <f>IF(VLOOKUP($E67,JOGOS!$B$11:$N$84,11,FALSE)="","",VLOOKUP($E67,JOGOS!$B$11:$N$84,11,FALSE))</f>
        <v/>
      </c>
      <c r="P67" s="87" t="str">
        <f>IF(VLOOKUP($E67,JOGOS!$B$11:$N$84,13,FALSE)="","",VLOOKUP($E67,JOGOS!$B$11:$N$84,13,FALSE))</f>
        <v/>
      </c>
      <c r="S67" s="87">
        <f t="shared" ref="S67:S70" si="169">IF(OR($K67="",$M67=""),0,1)</f>
        <v>0</v>
      </c>
      <c r="T67" s="87">
        <f t="shared" ref="T67:T70" si="170">IF(OR($K67="",$M67=""),0,IF($K67&gt;$M67,1,0))</f>
        <v>0</v>
      </c>
      <c r="U67" s="87">
        <f t="shared" ref="U67:U70" si="171">IF(OR($K67="",$M67=""),0,IF($K67&lt;$M67,1,0))</f>
        <v>0</v>
      </c>
      <c r="V67" s="87">
        <f t="shared" ref="V67:V70" si="172">IF(AND($S67=1,$K67=$M67),1,0)</f>
        <v>0</v>
      </c>
      <c r="W67" s="87">
        <f>IF(AND($V67=1,OR($O67="",$P67="")),1,0)</f>
        <v>0</v>
      </c>
      <c r="X67" s="87">
        <f>IF(AND($V67=1,$O67=$P67),1,0)</f>
        <v>0</v>
      </c>
      <c r="Y67" s="87">
        <f t="shared" ref="Y67:Y70" si="173">IF($V67=0,0,IF(AND($V67=1,$W67=0,$X67=0),0,1))</f>
        <v>0</v>
      </c>
      <c r="Z67" s="87">
        <f>IF(AND($S67=1,SUM(V67:Y67)&lt;2),1,0)</f>
        <v>0</v>
      </c>
      <c r="AA67" s="134">
        <f t="shared" ref="AA67:AA70" si="174">IF($O67="",0,$O67)</f>
        <v>0</v>
      </c>
      <c r="AB67" s="87">
        <f t="shared" ref="AB67:AB70" si="175">IF($P67="",0,$P67)</f>
        <v>0</v>
      </c>
      <c r="AC67" s="87">
        <f t="shared" ref="AC67:AC70" si="176">SUM(K67,O67)</f>
        <v>0</v>
      </c>
      <c r="AD67" s="87">
        <f t="shared" ref="AD67:AD70" si="177">SUM(M67,P67)</f>
        <v>0</v>
      </c>
      <c r="AE67" s="87" t="str">
        <f>IF($Z67=0,"Venc. Jogo 57",IF(AND($Z67=1,$AC67&gt;$AD67),$J67,$N67))</f>
        <v>Venc. Jogo 57</v>
      </c>
      <c r="AF67" s="87" t="str">
        <f>IF($Z67=0,"Perdedor Jogo 57",IF(AND($Z67=1,$AC67&lt;$AD67),$J67,$N67))</f>
        <v>Perdedor Jogo 57</v>
      </c>
      <c r="BB67" s="123"/>
      <c r="BC67" s="123"/>
      <c r="BD67" s="87"/>
      <c r="BE67" s="87"/>
    </row>
    <row r="68" spans="5:57" x14ac:dyDescent="0.2">
      <c r="E68" s="123">
        <v>58</v>
      </c>
      <c r="F68" s="133">
        <v>43287</v>
      </c>
      <c r="G68" s="124">
        <v>0.625</v>
      </c>
      <c r="H68" s="123" t="s">
        <v>187</v>
      </c>
      <c r="I68" s="87" t="s">
        <v>153</v>
      </c>
      <c r="J68" s="125" t="str">
        <f>$AE$61</f>
        <v>Venc. Jogo 53</v>
      </c>
      <c r="K68" s="134" t="str">
        <f>IF(VLOOKUP($E68,JOGOS!$B$11:$K$84,7,FALSE)="","",VLOOKUP($E68,JOGOS!$B$11:$K$84,7,FALSE))</f>
        <v/>
      </c>
      <c r="L68" s="87" t="s">
        <v>16</v>
      </c>
      <c r="M68" s="134" t="str">
        <f>IF(VLOOKUP($E68,JOGOS!$B$11:$K$84,9,FALSE)="","",VLOOKUP($E68,JOGOS!$B$11:$K$84,9,FALSE))</f>
        <v/>
      </c>
      <c r="N68" s="126" t="str">
        <f>$AE$62</f>
        <v>Venc. Jogo 54</v>
      </c>
      <c r="O68" s="87" t="str">
        <f>IF(VLOOKUP($E68,JOGOS!$B$11:$N$84,11,FALSE)="","",VLOOKUP($E68,JOGOS!$B$11:$N$84,11,FALSE))</f>
        <v/>
      </c>
      <c r="P68" s="87" t="str">
        <f>IF(VLOOKUP($E68,JOGOS!$B$11:$N$84,13,FALSE)="","",VLOOKUP($E68,JOGOS!$B$11:$N$84,13,FALSE))</f>
        <v/>
      </c>
      <c r="S68" s="87">
        <f t="shared" si="169"/>
        <v>0</v>
      </c>
      <c r="T68" s="87">
        <f t="shared" si="170"/>
        <v>0</v>
      </c>
      <c r="U68" s="87">
        <f t="shared" si="171"/>
        <v>0</v>
      </c>
      <c r="V68" s="87">
        <f t="shared" si="172"/>
        <v>0</v>
      </c>
      <c r="W68" s="87">
        <f>IF(AND($V68=1,OR($O68="",$P68="")),1,0)</f>
        <v>0</v>
      </c>
      <c r="X68" s="87">
        <f>IF(AND($V68=1,$O68=$P68),1,0)</f>
        <v>0</v>
      </c>
      <c r="Y68" s="87">
        <f t="shared" si="173"/>
        <v>0</v>
      </c>
      <c r="Z68" s="87">
        <f>IF(AND($S68=1,SUM(V68:Y68)&lt;2),1,0)</f>
        <v>0</v>
      </c>
      <c r="AA68" s="134">
        <f t="shared" si="174"/>
        <v>0</v>
      </c>
      <c r="AB68" s="87">
        <f t="shared" si="175"/>
        <v>0</v>
      </c>
      <c r="AC68" s="87">
        <f t="shared" si="176"/>
        <v>0</v>
      </c>
      <c r="AD68" s="87">
        <f t="shared" si="177"/>
        <v>0</v>
      </c>
      <c r="AE68" s="87" t="str">
        <f>IF($Z68=0,"Venc. Jogo 58",IF(AND($Z68=1,$AC68&gt;$AD68),$J68,$N68))</f>
        <v>Venc. Jogo 58</v>
      </c>
      <c r="AF68" s="87" t="str">
        <f>IF($Z68=0,"Perdedor Jogo 58",IF(AND($Z68=1,$AC68&lt;$AD68),$J68,$N68))</f>
        <v>Perdedor Jogo 58</v>
      </c>
      <c r="BB68" s="123"/>
      <c r="BC68" s="123"/>
      <c r="BD68" s="87"/>
      <c r="BE68" s="87"/>
    </row>
    <row r="69" spans="5:57" x14ac:dyDescent="0.2">
      <c r="E69" s="123">
        <v>59</v>
      </c>
      <c r="F69" s="133">
        <v>43288</v>
      </c>
      <c r="G69" s="124">
        <v>0.625</v>
      </c>
      <c r="H69" s="123" t="s">
        <v>186</v>
      </c>
      <c r="I69" s="87" t="s">
        <v>154</v>
      </c>
      <c r="J69" s="125" t="str">
        <f>$AE$59</f>
        <v>Venc. Jogo 51</v>
      </c>
      <c r="K69" s="134" t="str">
        <f>IF(VLOOKUP($E69,JOGOS!$B$11:$K$84,7,FALSE)="","",VLOOKUP($E69,JOGOS!$B$11:$K$84,7,FALSE))</f>
        <v/>
      </c>
      <c r="L69" s="87" t="s">
        <v>16</v>
      </c>
      <c r="M69" s="134" t="str">
        <f>IF(VLOOKUP($E69,JOGOS!$B$11:$K$84,9,FALSE)="","",VLOOKUP($E69,JOGOS!$B$11:$K$84,9,FALSE))</f>
        <v/>
      </c>
      <c r="N69" s="126" t="str">
        <f>$AE$60</f>
        <v>Venc. Jogo 52</v>
      </c>
      <c r="O69" s="87" t="str">
        <f>IF(VLOOKUP($E69,JOGOS!$B$11:$N$84,11,FALSE)="","",VLOOKUP($E69,JOGOS!$B$11:$N$84,11,FALSE))</f>
        <v/>
      </c>
      <c r="P69" s="87" t="str">
        <f>IF(VLOOKUP($E69,JOGOS!$B$11:$N$84,13,FALSE)="","",VLOOKUP($E69,JOGOS!$B$11:$N$84,13,FALSE))</f>
        <v/>
      </c>
      <c r="S69" s="87">
        <f t="shared" si="169"/>
        <v>0</v>
      </c>
      <c r="T69" s="87">
        <f t="shared" si="170"/>
        <v>0</v>
      </c>
      <c r="U69" s="87">
        <f t="shared" si="171"/>
        <v>0</v>
      </c>
      <c r="V69" s="87">
        <f t="shared" si="172"/>
        <v>0</v>
      </c>
      <c r="W69" s="87">
        <f>IF(AND($V69=1,OR($O69="",$P69="")),1,0)</f>
        <v>0</v>
      </c>
      <c r="X69" s="87">
        <f>IF(AND($V69=1,$O69=$P69),1,0)</f>
        <v>0</v>
      </c>
      <c r="Y69" s="87">
        <f t="shared" si="173"/>
        <v>0</v>
      </c>
      <c r="Z69" s="87">
        <f>IF(AND($S69=1,SUM(V69:Y69)&lt;2),1,0)</f>
        <v>0</v>
      </c>
      <c r="AA69" s="134">
        <f t="shared" si="174"/>
        <v>0</v>
      </c>
      <c r="AB69" s="87">
        <f t="shared" si="175"/>
        <v>0</v>
      </c>
      <c r="AC69" s="87">
        <f t="shared" si="176"/>
        <v>0</v>
      </c>
      <c r="AD69" s="87">
        <f t="shared" si="177"/>
        <v>0</v>
      </c>
      <c r="AE69" s="87" t="str">
        <f>IF($Z69=0,"Venc. Jogo 59",IF(AND($Z69=1,$AC69&gt;$AD69),$J69,$N69))</f>
        <v>Venc. Jogo 59</v>
      </c>
      <c r="AF69" s="87" t="str">
        <f>IF($Z69=0,"Perdedor Jogo 59",IF(AND($Z69=1,$AC69&lt;$AD69),$J69,$N69))</f>
        <v>Perdedor Jogo 59</v>
      </c>
      <c r="BB69" s="123"/>
      <c r="BC69" s="123"/>
      <c r="BD69" s="87"/>
      <c r="BE69" s="87"/>
    </row>
    <row r="70" spans="5:57" x14ac:dyDescent="0.2">
      <c r="E70" s="123">
        <v>60</v>
      </c>
      <c r="F70" s="133">
        <v>43288</v>
      </c>
      <c r="G70" s="124">
        <v>0.45833333333333331</v>
      </c>
      <c r="H70" s="123" t="s">
        <v>184</v>
      </c>
      <c r="I70" s="87" t="s">
        <v>155</v>
      </c>
      <c r="J70" s="125" t="str">
        <f>$AE$63</f>
        <v>Venc. Jogo 55</v>
      </c>
      <c r="K70" s="134" t="str">
        <f>IF(VLOOKUP($E70,JOGOS!$B$11:$K$84,7,FALSE)="","",VLOOKUP($E70,JOGOS!$B$11:$K$84,7,FALSE))</f>
        <v/>
      </c>
      <c r="L70" s="87" t="s">
        <v>16</v>
      </c>
      <c r="M70" s="134" t="str">
        <f>IF(VLOOKUP($E70,JOGOS!$B$11:$K$84,9,FALSE)="","",VLOOKUP($E70,JOGOS!$B$11:$K$84,9,FALSE))</f>
        <v/>
      </c>
      <c r="N70" s="126" t="str">
        <f>$AE$64</f>
        <v>Venc. Jogo 56</v>
      </c>
      <c r="O70" s="87" t="str">
        <f>IF(VLOOKUP($E70,JOGOS!$B$11:$N$84,11,FALSE)="","",VLOOKUP($E70,JOGOS!$B$11:$N$84,11,FALSE))</f>
        <v/>
      </c>
      <c r="P70" s="87" t="str">
        <f>IF(VLOOKUP($E70,JOGOS!$B$11:$N$84,13,FALSE)="","",VLOOKUP($E70,JOGOS!$B$11:$N$84,13,FALSE))</f>
        <v/>
      </c>
      <c r="S70" s="87">
        <f t="shared" si="169"/>
        <v>0</v>
      </c>
      <c r="T70" s="87">
        <f t="shared" si="170"/>
        <v>0</v>
      </c>
      <c r="U70" s="87">
        <f t="shared" si="171"/>
        <v>0</v>
      </c>
      <c r="V70" s="87">
        <f t="shared" si="172"/>
        <v>0</v>
      </c>
      <c r="W70" s="87">
        <f>IF(AND($V70=1,OR($O70="",$P70="")),1,0)</f>
        <v>0</v>
      </c>
      <c r="X70" s="87">
        <f>IF(AND($V70=1,$O70=$P70),1,0)</f>
        <v>0</v>
      </c>
      <c r="Y70" s="87">
        <f t="shared" si="173"/>
        <v>0</v>
      </c>
      <c r="Z70" s="87">
        <f>IF(AND($S70=1,SUM(V70:Y70)&lt;2),1,0)</f>
        <v>0</v>
      </c>
      <c r="AA70" s="134">
        <f t="shared" si="174"/>
        <v>0</v>
      </c>
      <c r="AB70" s="87">
        <f t="shared" si="175"/>
        <v>0</v>
      </c>
      <c r="AC70" s="87">
        <f t="shared" si="176"/>
        <v>0</v>
      </c>
      <c r="AD70" s="87">
        <f t="shared" si="177"/>
        <v>0</v>
      </c>
      <c r="AE70" s="87" t="str">
        <f>IF($Z70=0,"Venc. Jogo 60",IF(AND($Z70=1,$AC70&gt;$AD70),$J70,$N70))</f>
        <v>Venc. Jogo 60</v>
      </c>
      <c r="AF70" s="87" t="str">
        <f>IF($Z70=0,"Perdedor Jogo 60",IF(AND($Z70=1,$AC70&lt;$AD70),$J70,$N70))</f>
        <v>Perdedor Jogo 60</v>
      </c>
      <c r="BB70" s="123"/>
      <c r="BC70" s="123"/>
      <c r="BD70" s="87"/>
      <c r="BE70" s="87"/>
    </row>
    <row r="71" spans="5:57" x14ac:dyDescent="0.2">
      <c r="F71" s="133"/>
      <c r="K71" s="134"/>
      <c r="M71" s="134"/>
      <c r="W71" s="87"/>
      <c r="AA71" s="134"/>
      <c r="BB71" s="123"/>
      <c r="BC71" s="123"/>
      <c r="BD71" s="87"/>
      <c r="BE71" s="87"/>
    </row>
    <row r="72" spans="5:57" x14ac:dyDescent="0.2">
      <c r="F72" s="133"/>
      <c r="K72" s="134"/>
      <c r="M72" s="134"/>
      <c r="O72" s="206" t="s">
        <v>46</v>
      </c>
      <c r="P72" s="206"/>
      <c r="S72" s="87" t="s">
        <v>7</v>
      </c>
      <c r="T72" s="87" t="s">
        <v>14</v>
      </c>
      <c r="U72" s="87" t="s">
        <v>15</v>
      </c>
      <c r="V72" s="87" t="s">
        <v>47</v>
      </c>
      <c r="W72" s="87" t="s">
        <v>39</v>
      </c>
      <c r="X72" s="87" t="s">
        <v>48</v>
      </c>
      <c r="Y72" s="87" t="s">
        <v>49</v>
      </c>
      <c r="Z72" s="87" t="s">
        <v>40</v>
      </c>
      <c r="AA72" s="127" t="s">
        <v>50</v>
      </c>
      <c r="AB72" s="87" t="s">
        <v>51</v>
      </c>
      <c r="AC72" s="87" t="s">
        <v>52</v>
      </c>
      <c r="AD72" s="87" t="s">
        <v>53</v>
      </c>
      <c r="AE72" s="87" t="s">
        <v>54</v>
      </c>
      <c r="AF72" s="87" t="s">
        <v>60</v>
      </c>
      <c r="BB72" s="123"/>
      <c r="BC72" s="123"/>
      <c r="BD72" s="87"/>
      <c r="BE72" s="87"/>
    </row>
    <row r="73" spans="5:57" x14ac:dyDescent="0.2">
      <c r="E73" s="123">
        <v>61</v>
      </c>
      <c r="F73" s="133">
        <v>43291</v>
      </c>
      <c r="G73" s="124">
        <v>0.625</v>
      </c>
      <c r="H73" s="123" t="s">
        <v>182</v>
      </c>
      <c r="I73" s="87" t="s">
        <v>113</v>
      </c>
      <c r="J73" s="125" t="str">
        <f>$AE$67</f>
        <v>Venc. Jogo 57</v>
      </c>
      <c r="K73" s="134" t="str">
        <f>IF(VLOOKUP($E73,JOGOS!$B$11:$K$84,7,FALSE)="","",VLOOKUP($E73,JOGOS!$B$11:$K$84,7,FALSE))</f>
        <v/>
      </c>
      <c r="L73" s="87" t="s">
        <v>16</v>
      </c>
      <c r="M73" s="134" t="str">
        <f>IF(VLOOKUP($E73,JOGOS!$B$11:$K$84,9,FALSE)="","",VLOOKUP($E73,JOGOS!$B$11:$K$84,9,FALSE))</f>
        <v/>
      </c>
      <c r="N73" s="126" t="str">
        <f>$AE$68</f>
        <v>Venc. Jogo 58</v>
      </c>
      <c r="O73" s="87" t="str">
        <f>IF(VLOOKUP($E73,JOGOS!$B$11:$N$84,11,FALSE)="","",VLOOKUP($E73,JOGOS!$B$11:$N$84,11,FALSE))</f>
        <v/>
      </c>
      <c r="P73" s="87" t="str">
        <f>IF(VLOOKUP($E73,JOGOS!$B$11:$N$84,13,FALSE)="","",VLOOKUP($E73,JOGOS!$B$11:$N$84,13,FALSE))</f>
        <v/>
      </c>
      <c r="S73" s="87">
        <f t="shared" ref="S73:S77" si="178">IF(OR($K73="",$M73=""),0,1)</f>
        <v>0</v>
      </c>
      <c r="T73" s="87">
        <f t="shared" ref="T73:T74" si="179">IF(OR($K73="",$M73=""),0,IF($K73&gt;$M73,1,0))</f>
        <v>0</v>
      </c>
      <c r="U73" s="87">
        <f t="shared" ref="U73:U74" si="180">IF(OR($K73="",$M73=""),0,IF($K73&lt;$M73,1,0))</f>
        <v>0</v>
      </c>
      <c r="V73" s="87">
        <f>IF(AND($S73=1,$K73=$M73),1,0)</f>
        <v>0</v>
      </c>
      <c r="W73" s="87">
        <f>IF(AND($V73=1,OR($O73="",$P73="")),1,0)</f>
        <v>0</v>
      </c>
      <c r="X73" s="87">
        <f>IF(AND($V73=1,$O73=$P73),1,0)</f>
        <v>0</v>
      </c>
      <c r="Y73" s="87">
        <f t="shared" ref="Y73:Y77" si="181">IF($V73=0,0,IF(AND($V73=1,$W73=0,$X73=0),0,1))</f>
        <v>0</v>
      </c>
      <c r="Z73" s="87">
        <f>IF(AND($S73=1,SUM(V73:Y73)&lt;2),1,0)</f>
        <v>0</v>
      </c>
      <c r="AA73" s="134">
        <f t="shared" ref="AA73:AA77" si="182">IF($O73="",0,$O73)</f>
        <v>0</v>
      </c>
      <c r="AB73" s="87">
        <f t="shared" ref="AB73:AB77" si="183">IF($P73="",0,$P73)</f>
        <v>0</v>
      </c>
      <c r="AC73" s="87">
        <f t="shared" ref="AC73:AC74" si="184">SUM(K73,O73)</f>
        <v>0</v>
      </c>
      <c r="AD73" s="87">
        <f t="shared" ref="AD73:AD74" si="185">SUM(M73,P73)</f>
        <v>0</v>
      </c>
      <c r="AE73" s="87" t="str">
        <f>IF($Z73=0,"Venc. Jogo 61",IF(AND($Z73=1,$AC73&gt;$AD73),$J73,$N73))</f>
        <v>Venc. Jogo 61</v>
      </c>
      <c r="AF73" s="87" t="str">
        <f>IF($Z73=0,"Perd. Jogo 61",IF(AND($Z73=1,$AC73&lt;$AD73),$J73,$N73))</f>
        <v>Perd. Jogo 61</v>
      </c>
      <c r="BB73" s="123"/>
      <c r="BC73" s="123"/>
      <c r="BD73" s="87"/>
      <c r="BE73" s="87"/>
    </row>
    <row r="74" spans="5:57" x14ac:dyDescent="0.2">
      <c r="E74" s="123">
        <v>62</v>
      </c>
      <c r="F74" s="133">
        <v>43292</v>
      </c>
      <c r="G74" s="124">
        <v>0.625</v>
      </c>
      <c r="H74" s="123" t="s">
        <v>180</v>
      </c>
      <c r="I74" s="87" t="s">
        <v>114</v>
      </c>
      <c r="J74" s="125" t="str">
        <f>$AE$69</f>
        <v>Venc. Jogo 59</v>
      </c>
      <c r="K74" s="134" t="str">
        <f>IF(VLOOKUP($E74,JOGOS!$B$11:$K$84,7,FALSE)="","",VLOOKUP($E74,JOGOS!$B$11:$K$84,7,FALSE))</f>
        <v/>
      </c>
      <c r="L74" s="87" t="s">
        <v>16</v>
      </c>
      <c r="M74" s="134" t="str">
        <f>IF(VLOOKUP($E74,JOGOS!$B$11:$K$84,9,FALSE)="","",VLOOKUP($E74,JOGOS!$B$11:$K$84,9,FALSE))</f>
        <v/>
      </c>
      <c r="N74" s="126" t="str">
        <f>$AE$70</f>
        <v>Venc. Jogo 60</v>
      </c>
      <c r="O74" s="87" t="str">
        <f>IF(VLOOKUP($E74,JOGOS!$B$11:$N$84,11,FALSE)="","",VLOOKUP($E74,JOGOS!$B$11:$N$84,11,FALSE))</f>
        <v/>
      </c>
      <c r="P74" s="87" t="str">
        <f>IF(VLOOKUP($E74,JOGOS!$B$11:$N$84,13,FALSE)="","",VLOOKUP($E74,JOGOS!$B$11:$N$84,13,FALSE))</f>
        <v/>
      </c>
      <c r="S74" s="87">
        <f t="shared" si="178"/>
        <v>0</v>
      </c>
      <c r="T74" s="87">
        <f t="shared" si="179"/>
        <v>0</v>
      </c>
      <c r="U74" s="87">
        <f t="shared" si="180"/>
        <v>0</v>
      </c>
      <c r="V74" s="87">
        <f>IF(AND($S74=1,$K74=$M74),1,0)</f>
        <v>0</v>
      </c>
      <c r="W74" s="87">
        <f>IF(AND($V74=1,OR($O74="",$P74="")),1,0)</f>
        <v>0</v>
      </c>
      <c r="X74" s="87">
        <f>IF(AND($V74=1,$O74=$P74),1,0)</f>
        <v>0</v>
      </c>
      <c r="Y74" s="87">
        <f t="shared" si="181"/>
        <v>0</v>
      </c>
      <c r="Z74" s="87">
        <f>IF(AND($S74=1,SUM(V74:Y74)&lt;2),1,0)</f>
        <v>0</v>
      </c>
      <c r="AA74" s="134">
        <f t="shared" si="182"/>
        <v>0</v>
      </c>
      <c r="AB74" s="87">
        <f t="shared" si="183"/>
        <v>0</v>
      </c>
      <c r="AC74" s="87">
        <f t="shared" si="184"/>
        <v>0</v>
      </c>
      <c r="AD74" s="87">
        <f t="shared" si="185"/>
        <v>0</v>
      </c>
      <c r="AE74" s="87" t="str">
        <f>IF($Z74=0,"Venc. Jogo 62",IF(AND($Z74=1,$AC74&gt;$AD74),$J74,$N74))</f>
        <v>Venc. Jogo 62</v>
      </c>
      <c r="AF74" s="87" t="str">
        <f>IF($Z74=0,"Perd. Jogo 62",IF(AND($Z74=1,$AC74&lt;$AD74),$J74,$N74))</f>
        <v>Perd. Jogo 62</v>
      </c>
      <c r="BB74" s="123"/>
      <c r="BC74" s="123"/>
      <c r="BD74" s="87"/>
      <c r="BE74" s="87"/>
    </row>
    <row r="75" spans="5:57" x14ac:dyDescent="0.2">
      <c r="F75" s="133"/>
      <c r="K75" s="134"/>
      <c r="M75" s="134"/>
      <c r="W75" s="87"/>
      <c r="AA75" s="134"/>
      <c r="BB75" s="123"/>
      <c r="BC75" s="123"/>
      <c r="BD75" s="87"/>
      <c r="BE75" s="87"/>
    </row>
    <row r="76" spans="5:57" x14ac:dyDescent="0.2">
      <c r="F76" s="133"/>
      <c r="K76" s="134"/>
      <c r="M76" s="134"/>
      <c r="O76" s="206" t="s">
        <v>46</v>
      </c>
      <c r="P76" s="206"/>
      <c r="S76" s="87" t="s">
        <v>7</v>
      </c>
      <c r="T76" s="87" t="s">
        <v>14</v>
      </c>
      <c r="U76" s="87" t="s">
        <v>15</v>
      </c>
      <c r="V76" s="87" t="s">
        <v>47</v>
      </c>
      <c r="W76" s="87" t="s">
        <v>39</v>
      </c>
      <c r="X76" s="87" t="s">
        <v>48</v>
      </c>
      <c r="Y76" s="87" t="s">
        <v>49</v>
      </c>
      <c r="Z76" s="87" t="s">
        <v>40</v>
      </c>
      <c r="AA76" s="127" t="s">
        <v>50</v>
      </c>
      <c r="AB76" s="87" t="s">
        <v>51</v>
      </c>
      <c r="AC76" s="87" t="s">
        <v>52</v>
      </c>
      <c r="AD76" s="87" t="s">
        <v>53</v>
      </c>
      <c r="AE76" s="87" t="s">
        <v>54</v>
      </c>
      <c r="AF76" s="87" t="s">
        <v>60</v>
      </c>
      <c r="BB76" s="123"/>
      <c r="BC76" s="123"/>
      <c r="BD76" s="87"/>
      <c r="BE76" s="87"/>
    </row>
    <row r="77" spans="5:57" x14ac:dyDescent="0.2">
      <c r="E77" s="123">
        <v>63</v>
      </c>
      <c r="F77" s="133">
        <v>43295</v>
      </c>
      <c r="G77" s="124">
        <v>0.45833333333333331</v>
      </c>
      <c r="H77" s="123" t="s">
        <v>182</v>
      </c>
      <c r="I77" s="87" t="s">
        <v>97</v>
      </c>
      <c r="J77" s="125" t="str">
        <f>$AF$73</f>
        <v>Perd. Jogo 61</v>
      </c>
      <c r="K77" s="134" t="str">
        <f>IF(VLOOKUP($E77,JOGOS!$B$11:$K$84,7,FALSE)="","",VLOOKUP($E77,JOGOS!$B$11:$K$84,7,FALSE))</f>
        <v/>
      </c>
      <c r="L77" s="87" t="s">
        <v>16</v>
      </c>
      <c r="M77" s="134" t="str">
        <f>IF(VLOOKUP($E77,JOGOS!$B$11:$K$84,9,FALSE)="","",VLOOKUP($E77,JOGOS!$B$11:$K$84,9,FALSE))</f>
        <v/>
      </c>
      <c r="N77" s="126" t="str">
        <f>$AF$74</f>
        <v>Perd. Jogo 62</v>
      </c>
      <c r="O77" s="87" t="str">
        <f>IF(VLOOKUP($E77,JOGOS!$B$11:$N$84,11,FALSE)="","",VLOOKUP($E77,JOGOS!$B$11:$N$84,11,FALSE))</f>
        <v/>
      </c>
      <c r="P77" s="87" t="str">
        <f>IF(VLOOKUP($E77,JOGOS!$B$11:$N$84,13,FALSE)="","",VLOOKUP($E77,JOGOS!$B$11:$N$84,13,FALSE))</f>
        <v/>
      </c>
      <c r="S77" s="87">
        <f t="shared" si="178"/>
        <v>0</v>
      </c>
      <c r="T77" s="87">
        <f t="shared" ref="T77" si="186">IF(OR($K77="",$M77=""),0,IF($K77&gt;$M77,1,0))</f>
        <v>0</v>
      </c>
      <c r="U77" s="87">
        <f t="shared" ref="U77" si="187">IF(OR($K77="",$M77=""),0,IF($K77&lt;$M77,1,0))</f>
        <v>0</v>
      </c>
      <c r="V77" s="87">
        <f>IF(AND($S77=1,$K77=$M77),1,0)</f>
        <v>0</v>
      </c>
      <c r="W77" s="87">
        <f>IF(AND($V77=1,OR($O77="",$P77="")),1,0)</f>
        <v>0</v>
      </c>
      <c r="X77" s="87">
        <f>IF(AND($V77=1,$O77=$P77),1,0)</f>
        <v>0</v>
      </c>
      <c r="Y77" s="87">
        <f t="shared" si="181"/>
        <v>0</v>
      </c>
      <c r="Z77" s="87">
        <f>IF(AND($S77=1,SUM(V77:Y77)&lt;2),1,0)</f>
        <v>0</v>
      </c>
      <c r="AA77" s="134">
        <f t="shared" si="182"/>
        <v>0</v>
      </c>
      <c r="AB77" s="87">
        <f t="shared" si="183"/>
        <v>0</v>
      </c>
      <c r="AC77" s="87">
        <f t="shared" ref="AC77" si="188">SUM(K77,O77)</f>
        <v>0</v>
      </c>
      <c r="AD77" s="87">
        <f t="shared" ref="AD77" si="189">SUM(M77,P77)</f>
        <v>0</v>
      </c>
      <c r="AE77" s="87" t="str">
        <f>IF($Z77=0,"Venc. Jogo 63",IF(AND($Z77=1,$AC77&gt;$AD77),$J77,$N77))</f>
        <v>Venc. Jogo 63</v>
      </c>
      <c r="AF77" s="87" t="str">
        <f>IF($Z77=0,"Perdedor Jogo 63",IF(AND($Z77=1,$AC77&lt;$AD77),$J77,$N77))</f>
        <v>Perdedor Jogo 63</v>
      </c>
      <c r="BB77" s="123"/>
      <c r="BC77" s="123"/>
      <c r="BD77" s="87"/>
      <c r="BE77" s="87"/>
    </row>
    <row r="78" spans="5:57" x14ac:dyDescent="0.2">
      <c r="F78" s="133"/>
      <c r="K78" s="134"/>
      <c r="M78" s="134"/>
      <c r="W78" s="87"/>
      <c r="AA78" s="134"/>
      <c r="BB78" s="123"/>
      <c r="BC78" s="123"/>
      <c r="BD78" s="87"/>
      <c r="BE78" s="87"/>
    </row>
    <row r="79" spans="5:57" x14ac:dyDescent="0.2">
      <c r="F79" s="133"/>
      <c r="K79" s="134"/>
      <c r="M79" s="134"/>
      <c r="O79" s="206" t="s">
        <v>46</v>
      </c>
      <c r="P79" s="206"/>
      <c r="S79" s="87" t="s">
        <v>7</v>
      </c>
      <c r="T79" s="87" t="s">
        <v>14</v>
      </c>
      <c r="U79" s="87" t="s">
        <v>15</v>
      </c>
      <c r="V79" s="87" t="s">
        <v>47</v>
      </c>
      <c r="W79" s="87" t="s">
        <v>39</v>
      </c>
      <c r="X79" s="87" t="s">
        <v>48</v>
      </c>
      <c r="Y79" s="87" t="s">
        <v>49</v>
      </c>
      <c r="Z79" s="87" t="s">
        <v>40</v>
      </c>
      <c r="AA79" s="127" t="s">
        <v>50</v>
      </c>
      <c r="AB79" s="87" t="s">
        <v>51</v>
      </c>
      <c r="AC79" s="87" t="s">
        <v>52</v>
      </c>
      <c r="AD79" s="87" t="s">
        <v>53</v>
      </c>
      <c r="AE79" s="87" t="s">
        <v>54</v>
      </c>
      <c r="AF79" s="87" t="s">
        <v>60</v>
      </c>
      <c r="BB79" s="123"/>
      <c r="BC79" s="123"/>
      <c r="BD79" s="87"/>
      <c r="BE79" s="87"/>
    </row>
    <row r="80" spans="5:57" x14ac:dyDescent="0.2">
      <c r="E80" s="123">
        <v>64</v>
      </c>
      <c r="F80" s="133">
        <v>43296</v>
      </c>
      <c r="G80" s="124">
        <v>0.5</v>
      </c>
      <c r="H80" s="123" t="s">
        <v>180</v>
      </c>
      <c r="I80" s="87" t="s">
        <v>69</v>
      </c>
      <c r="J80" s="125" t="str">
        <f>$AE$73</f>
        <v>Venc. Jogo 61</v>
      </c>
      <c r="K80" s="134" t="str">
        <f>IF(VLOOKUP($E80,JOGOS!$B$11:$K$84,7,FALSE)="","",VLOOKUP($E80,JOGOS!$B$11:$K$84,7,FALSE))</f>
        <v/>
      </c>
      <c r="L80" s="87" t="s">
        <v>16</v>
      </c>
      <c r="M80" s="134" t="str">
        <f>IF(VLOOKUP($E80,JOGOS!$B$11:$K$84,9,FALSE)="","",VLOOKUP($E80,JOGOS!$B$11:$K$84,9,FALSE))</f>
        <v/>
      </c>
      <c r="N80" s="126" t="str">
        <f>$AE$74</f>
        <v>Venc. Jogo 62</v>
      </c>
      <c r="O80" s="87" t="str">
        <f>IF(VLOOKUP($E80,JOGOS!$B$10:$N$84,11,FALSE)="","",VLOOKUP($E80,JOGOS!$B$10:$N$84,11,FALSE))</f>
        <v/>
      </c>
      <c r="P80" s="87" t="str">
        <f>IF(VLOOKUP($E80,JOGOS!$B$10:$N$84,13,FALSE)="","",VLOOKUP($E80,JOGOS!$B$10:$N$84,13,FALSE))</f>
        <v/>
      </c>
      <c r="S80" s="87">
        <f t="shared" ref="S80" si="190">IF(OR($K80="",$M80=""),0,1)</f>
        <v>0</v>
      </c>
      <c r="T80" s="87">
        <f t="shared" ref="T80" si="191">IF(OR($K80="",$M80=""),0,IF($K80&gt;$M80,1,0))</f>
        <v>0</v>
      </c>
      <c r="U80" s="87">
        <f t="shared" ref="U80" si="192">IF(OR($K80="",$M80=""),0,IF($K80&lt;$M80,1,0))</f>
        <v>0</v>
      </c>
      <c r="V80" s="87">
        <f>IF(AND($S80=1,$K80=$M80),1,0)</f>
        <v>0</v>
      </c>
      <c r="W80" s="87">
        <f>IF(AND($V80=1,OR($O80="",$P80="")),1,0)</f>
        <v>0</v>
      </c>
      <c r="X80" s="87">
        <f>IF(AND($V80=1,$O80=$P80),1,0)</f>
        <v>0</v>
      </c>
      <c r="Y80" s="87">
        <f t="shared" ref="Y80" si="193">IF($V80=0,0,IF(AND($V80=1,$W80=0,$X80=0),0,1))</f>
        <v>0</v>
      </c>
      <c r="Z80" s="87">
        <f>IF(AND($S80=1,SUM(V80:Y80)&lt;2),1,0)</f>
        <v>0</v>
      </c>
      <c r="AA80" s="134">
        <f t="shared" ref="AA80" si="194">IF($O80="",0,$O80)</f>
        <v>0</v>
      </c>
      <c r="AB80" s="87">
        <f t="shared" ref="AB80" si="195">IF($P80="",0,$P80)</f>
        <v>0</v>
      </c>
      <c r="AC80" s="87">
        <f>SUM(K80,O80)</f>
        <v>0</v>
      </c>
      <c r="AD80" s="87">
        <f>SUM(M80,P80)</f>
        <v>0</v>
      </c>
      <c r="AE80" s="87" t="str">
        <f>IF($Z80=0,"Venc. Jogo 64",IF(AND($Z80=1,$AC80&gt;$AD80),$J80,$N80))</f>
        <v>Venc. Jogo 64</v>
      </c>
      <c r="AF80" s="87" t="str">
        <f>IF($Z80=0,"Perd. Jogo 64",IF(AND($Z80=1,$AC80&lt;$AD80),$J80,$N80))</f>
        <v>Perd. Jogo 64</v>
      </c>
      <c r="BB80" s="123"/>
      <c r="BC80" s="123"/>
      <c r="BD80" s="87"/>
      <c r="BE80" s="87"/>
    </row>
    <row r="81" spans="1:47" x14ac:dyDescent="0.2">
      <c r="V81" s="128" t="s">
        <v>96</v>
      </c>
    </row>
    <row r="82" spans="1:47" ht="12" thickBot="1" x14ac:dyDescent="0.25">
      <c r="V82" s="87" t="s">
        <v>33</v>
      </c>
      <c r="W82" s="127" t="s">
        <v>34</v>
      </c>
      <c r="X82" s="87" t="s">
        <v>35</v>
      </c>
      <c r="Y82" s="87" t="s">
        <v>41</v>
      </c>
      <c r="Z82" s="87" t="s">
        <v>6</v>
      </c>
      <c r="AA82" s="87" t="s">
        <v>18</v>
      </c>
      <c r="AB82" s="87" t="s">
        <v>21</v>
      </c>
      <c r="AC82" s="87" t="s">
        <v>22</v>
      </c>
      <c r="AD82" s="87" t="s">
        <v>23</v>
      </c>
      <c r="AE82" s="87" t="s">
        <v>11</v>
      </c>
      <c r="AF82" s="87" t="s">
        <v>12</v>
      </c>
      <c r="AG82" s="87" t="s">
        <v>13</v>
      </c>
      <c r="AH82" s="87" t="s">
        <v>59</v>
      </c>
      <c r="AK82" s="87" t="s">
        <v>5</v>
      </c>
      <c r="AM82" s="87" t="s">
        <v>6</v>
      </c>
      <c r="AN82" s="87" t="s">
        <v>18</v>
      </c>
      <c r="AO82" s="87" t="s">
        <v>21</v>
      </c>
      <c r="AP82" s="87" t="s">
        <v>22</v>
      </c>
      <c r="AQ82" s="87" t="s">
        <v>23</v>
      </c>
      <c r="AR82" s="87" t="s">
        <v>11</v>
      </c>
      <c r="AS82" s="87" t="s">
        <v>12</v>
      </c>
      <c r="AT82" s="87" t="s">
        <v>13</v>
      </c>
      <c r="AU82" s="87" t="s">
        <v>100</v>
      </c>
    </row>
    <row r="83" spans="1:47" ht="12" customHeight="1" thickTop="1" x14ac:dyDescent="0.2">
      <c r="A83" s="145" t="s">
        <v>24</v>
      </c>
      <c r="B83" s="146" t="str">
        <f>D32</f>
        <v>Rússia</v>
      </c>
      <c r="C83" s="213" t="s">
        <v>145</v>
      </c>
      <c r="S83" s="147" t="s">
        <v>69</v>
      </c>
      <c r="T83" s="135">
        <f>Z80</f>
        <v>0</v>
      </c>
      <c r="U83" s="147">
        <v>1</v>
      </c>
      <c r="Y83" s="87" t="str">
        <f>IF($T$83=1,$AE$80,"")</f>
        <v/>
      </c>
      <c r="Z83" s="87">
        <f t="shared" ref="Z83:Z106" si="196">(AB83*3)+AC83</f>
        <v>0</v>
      </c>
      <c r="AA83" s="87">
        <f t="shared" ref="AA83:AA106" si="197">SUMIF($J$7:$J$80,$Y83,$S$7:$S$80)+SUMIF($N$7:$N$80,$Y83,$S$7:$S$80)</f>
        <v>0</v>
      </c>
      <c r="AB83" s="87">
        <f t="shared" ref="AB83:AB106" si="198">SUMIF($J$7:$J$80,$Y83,$T$7:$T$80)+SUMIF($N$7:$N$80,$Y83,$U$7:$U$80)</f>
        <v>0</v>
      </c>
      <c r="AC83" s="87">
        <f t="shared" ref="AC83:AC114" si="199">$AA83-($AB83+$AD83)</f>
        <v>0</v>
      </c>
      <c r="AD83" s="87">
        <f t="shared" ref="AD83:AD106" si="200">SUMIF($J$7:$J$80,$Y83,$U$7:$U$80)+SUMIF($N$7:$N$80,$Y83,$T$7:$T$80)</f>
        <v>0</v>
      </c>
      <c r="AE83" s="87">
        <f t="shared" ref="AE83:AE106" si="201">SUMIF($J$7:$J$80,$Y83,$K$7:$K$80)+SUMIF($N$7:$N$80,$Y83,$M$7:$M$80)</f>
        <v>0</v>
      </c>
      <c r="AF83" s="87">
        <f t="shared" ref="AF83:AF106" si="202">SUMIF($J$7:$J$80,$Y83,$M$7:$M$80)+SUMIF($N$7:$N$80,$Y83,$K$7:$K$80)</f>
        <v>0</v>
      </c>
      <c r="AG83" s="87">
        <f t="shared" ref="AG83:AG106" si="203">AE83-AF83</f>
        <v>0</v>
      </c>
      <c r="AH83" s="87" t="str">
        <f>IF($Y83="","",VLOOKUP($Y83,$Y$7:$AH$38,10,FALSE))</f>
        <v/>
      </c>
      <c r="AL83" s="87" t="str">
        <f>IF($Y83="","",Y83)</f>
        <v/>
      </c>
      <c r="AM83" s="87" t="str">
        <f t="shared" ref="AM83:AT86" si="204">IF($Y83="","",Z83)</f>
        <v/>
      </c>
      <c r="AN83" s="87" t="str">
        <f t="shared" si="204"/>
        <v/>
      </c>
      <c r="AO83" s="87" t="str">
        <f t="shared" si="204"/>
        <v/>
      </c>
      <c r="AP83" s="87" t="str">
        <f t="shared" si="204"/>
        <v/>
      </c>
      <c r="AQ83" s="87" t="str">
        <f t="shared" si="204"/>
        <v/>
      </c>
      <c r="AR83" s="87" t="str">
        <f t="shared" si="204"/>
        <v/>
      </c>
      <c r="AS83" s="87" t="str">
        <f t="shared" si="204"/>
        <v/>
      </c>
      <c r="AT83" s="87" t="str">
        <f t="shared" si="204"/>
        <v/>
      </c>
      <c r="AU83" s="148" t="str">
        <f>IF($Y83="","",$AM83/($AN83*3))</f>
        <v/>
      </c>
    </row>
    <row r="84" spans="1:47" ht="12" customHeight="1" x14ac:dyDescent="0.2">
      <c r="A84" s="149" t="s">
        <v>82</v>
      </c>
      <c r="B84" s="150" t="str">
        <f>D7</f>
        <v>Alemanha</v>
      </c>
      <c r="C84" s="214"/>
      <c r="S84" s="147" t="s">
        <v>97</v>
      </c>
      <c r="T84" s="135">
        <f>Z77</f>
        <v>0</v>
      </c>
      <c r="U84" s="147">
        <v>2</v>
      </c>
      <c r="Y84" s="87" t="str">
        <f>IF($T$83=1,$AF$80,"")</f>
        <v/>
      </c>
      <c r="Z84" s="87">
        <f t="shared" si="196"/>
        <v>0</v>
      </c>
      <c r="AA84" s="87">
        <f t="shared" si="197"/>
        <v>0</v>
      </c>
      <c r="AB84" s="87">
        <f t="shared" si="198"/>
        <v>0</v>
      </c>
      <c r="AC84" s="87">
        <f t="shared" si="199"/>
        <v>0</v>
      </c>
      <c r="AD84" s="87">
        <f t="shared" si="200"/>
        <v>0</v>
      </c>
      <c r="AE84" s="87">
        <f t="shared" si="201"/>
        <v>0</v>
      </c>
      <c r="AF84" s="87">
        <f t="shared" si="202"/>
        <v>0</v>
      </c>
      <c r="AG84" s="87">
        <f t="shared" si="203"/>
        <v>0</v>
      </c>
      <c r="AH84" s="87" t="str">
        <f t="shared" ref="AH84:AH114" si="205">IF($Y84="","",VLOOKUP($Y84,$Y$7:$AH$38,10,FALSE))</f>
        <v/>
      </c>
      <c r="AL84" s="87" t="str">
        <f t="shared" ref="AL84:AL86" si="206">IF($Y84="","",Y84)</f>
        <v/>
      </c>
      <c r="AM84" s="87" t="str">
        <f t="shared" si="204"/>
        <v/>
      </c>
      <c r="AN84" s="87" t="str">
        <f t="shared" si="204"/>
        <v/>
      </c>
      <c r="AO84" s="87" t="str">
        <f t="shared" si="204"/>
        <v/>
      </c>
      <c r="AP84" s="87" t="str">
        <f t="shared" si="204"/>
        <v/>
      </c>
      <c r="AQ84" s="87" t="str">
        <f t="shared" si="204"/>
        <v/>
      </c>
      <c r="AR84" s="87" t="str">
        <f t="shared" si="204"/>
        <v/>
      </c>
      <c r="AS84" s="87" t="str">
        <f t="shared" si="204"/>
        <v/>
      </c>
      <c r="AT84" s="87" t="str">
        <f t="shared" si="204"/>
        <v/>
      </c>
      <c r="AU84" s="148" t="str">
        <f t="shared" ref="AU84:AU114" si="207">IF($Y84="","",$AM84/($AN84*3))</f>
        <v/>
      </c>
    </row>
    <row r="85" spans="1:47" ht="12" customHeight="1" x14ac:dyDescent="0.2">
      <c r="A85" s="149" t="s">
        <v>78</v>
      </c>
      <c r="B85" s="150" t="str">
        <f>D12</f>
        <v>BRASIL</v>
      </c>
      <c r="C85" s="214"/>
      <c r="S85" s="147" t="s">
        <v>98</v>
      </c>
      <c r="T85" s="135">
        <f>SUM(Z73:Z74)</f>
        <v>0</v>
      </c>
      <c r="U85" s="147">
        <v>3</v>
      </c>
      <c r="Y85" s="87" t="str">
        <f>IF($T$84=1,$AE$77,"")</f>
        <v/>
      </c>
      <c r="Z85" s="87">
        <f t="shared" si="196"/>
        <v>0</v>
      </c>
      <c r="AA85" s="87">
        <f t="shared" si="197"/>
        <v>0</v>
      </c>
      <c r="AB85" s="87">
        <f t="shared" si="198"/>
        <v>0</v>
      </c>
      <c r="AC85" s="87">
        <f t="shared" si="199"/>
        <v>0</v>
      </c>
      <c r="AD85" s="87">
        <f t="shared" si="200"/>
        <v>0</v>
      </c>
      <c r="AE85" s="87">
        <f t="shared" si="201"/>
        <v>0</v>
      </c>
      <c r="AF85" s="87">
        <f t="shared" si="202"/>
        <v>0</v>
      </c>
      <c r="AG85" s="87">
        <f t="shared" si="203"/>
        <v>0</v>
      </c>
      <c r="AH85" s="87" t="str">
        <f t="shared" si="205"/>
        <v/>
      </c>
      <c r="AL85" s="87" t="str">
        <f t="shared" si="206"/>
        <v/>
      </c>
      <c r="AM85" s="87" t="str">
        <f t="shared" si="204"/>
        <v/>
      </c>
      <c r="AN85" s="87" t="str">
        <f t="shared" si="204"/>
        <v/>
      </c>
      <c r="AO85" s="87" t="str">
        <f t="shared" si="204"/>
        <v/>
      </c>
      <c r="AP85" s="87" t="str">
        <f t="shared" si="204"/>
        <v/>
      </c>
      <c r="AQ85" s="87" t="str">
        <f t="shared" si="204"/>
        <v/>
      </c>
      <c r="AR85" s="87" t="str">
        <f t="shared" si="204"/>
        <v/>
      </c>
      <c r="AS85" s="87" t="str">
        <f t="shared" si="204"/>
        <v/>
      </c>
      <c r="AT85" s="87" t="str">
        <f t="shared" si="204"/>
        <v/>
      </c>
      <c r="AU85" s="148" t="str">
        <f t="shared" si="207"/>
        <v/>
      </c>
    </row>
    <row r="86" spans="1:47" ht="12" customHeight="1" x14ac:dyDescent="0.2">
      <c r="A86" s="149" t="s">
        <v>28</v>
      </c>
      <c r="B86" s="150" t="str">
        <f>D31</f>
        <v>Portugal</v>
      </c>
      <c r="C86" s="214"/>
      <c r="S86" s="147" t="s">
        <v>33</v>
      </c>
      <c r="T86" s="135">
        <f>SUM(Z67:Z70)</f>
        <v>0</v>
      </c>
      <c r="U86" s="147">
        <v>4</v>
      </c>
      <c r="Y86" s="87" t="str">
        <f>IF($T$84=1,$AF$77,"")</f>
        <v/>
      </c>
      <c r="Z86" s="87">
        <f t="shared" si="196"/>
        <v>0</v>
      </c>
      <c r="AA86" s="87">
        <f t="shared" si="197"/>
        <v>0</v>
      </c>
      <c r="AB86" s="87">
        <f t="shared" si="198"/>
        <v>0</v>
      </c>
      <c r="AC86" s="87">
        <f t="shared" si="199"/>
        <v>0</v>
      </c>
      <c r="AD86" s="87">
        <f t="shared" si="200"/>
        <v>0</v>
      </c>
      <c r="AE86" s="87">
        <f t="shared" si="201"/>
        <v>0</v>
      </c>
      <c r="AF86" s="87">
        <f t="shared" si="202"/>
        <v>0</v>
      </c>
      <c r="AG86" s="87">
        <f t="shared" si="203"/>
        <v>0</v>
      </c>
      <c r="AH86" s="87" t="str">
        <f t="shared" si="205"/>
        <v/>
      </c>
      <c r="AL86" s="87" t="str">
        <f t="shared" si="206"/>
        <v/>
      </c>
      <c r="AM86" s="87" t="str">
        <f t="shared" si="204"/>
        <v/>
      </c>
      <c r="AN86" s="87" t="str">
        <f t="shared" si="204"/>
        <v/>
      </c>
      <c r="AO86" s="87" t="str">
        <f t="shared" si="204"/>
        <v/>
      </c>
      <c r="AP86" s="87" t="str">
        <f t="shared" si="204"/>
        <v/>
      </c>
      <c r="AQ86" s="87" t="str">
        <f t="shared" si="204"/>
        <v/>
      </c>
      <c r="AR86" s="87" t="str">
        <f t="shared" si="204"/>
        <v/>
      </c>
      <c r="AS86" s="87" t="str">
        <f t="shared" si="204"/>
        <v/>
      </c>
      <c r="AT86" s="87" t="str">
        <f t="shared" si="204"/>
        <v/>
      </c>
      <c r="AU86" s="148" t="str">
        <f t="shared" si="207"/>
        <v/>
      </c>
    </row>
    <row r="87" spans="1:47" ht="12" customHeight="1" x14ac:dyDescent="0.2">
      <c r="A87" s="149" t="s">
        <v>74</v>
      </c>
      <c r="B87" s="150" t="str">
        <f>D9</f>
        <v>Argentina</v>
      </c>
      <c r="C87" s="214"/>
      <c r="S87" s="147" t="s">
        <v>35</v>
      </c>
      <c r="T87" s="135">
        <f>SUM(Z57:Z64)</f>
        <v>0</v>
      </c>
      <c r="U87" s="147">
        <v>5</v>
      </c>
      <c r="V87" s="87">
        <v>4.0000000000000002E-4</v>
      </c>
      <c r="W87" s="127">
        <f t="shared" ref="W87:W114" si="208">IF($AA87=0,-100000000+$V87,($Z87*1000000)+($AG87*10000)+($AE87*100)+$AH87+$V87)</f>
        <v>-99999999.999599993</v>
      </c>
      <c r="X87" s="87">
        <f>RANK(W87,$W$87:$W$90)</f>
        <v>1</v>
      </c>
      <c r="Y87" s="87" t="str">
        <f>IF($T$86=4,$AF67,"")</f>
        <v/>
      </c>
      <c r="Z87" s="87">
        <f t="shared" si="196"/>
        <v>0</v>
      </c>
      <c r="AA87" s="87">
        <f t="shared" si="197"/>
        <v>0</v>
      </c>
      <c r="AB87" s="87">
        <f t="shared" si="198"/>
        <v>0</v>
      </c>
      <c r="AC87" s="87">
        <f t="shared" si="199"/>
        <v>0</v>
      </c>
      <c r="AD87" s="87">
        <f t="shared" si="200"/>
        <v>0</v>
      </c>
      <c r="AE87" s="87">
        <f t="shared" si="201"/>
        <v>0</v>
      </c>
      <c r="AF87" s="87">
        <f t="shared" si="202"/>
        <v>0</v>
      </c>
      <c r="AG87" s="87">
        <f t="shared" si="203"/>
        <v>0</v>
      </c>
      <c r="AH87" s="87" t="str">
        <f t="shared" si="205"/>
        <v/>
      </c>
      <c r="AK87" s="87">
        <v>1</v>
      </c>
      <c r="AL87" s="87" t="str">
        <f>IF($Y87="","",VLOOKUP($AK87,$X$87:$AG$90,Y$5,FALSE))</f>
        <v/>
      </c>
      <c r="AM87" s="87" t="str">
        <f t="shared" ref="AM87:AT90" si="209">IF($Y87="","",VLOOKUP($AK87,$X$87:$AG$90,Z$5,FALSE))</f>
        <v/>
      </c>
      <c r="AN87" s="87" t="str">
        <f t="shared" si="209"/>
        <v/>
      </c>
      <c r="AO87" s="87" t="str">
        <f t="shared" si="209"/>
        <v/>
      </c>
      <c r="AP87" s="87" t="str">
        <f t="shared" si="209"/>
        <v/>
      </c>
      <c r="AQ87" s="87" t="str">
        <f t="shared" si="209"/>
        <v/>
      </c>
      <c r="AR87" s="87" t="str">
        <f t="shared" si="209"/>
        <v/>
      </c>
      <c r="AS87" s="87" t="str">
        <f t="shared" si="209"/>
        <v/>
      </c>
      <c r="AT87" s="87" t="str">
        <f t="shared" si="209"/>
        <v/>
      </c>
      <c r="AU87" s="148" t="str">
        <f t="shared" si="207"/>
        <v/>
      </c>
    </row>
    <row r="88" spans="1:47" ht="12" customHeight="1" x14ac:dyDescent="0.2">
      <c r="A88" s="149" t="s">
        <v>137</v>
      </c>
      <c r="B88" s="150" t="str">
        <f>D11</f>
        <v>Bélgica</v>
      </c>
      <c r="C88" s="214"/>
      <c r="S88" s="147" t="s">
        <v>99</v>
      </c>
      <c r="T88" s="135">
        <f>SUM(S7:S54)</f>
        <v>0</v>
      </c>
      <c r="U88" s="147">
        <v>6</v>
      </c>
      <c r="V88" s="87">
        <v>2.9999999999999997E-4</v>
      </c>
      <c r="W88" s="127">
        <f t="shared" si="208"/>
        <v>-99999999.999699995</v>
      </c>
      <c r="X88" s="87">
        <f t="shared" ref="X88:X90" si="210">RANK(W88,$W$87:$W$90)</f>
        <v>2</v>
      </c>
      <c r="Y88" s="87" t="str">
        <f>IF($T$86=4,$AF68,"")</f>
        <v/>
      </c>
      <c r="Z88" s="87">
        <f t="shared" si="196"/>
        <v>0</v>
      </c>
      <c r="AA88" s="87">
        <f t="shared" si="197"/>
        <v>0</v>
      </c>
      <c r="AB88" s="87">
        <f t="shared" si="198"/>
        <v>0</v>
      </c>
      <c r="AC88" s="87">
        <f t="shared" si="199"/>
        <v>0</v>
      </c>
      <c r="AD88" s="87">
        <f t="shared" si="200"/>
        <v>0</v>
      </c>
      <c r="AE88" s="87">
        <f t="shared" si="201"/>
        <v>0</v>
      </c>
      <c r="AF88" s="87">
        <f t="shared" si="202"/>
        <v>0</v>
      </c>
      <c r="AG88" s="87">
        <f t="shared" si="203"/>
        <v>0</v>
      </c>
      <c r="AH88" s="87" t="str">
        <f t="shared" si="205"/>
        <v/>
      </c>
      <c r="AK88" s="87">
        <v>2</v>
      </c>
      <c r="AL88" s="87" t="str">
        <f t="shared" ref="AL88:AL90" si="211">IF($Y88="","",VLOOKUP($AK88,$X$87:$AG$90,Y$5,FALSE))</f>
        <v/>
      </c>
      <c r="AM88" s="87" t="str">
        <f t="shared" si="209"/>
        <v/>
      </c>
      <c r="AN88" s="87" t="str">
        <f t="shared" si="209"/>
        <v/>
      </c>
      <c r="AO88" s="87" t="str">
        <f t="shared" si="209"/>
        <v/>
      </c>
      <c r="AP88" s="87" t="str">
        <f t="shared" si="209"/>
        <v/>
      </c>
      <c r="AQ88" s="87" t="str">
        <f t="shared" si="209"/>
        <v/>
      </c>
      <c r="AR88" s="87" t="str">
        <f t="shared" si="209"/>
        <v/>
      </c>
      <c r="AS88" s="87" t="str">
        <f t="shared" si="209"/>
        <v/>
      </c>
      <c r="AT88" s="87" t="str">
        <f t="shared" si="209"/>
        <v/>
      </c>
      <c r="AU88" s="148" t="str">
        <f t="shared" si="207"/>
        <v/>
      </c>
    </row>
    <row r="89" spans="1:47" ht="12" customHeight="1" x14ac:dyDescent="0.2">
      <c r="A89" s="149" t="s">
        <v>141</v>
      </c>
      <c r="B89" s="150" t="str">
        <f>D30</f>
        <v>Polônia</v>
      </c>
      <c r="C89" s="214"/>
      <c r="U89" s="147">
        <v>7</v>
      </c>
      <c r="V89" s="87">
        <v>2.0000000000000001E-4</v>
      </c>
      <c r="W89" s="127">
        <f t="shared" si="208"/>
        <v>-99999999.999799997</v>
      </c>
      <c r="X89" s="87">
        <f t="shared" si="210"/>
        <v>3</v>
      </c>
      <c r="Y89" s="87" t="str">
        <f>IF($T$86=4,$AF69,"")</f>
        <v/>
      </c>
      <c r="Z89" s="87">
        <f t="shared" si="196"/>
        <v>0</v>
      </c>
      <c r="AA89" s="87">
        <f t="shared" si="197"/>
        <v>0</v>
      </c>
      <c r="AB89" s="87">
        <f t="shared" si="198"/>
        <v>0</v>
      </c>
      <c r="AC89" s="87">
        <f t="shared" si="199"/>
        <v>0</v>
      </c>
      <c r="AD89" s="87">
        <f t="shared" si="200"/>
        <v>0</v>
      </c>
      <c r="AE89" s="87">
        <f t="shared" si="201"/>
        <v>0</v>
      </c>
      <c r="AF89" s="87">
        <f t="shared" si="202"/>
        <v>0</v>
      </c>
      <c r="AG89" s="87">
        <f t="shared" si="203"/>
        <v>0</v>
      </c>
      <c r="AH89" s="87" t="str">
        <f t="shared" si="205"/>
        <v/>
      </c>
      <c r="AK89" s="87">
        <v>3</v>
      </c>
      <c r="AL89" s="87" t="str">
        <f t="shared" si="211"/>
        <v/>
      </c>
      <c r="AM89" s="87" t="str">
        <f t="shared" si="209"/>
        <v/>
      </c>
      <c r="AN89" s="87" t="str">
        <f t="shared" si="209"/>
        <v/>
      </c>
      <c r="AO89" s="87" t="str">
        <f t="shared" si="209"/>
        <v/>
      </c>
      <c r="AP89" s="87" t="str">
        <f t="shared" si="209"/>
        <v/>
      </c>
      <c r="AQ89" s="87" t="str">
        <f t="shared" si="209"/>
        <v/>
      </c>
      <c r="AR89" s="87" t="str">
        <f t="shared" si="209"/>
        <v/>
      </c>
      <c r="AS89" s="87" t="str">
        <f t="shared" si="209"/>
        <v/>
      </c>
      <c r="AT89" s="87" t="str">
        <f t="shared" si="209"/>
        <v/>
      </c>
      <c r="AU89" s="148" t="str">
        <f t="shared" si="207"/>
        <v/>
      </c>
    </row>
    <row r="90" spans="1:47" ht="12" customHeight="1" thickBot="1" x14ac:dyDescent="0.25">
      <c r="A90" s="151" t="s">
        <v>70</v>
      </c>
      <c r="B90" s="152" t="str">
        <f>D20</f>
        <v>França</v>
      </c>
      <c r="C90" s="215"/>
      <c r="U90" s="147">
        <v>8</v>
      </c>
      <c r="V90" s="87">
        <v>1E-4</v>
      </c>
      <c r="W90" s="127">
        <f t="shared" si="208"/>
        <v>-99999999.999899998</v>
      </c>
      <c r="X90" s="87">
        <f t="shared" si="210"/>
        <v>4</v>
      </c>
      <c r="Y90" s="87" t="str">
        <f>IF($T$86=4,$AF70,"")</f>
        <v/>
      </c>
      <c r="Z90" s="87">
        <f t="shared" si="196"/>
        <v>0</v>
      </c>
      <c r="AA90" s="87">
        <f t="shared" si="197"/>
        <v>0</v>
      </c>
      <c r="AB90" s="87">
        <f t="shared" si="198"/>
        <v>0</v>
      </c>
      <c r="AC90" s="87">
        <f t="shared" si="199"/>
        <v>0</v>
      </c>
      <c r="AD90" s="87">
        <f t="shared" si="200"/>
        <v>0</v>
      </c>
      <c r="AE90" s="87">
        <f t="shared" si="201"/>
        <v>0</v>
      </c>
      <c r="AF90" s="87">
        <f t="shared" si="202"/>
        <v>0</v>
      </c>
      <c r="AG90" s="87">
        <f t="shared" si="203"/>
        <v>0</v>
      </c>
      <c r="AH90" s="87" t="str">
        <f t="shared" si="205"/>
        <v/>
      </c>
      <c r="AK90" s="87">
        <v>4</v>
      </c>
      <c r="AL90" s="87" t="str">
        <f t="shared" si="211"/>
        <v/>
      </c>
      <c r="AM90" s="87" t="str">
        <f t="shared" si="209"/>
        <v/>
      </c>
      <c r="AN90" s="87" t="str">
        <f t="shared" si="209"/>
        <v/>
      </c>
      <c r="AO90" s="87" t="str">
        <f t="shared" si="209"/>
        <v/>
      </c>
      <c r="AP90" s="87" t="str">
        <f t="shared" si="209"/>
        <v/>
      </c>
      <c r="AQ90" s="87" t="str">
        <f t="shared" si="209"/>
        <v/>
      </c>
      <c r="AR90" s="87" t="str">
        <f t="shared" si="209"/>
        <v/>
      </c>
      <c r="AS90" s="87" t="str">
        <f t="shared" si="209"/>
        <v/>
      </c>
      <c r="AT90" s="87" t="str">
        <f t="shared" si="209"/>
        <v/>
      </c>
      <c r="AU90" s="148" t="str">
        <f t="shared" si="207"/>
        <v/>
      </c>
    </row>
    <row r="91" spans="1:47" ht="12" customHeight="1" thickTop="1" x14ac:dyDescent="0.2">
      <c r="A91" s="145" t="s">
        <v>29</v>
      </c>
      <c r="B91" s="146" t="str">
        <f>D19</f>
        <v>Espanha</v>
      </c>
      <c r="C91" s="216" t="s">
        <v>146</v>
      </c>
      <c r="U91" s="147">
        <v>9</v>
      </c>
      <c r="V91" s="87">
        <v>8.0000000000000004E-4</v>
      </c>
      <c r="W91" s="127">
        <f t="shared" si="208"/>
        <v>-99999999.999200001</v>
      </c>
      <c r="X91" s="87">
        <f>RANK(W91,$W$91:$W$98)</f>
        <v>1</v>
      </c>
      <c r="Y91" s="87" t="str">
        <f>IF($T$87=8,$AF57,"")</f>
        <v/>
      </c>
      <c r="Z91" s="87">
        <f t="shared" si="196"/>
        <v>0</v>
      </c>
      <c r="AA91" s="87">
        <f t="shared" si="197"/>
        <v>0</v>
      </c>
      <c r="AB91" s="87">
        <f t="shared" si="198"/>
        <v>0</v>
      </c>
      <c r="AC91" s="87">
        <f t="shared" si="199"/>
        <v>0</v>
      </c>
      <c r="AD91" s="87">
        <f t="shared" si="200"/>
        <v>0</v>
      </c>
      <c r="AE91" s="87">
        <f t="shared" si="201"/>
        <v>0</v>
      </c>
      <c r="AF91" s="87">
        <f t="shared" si="202"/>
        <v>0</v>
      </c>
      <c r="AG91" s="87">
        <f t="shared" si="203"/>
        <v>0</v>
      </c>
      <c r="AH91" s="87" t="str">
        <f t="shared" si="205"/>
        <v/>
      </c>
      <c r="AK91" s="87">
        <v>1</v>
      </c>
      <c r="AL91" s="87" t="str">
        <f>IF($Y91="","",VLOOKUP($AK91,$X$91:$AG$98,Y$5,FALSE))</f>
        <v/>
      </c>
      <c r="AM91" s="87" t="str">
        <f t="shared" ref="AM91:AT98" si="212">IF($Y91="","",VLOOKUP($AK91,$X$91:$AG$98,Z$5,FALSE))</f>
        <v/>
      </c>
      <c r="AN91" s="87" t="str">
        <f t="shared" si="212"/>
        <v/>
      </c>
      <c r="AO91" s="87" t="str">
        <f t="shared" si="212"/>
        <v/>
      </c>
      <c r="AP91" s="87" t="str">
        <f t="shared" si="212"/>
        <v/>
      </c>
      <c r="AQ91" s="87" t="str">
        <f t="shared" si="212"/>
        <v/>
      </c>
      <c r="AR91" s="87" t="str">
        <f t="shared" si="212"/>
        <v/>
      </c>
      <c r="AS91" s="87" t="str">
        <f t="shared" si="212"/>
        <v/>
      </c>
      <c r="AT91" s="87" t="str">
        <f t="shared" si="212"/>
        <v/>
      </c>
      <c r="AU91" s="148" t="str">
        <f t="shared" si="207"/>
        <v/>
      </c>
    </row>
    <row r="92" spans="1:47" ht="12" customHeight="1" x14ac:dyDescent="0.2">
      <c r="A92" s="149" t="s">
        <v>72</v>
      </c>
      <c r="B92" s="150" t="str">
        <f>D29</f>
        <v>Peru</v>
      </c>
      <c r="C92" s="217"/>
      <c r="U92" s="147">
        <v>10</v>
      </c>
      <c r="V92" s="87">
        <v>6.9999999999999999E-4</v>
      </c>
      <c r="W92" s="127">
        <f t="shared" si="208"/>
        <v>-99999999.999300003</v>
      </c>
      <c r="X92" s="87">
        <f t="shared" ref="X92:X98" si="213">RANK(W92,$W$91:$W$98)</f>
        <v>2</v>
      </c>
      <c r="Y92" s="87" t="str">
        <f t="shared" ref="Y92:Y98" si="214">IF($T$87=8,$AF58,"")</f>
        <v/>
      </c>
      <c r="Z92" s="87">
        <f t="shared" si="196"/>
        <v>0</v>
      </c>
      <c r="AA92" s="87">
        <f t="shared" si="197"/>
        <v>0</v>
      </c>
      <c r="AB92" s="87">
        <f t="shared" si="198"/>
        <v>0</v>
      </c>
      <c r="AC92" s="87">
        <f t="shared" si="199"/>
        <v>0</v>
      </c>
      <c r="AD92" s="87">
        <f t="shared" si="200"/>
        <v>0</v>
      </c>
      <c r="AE92" s="87">
        <f t="shared" si="201"/>
        <v>0</v>
      </c>
      <c r="AF92" s="87">
        <f t="shared" si="202"/>
        <v>0</v>
      </c>
      <c r="AG92" s="87">
        <f t="shared" si="203"/>
        <v>0</v>
      </c>
      <c r="AH92" s="87" t="str">
        <f t="shared" si="205"/>
        <v/>
      </c>
      <c r="AK92" s="87">
        <v>2</v>
      </c>
      <c r="AL92" s="87" t="str">
        <f t="shared" ref="AL92:AL98" si="215">IF($Y92="","",VLOOKUP($AK92,$X$91:$AG$98,Y$5,FALSE))</f>
        <v/>
      </c>
      <c r="AM92" s="87" t="str">
        <f t="shared" si="212"/>
        <v/>
      </c>
      <c r="AN92" s="87" t="str">
        <f t="shared" si="212"/>
        <v/>
      </c>
      <c r="AO92" s="87" t="str">
        <f t="shared" si="212"/>
        <v/>
      </c>
      <c r="AP92" s="87" t="str">
        <f t="shared" si="212"/>
        <v/>
      </c>
      <c r="AQ92" s="87" t="str">
        <f t="shared" si="212"/>
        <v/>
      </c>
      <c r="AR92" s="87" t="str">
        <f t="shared" si="212"/>
        <v/>
      </c>
      <c r="AS92" s="87" t="str">
        <f t="shared" si="212"/>
        <v/>
      </c>
      <c r="AT92" s="87" t="str">
        <f t="shared" si="212"/>
        <v/>
      </c>
      <c r="AU92" s="148" t="str">
        <f t="shared" si="207"/>
        <v/>
      </c>
    </row>
    <row r="93" spans="1:47" ht="12" customHeight="1" x14ac:dyDescent="0.2">
      <c r="A93" s="149" t="s">
        <v>79</v>
      </c>
      <c r="B93" s="150" t="str">
        <f>D36</f>
        <v>Suíça</v>
      </c>
      <c r="C93" s="217"/>
      <c r="U93" s="147">
        <v>11</v>
      </c>
      <c r="V93" s="87">
        <v>5.9999999999999995E-4</v>
      </c>
      <c r="W93" s="127">
        <f t="shared" si="208"/>
        <v>-99999999.999400005</v>
      </c>
      <c r="X93" s="87">
        <f t="shared" si="213"/>
        <v>3</v>
      </c>
      <c r="Y93" s="87" t="str">
        <f t="shared" si="214"/>
        <v/>
      </c>
      <c r="Z93" s="87">
        <f t="shared" si="196"/>
        <v>0</v>
      </c>
      <c r="AA93" s="87">
        <f t="shared" si="197"/>
        <v>0</v>
      </c>
      <c r="AB93" s="87">
        <f t="shared" si="198"/>
        <v>0</v>
      </c>
      <c r="AC93" s="87">
        <f t="shared" si="199"/>
        <v>0</v>
      </c>
      <c r="AD93" s="87">
        <f t="shared" si="200"/>
        <v>0</v>
      </c>
      <c r="AE93" s="87">
        <f t="shared" si="201"/>
        <v>0</v>
      </c>
      <c r="AF93" s="87">
        <f t="shared" si="202"/>
        <v>0</v>
      </c>
      <c r="AG93" s="87">
        <f t="shared" si="203"/>
        <v>0</v>
      </c>
      <c r="AH93" s="87" t="str">
        <f t="shared" si="205"/>
        <v/>
      </c>
      <c r="AK93" s="87">
        <v>3</v>
      </c>
      <c r="AL93" s="87" t="str">
        <f t="shared" si="215"/>
        <v/>
      </c>
      <c r="AM93" s="87" t="str">
        <f t="shared" si="212"/>
        <v/>
      </c>
      <c r="AN93" s="87" t="str">
        <f t="shared" si="212"/>
        <v/>
      </c>
      <c r="AO93" s="87" t="str">
        <f t="shared" si="212"/>
        <v/>
      </c>
      <c r="AP93" s="87" t="str">
        <f t="shared" si="212"/>
        <v/>
      </c>
      <c r="AQ93" s="87" t="str">
        <f t="shared" si="212"/>
        <v/>
      </c>
      <c r="AR93" s="87" t="str">
        <f t="shared" si="212"/>
        <v/>
      </c>
      <c r="AS93" s="87" t="str">
        <f t="shared" si="212"/>
        <v/>
      </c>
      <c r="AT93" s="87" t="str">
        <f t="shared" si="212"/>
        <v/>
      </c>
      <c r="AU93" s="148" t="str">
        <f t="shared" si="207"/>
        <v/>
      </c>
    </row>
    <row r="94" spans="1:47" ht="12" customHeight="1" x14ac:dyDescent="0.2">
      <c r="A94" s="149" t="s">
        <v>140</v>
      </c>
      <c r="B94" s="150" t="str">
        <f>D21</f>
        <v>Inglaterra</v>
      </c>
      <c r="C94" s="217"/>
      <c r="U94" s="147">
        <v>12</v>
      </c>
      <c r="V94" s="87">
        <v>5.0000000000000001E-4</v>
      </c>
      <c r="W94" s="127">
        <f t="shared" si="208"/>
        <v>-99999999.999500006</v>
      </c>
      <c r="X94" s="87">
        <f t="shared" si="213"/>
        <v>4</v>
      </c>
      <c r="Y94" s="87" t="str">
        <f t="shared" si="214"/>
        <v/>
      </c>
      <c r="Z94" s="87">
        <f t="shared" si="196"/>
        <v>0</v>
      </c>
      <c r="AA94" s="87">
        <f t="shared" si="197"/>
        <v>0</v>
      </c>
      <c r="AB94" s="87">
        <f t="shared" si="198"/>
        <v>0</v>
      </c>
      <c r="AC94" s="87">
        <f t="shared" si="199"/>
        <v>0</v>
      </c>
      <c r="AD94" s="87">
        <f t="shared" si="200"/>
        <v>0</v>
      </c>
      <c r="AE94" s="87">
        <f t="shared" si="201"/>
        <v>0</v>
      </c>
      <c r="AF94" s="87">
        <f t="shared" si="202"/>
        <v>0</v>
      </c>
      <c r="AG94" s="87">
        <f t="shared" si="203"/>
        <v>0</v>
      </c>
      <c r="AH94" s="87" t="str">
        <f t="shared" si="205"/>
        <v/>
      </c>
      <c r="AK94" s="87">
        <v>4</v>
      </c>
      <c r="AL94" s="87" t="str">
        <f t="shared" si="215"/>
        <v/>
      </c>
      <c r="AM94" s="87" t="str">
        <f t="shared" si="212"/>
        <v/>
      </c>
      <c r="AN94" s="87" t="str">
        <f t="shared" si="212"/>
        <v/>
      </c>
      <c r="AO94" s="87" t="str">
        <f t="shared" si="212"/>
        <v/>
      </c>
      <c r="AP94" s="87" t="str">
        <f t="shared" si="212"/>
        <v/>
      </c>
      <c r="AQ94" s="87" t="str">
        <f t="shared" si="212"/>
        <v/>
      </c>
      <c r="AR94" s="87" t="str">
        <f t="shared" si="212"/>
        <v/>
      </c>
      <c r="AS94" s="87" t="str">
        <f t="shared" si="212"/>
        <v/>
      </c>
      <c r="AT94" s="87" t="str">
        <f t="shared" si="212"/>
        <v/>
      </c>
      <c r="AU94" s="148" t="str">
        <f t="shared" si="207"/>
        <v/>
      </c>
    </row>
    <row r="95" spans="1:47" ht="12" customHeight="1" x14ac:dyDescent="0.2">
      <c r="A95" s="149" t="s">
        <v>143</v>
      </c>
      <c r="B95" s="150" t="str">
        <f>D13</f>
        <v>Colômbia</v>
      </c>
      <c r="C95" s="217"/>
      <c r="U95" s="147">
        <v>13</v>
      </c>
      <c r="V95" s="87">
        <v>4.0000000000000002E-4</v>
      </c>
      <c r="W95" s="127">
        <f t="shared" si="208"/>
        <v>-99999999.999599993</v>
      </c>
      <c r="X95" s="87">
        <f t="shared" si="213"/>
        <v>5</v>
      </c>
      <c r="Y95" s="87" t="str">
        <f t="shared" si="214"/>
        <v/>
      </c>
      <c r="Z95" s="87">
        <f t="shared" si="196"/>
        <v>0</v>
      </c>
      <c r="AA95" s="87">
        <f t="shared" si="197"/>
        <v>0</v>
      </c>
      <c r="AB95" s="87">
        <f t="shared" si="198"/>
        <v>0</v>
      </c>
      <c r="AC95" s="87">
        <f t="shared" si="199"/>
        <v>0</v>
      </c>
      <c r="AD95" s="87">
        <f t="shared" si="200"/>
        <v>0</v>
      </c>
      <c r="AE95" s="87">
        <f t="shared" si="201"/>
        <v>0</v>
      </c>
      <c r="AF95" s="87">
        <f t="shared" si="202"/>
        <v>0</v>
      </c>
      <c r="AG95" s="87">
        <f t="shared" si="203"/>
        <v>0</v>
      </c>
      <c r="AH95" s="87" t="str">
        <f t="shared" si="205"/>
        <v/>
      </c>
      <c r="AK95" s="87">
        <v>5</v>
      </c>
      <c r="AL95" s="87" t="str">
        <f t="shared" si="215"/>
        <v/>
      </c>
      <c r="AM95" s="87" t="str">
        <f t="shared" si="212"/>
        <v/>
      </c>
      <c r="AN95" s="87" t="str">
        <f t="shared" si="212"/>
        <v/>
      </c>
      <c r="AO95" s="87" t="str">
        <f t="shared" si="212"/>
        <v/>
      </c>
      <c r="AP95" s="87" t="str">
        <f t="shared" si="212"/>
        <v/>
      </c>
      <c r="AQ95" s="87" t="str">
        <f t="shared" si="212"/>
        <v/>
      </c>
      <c r="AR95" s="87" t="str">
        <f t="shared" si="212"/>
        <v/>
      </c>
      <c r="AS95" s="87" t="str">
        <f t="shared" si="212"/>
        <v/>
      </c>
      <c r="AT95" s="87" t="str">
        <f t="shared" si="212"/>
        <v/>
      </c>
      <c r="AU95" s="148" t="str">
        <f t="shared" si="207"/>
        <v/>
      </c>
    </row>
    <row r="96" spans="1:47" ht="12" customHeight="1" x14ac:dyDescent="0.2">
      <c r="A96" s="149" t="s">
        <v>83</v>
      </c>
      <c r="B96" s="150" t="str">
        <f>D26</f>
        <v>México</v>
      </c>
      <c r="C96" s="217"/>
      <c r="U96" s="147">
        <v>14</v>
      </c>
      <c r="V96" s="87">
        <v>2.9999999999999997E-4</v>
      </c>
      <c r="W96" s="127">
        <f t="shared" si="208"/>
        <v>-99999999.999699995</v>
      </c>
      <c r="X96" s="87">
        <f t="shared" si="213"/>
        <v>6</v>
      </c>
      <c r="Y96" s="87" t="str">
        <f t="shared" si="214"/>
        <v/>
      </c>
      <c r="Z96" s="87">
        <f t="shared" si="196"/>
        <v>0</v>
      </c>
      <c r="AA96" s="87">
        <f t="shared" si="197"/>
        <v>0</v>
      </c>
      <c r="AB96" s="87">
        <f t="shared" si="198"/>
        <v>0</v>
      </c>
      <c r="AC96" s="87">
        <f t="shared" si="199"/>
        <v>0</v>
      </c>
      <c r="AD96" s="87">
        <f t="shared" si="200"/>
        <v>0</v>
      </c>
      <c r="AE96" s="87">
        <f t="shared" si="201"/>
        <v>0</v>
      </c>
      <c r="AF96" s="87">
        <f t="shared" si="202"/>
        <v>0</v>
      </c>
      <c r="AG96" s="87">
        <f t="shared" si="203"/>
        <v>0</v>
      </c>
      <c r="AH96" s="87" t="str">
        <f t="shared" si="205"/>
        <v/>
      </c>
      <c r="AK96" s="87">
        <v>6</v>
      </c>
      <c r="AL96" s="87" t="str">
        <f t="shared" si="215"/>
        <v/>
      </c>
      <c r="AM96" s="87" t="str">
        <f t="shared" si="212"/>
        <v/>
      </c>
      <c r="AN96" s="87" t="str">
        <f t="shared" si="212"/>
        <v/>
      </c>
      <c r="AO96" s="87" t="str">
        <f t="shared" si="212"/>
        <v/>
      </c>
      <c r="AP96" s="87" t="str">
        <f t="shared" si="212"/>
        <v/>
      </c>
      <c r="AQ96" s="87" t="str">
        <f t="shared" si="212"/>
        <v/>
      </c>
      <c r="AR96" s="87" t="str">
        <f t="shared" si="212"/>
        <v/>
      </c>
      <c r="AS96" s="87" t="str">
        <f t="shared" si="212"/>
        <v/>
      </c>
      <c r="AT96" s="87" t="str">
        <f t="shared" si="212"/>
        <v/>
      </c>
      <c r="AU96" s="148" t="str">
        <f t="shared" si="207"/>
        <v/>
      </c>
    </row>
    <row r="97" spans="1:47" ht="12" customHeight="1" x14ac:dyDescent="0.2">
      <c r="A97" s="149" t="s">
        <v>27</v>
      </c>
      <c r="B97" s="150" t="str">
        <f>D38</f>
        <v>Uruguai</v>
      </c>
      <c r="C97" s="217"/>
      <c r="U97" s="147">
        <v>15</v>
      </c>
      <c r="V97" s="87">
        <v>2.0000000000000001E-4</v>
      </c>
      <c r="W97" s="127">
        <f t="shared" si="208"/>
        <v>-99999999.999799997</v>
      </c>
      <c r="X97" s="87">
        <f t="shared" si="213"/>
        <v>7</v>
      </c>
      <c r="Y97" s="87" t="str">
        <f t="shared" si="214"/>
        <v/>
      </c>
      <c r="Z97" s="87">
        <f t="shared" si="196"/>
        <v>0</v>
      </c>
      <c r="AA97" s="87">
        <f t="shared" si="197"/>
        <v>0</v>
      </c>
      <c r="AB97" s="87">
        <f t="shared" si="198"/>
        <v>0</v>
      </c>
      <c r="AC97" s="87">
        <f t="shared" si="199"/>
        <v>0</v>
      </c>
      <c r="AD97" s="87">
        <f t="shared" si="200"/>
        <v>0</v>
      </c>
      <c r="AE97" s="87">
        <f t="shared" si="201"/>
        <v>0</v>
      </c>
      <c r="AF97" s="87">
        <f t="shared" si="202"/>
        <v>0</v>
      </c>
      <c r="AG97" s="87">
        <f t="shared" si="203"/>
        <v>0</v>
      </c>
      <c r="AH97" s="87" t="str">
        <f t="shared" si="205"/>
        <v/>
      </c>
      <c r="AK97" s="87">
        <v>7</v>
      </c>
      <c r="AL97" s="87" t="str">
        <f t="shared" si="215"/>
        <v/>
      </c>
      <c r="AM97" s="87" t="str">
        <f t="shared" si="212"/>
        <v/>
      </c>
      <c r="AN97" s="87" t="str">
        <f t="shared" si="212"/>
        <v/>
      </c>
      <c r="AO97" s="87" t="str">
        <f t="shared" si="212"/>
        <v/>
      </c>
      <c r="AP97" s="87" t="str">
        <f t="shared" si="212"/>
        <v/>
      </c>
      <c r="AQ97" s="87" t="str">
        <f t="shared" si="212"/>
        <v/>
      </c>
      <c r="AR97" s="87" t="str">
        <f t="shared" si="212"/>
        <v/>
      </c>
      <c r="AS97" s="87" t="str">
        <f t="shared" si="212"/>
        <v/>
      </c>
      <c r="AT97" s="87" t="str">
        <f t="shared" si="212"/>
        <v/>
      </c>
      <c r="AU97" s="148" t="str">
        <f t="shared" si="207"/>
        <v/>
      </c>
    </row>
    <row r="98" spans="1:47" ht="12" customHeight="1" thickBot="1" x14ac:dyDescent="0.25">
      <c r="A98" s="153" t="s">
        <v>76</v>
      </c>
      <c r="B98" s="154" t="str">
        <f>D16</f>
        <v>Croácia</v>
      </c>
      <c r="C98" s="218"/>
      <c r="U98" s="147">
        <v>16</v>
      </c>
      <c r="V98" s="87">
        <v>1E-4</v>
      </c>
      <c r="W98" s="127">
        <f t="shared" si="208"/>
        <v>-99999999.999899998</v>
      </c>
      <c r="X98" s="87">
        <f t="shared" si="213"/>
        <v>8</v>
      </c>
      <c r="Y98" s="87" t="str">
        <f t="shared" si="214"/>
        <v/>
      </c>
      <c r="Z98" s="87">
        <f t="shared" si="196"/>
        <v>0</v>
      </c>
      <c r="AA98" s="87">
        <f t="shared" si="197"/>
        <v>0</v>
      </c>
      <c r="AB98" s="87">
        <f t="shared" si="198"/>
        <v>0</v>
      </c>
      <c r="AC98" s="87">
        <f t="shared" si="199"/>
        <v>0</v>
      </c>
      <c r="AD98" s="87">
        <f t="shared" si="200"/>
        <v>0</v>
      </c>
      <c r="AE98" s="87">
        <f t="shared" si="201"/>
        <v>0</v>
      </c>
      <c r="AF98" s="87">
        <f t="shared" si="202"/>
        <v>0</v>
      </c>
      <c r="AG98" s="87">
        <f t="shared" si="203"/>
        <v>0</v>
      </c>
      <c r="AH98" s="87" t="str">
        <f t="shared" si="205"/>
        <v/>
      </c>
      <c r="AK98" s="87">
        <v>8</v>
      </c>
      <c r="AL98" s="87" t="str">
        <f t="shared" si="215"/>
        <v/>
      </c>
      <c r="AM98" s="87" t="str">
        <f t="shared" si="212"/>
        <v/>
      </c>
      <c r="AN98" s="87" t="str">
        <f t="shared" si="212"/>
        <v/>
      </c>
      <c r="AO98" s="87" t="str">
        <f t="shared" si="212"/>
        <v/>
      </c>
      <c r="AP98" s="87" t="str">
        <f t="shared" si="212"/>
        <v/>
      </c>
      <c r="AQ98" s="87" t="str">
        <f t="shared" si="212"/>
        <v/>
      </c>
      <c r="AR98" s="87" t="str">
        <f t="shared" si="212"/>
        <v/>
      </c>
      <c r="AS98" s="87" t="str">
        <f t="shared" si="212"/>
        <v/>
      </c>
      <c r="AT98" s="87" t="str">
        <f t="shared" si="212"/>
        <v/>
      </c>
      <c r="AU98" s="148" t="str">
        <f t="shared" si="207"/>
        <v/>
      </c>
    </row>
    <row r="99" spans="1:47" ht="12" customHeight="1" thickTop="1" x14ac:dyDescent="0.2">
      <c r="A99" s="145" t="s">
        <v>73</v>
      </c>
      <c r="B99" s="146" t="str">
        <f>D17</f>
        <v>Dinamarca</v>
      </c>
      <c r="C99" s="207" t="s">
        <v>147</v>
      </c>
      <c r="U99" s="147">
        <v>17</v>
      </c>
      <c r="V99" s="87">
        <v>1.6000000000000001E-3</v>
      </c>
      <c r="W99" s="127">
        <f t="shared" si="208"/>
        <v>-99999999.998400003</v>
      </c>
      <c r="X99" s="87">
        <f>RANK(W99,$W$99:$W$114)</f>
        <v>1</v>
      </c>
      <c r="Y99" s="87" t="str">
        <f>IF($T$88=48,$AL9,"")</f>
        <v/>
      </c>
      <c r="Z99" s="87">
        <f t="shared" si="196"/>
        <v>0</v>
      </c>
      <c r="AA99" s="87">
        <f t="shared" si="197"/>
        <v>0</v>
      </c>
      <c r="AB99" s="87">
        <f t="shared" si="198"/>
        <v>0</v>
      </c>
      <c r="AC99" s="87">
        <f t="shared" si="199"/>
        <v>0</v>
      </c>
      <c r="AD99" s="87">
        <f t="shared" si="200"/>
        <v>0</v>
      </c>
      <c r="AE99" s="87">
        <f t="shared" si="201"/>
        <v>0</v>
      </c>
      <c r="AF99" s="87">
        <f t="shared" si="202"/>
        <v>0</v>
      </c>
      <c r="AG99" s="87">
        <f t="shared" si="203"/>
        <v>0</v>
      </c>
      <c r="AH99" s="87" t="str">
        <f t="shared" si="205"/>
        <v/>
      </c>
      <c r="AK99" s="87">
        <v>1</v>
      </c>
      <c r="AL99" s="87" t="str">
        <f>IF($Y99="","",VLOOKUP($AK99,$X$99:$AG$114,Y$5,FALSE))</f>
        <v/>
      </c>
      <c r="AM99" s="87" t="str">
        <f t="shared" ref="AM99:AT99" si="216">IF($Y99="","",VLOOKUP($AK99,$X$99:$AG$114,Z$5,FALSE))</f>
        <v/>
      </c>
      <c r="AN99" s="87" t="str">
        <f t="shared" si="216"/>
        <v/>
      </c>
      <c r="AO99" s="87" t="str">
        <f t="shared" si="216"/>
        <v/>
      </c>
      <c r="AP99" s="87" t="str">
        <f t="shared" si="216"/>
        <v/>
      </c>
      <c r="AQ99" s="87" t="str">
        <f t="shared" si="216"/>
        <v/>
      </c>
      <c r="AR99" s="87" t="str">
        <f t="shared" si="216"/>
        <v/>
      </c>
      <c r="AS99" s="87" t="str">
        <f t="shared" si="216"/>
        <v/>
      </c>
      <c r="AT99" s="87" t="str">
        <f t="shared" si="216"/>
        <v/>
      </c>
      <c r="AU99" s="148" t="str">
        <f t="shared" si="207"/>
        <v/>
      </c>
    </row>
    <row r="100" spans="1:47" ht="12" customHeight="1" x14ac:dyDescent="0.2">
      <c r="A100" s="149" t="s">
        <v>75</v>
      </c>
      <c r="B100" s="150" t="str">
        <f>D23</f>
        <v>Islândia</v>
      </c>
      <c r="C100" s="208"/>
      <c r="U100" s="147">
        <v>18</v>
      </c>
      <c r="V100" s="87">
        <v>1.5E-3</v>
      </c>
      <c r="W100" s="127">
        <f t="shared" si="208"/>
        <v>-99999999.998500004</v>
      </c>
      <c r="X100" s="87">
        <f t="shared" ref="X100:X114" si="217">RANK(W100,$W$99:$W$114)</f>
        <v>2</v>
      </c>
      <c r="Y100" s="87" t="str">
        <f>IF($T$88=48,$AL10,"")</f>
        <v/>
      </c>
      <c r="Z100" s="87">
        <f t="shared" si="196"/>
        <v>0</v>
      </c>
      <c r="AA100" s="87">
        <f t="shared" si="197"/>
        <v>0</v>
      </c>
      <c r="AB100" s="87">
        <f t="shared" si="198"/>
        <v>0</v>
      </c>
      <c r="AC100" s="87">
        <f t="shared" si="199"/>
        <v>0</v>
      </c>
      <c r="AD100" s="87">
        <f t="shared" si="200"/>
        <v>0</v>
      </c>
      <c r="AE100" s="87">
        <f t="shared" si="201"/>
        <v>0</v>
      </c>
      <c r="AF100" s="87">
        <f t="shared" si="202"/>
        <v>0</v>
      </c>
      <c r="AG100" s="87">
        <f t="shared" si="203"/>
        <v>0</v>
      </c>
      <c r="AH100" s="87" t="str">
        <f t="shared" si="205"/>
        <v/>
      </c>
      <c r="AK100" s="87">
        <v>2</v>
      </c>
      <c r="AL100" s="87" t="str">
        <f t="shared" ref="AL100:AL114" si="218">IF($Y100="","",VLOOKUP($AK100,$X$99:$AG$114,Y$5,FALSE))</f>
        <v/>
      </c>
      <c r="AM100" s="87" t="str">
        <f t="shared" ref="AM100:AM114" si="219">IF($Y100="","",VLOOKUP($AK100,$X$99:$AG$114,Z$5,FALSE))</f>
        <v/>
      </c>
      <c r="AN100" s="87" t="str">
        <f t="shared" ref="AN100:AN114" si="220">IF($Y100="","",VLOOKUP($AK100,$X$99:$AG$114,AA$5,FALSE))</f>
        <v/>
      </c>
      <c r="AO100" s="87" t="str">
        <f t="shared" ref="AO100:AO114" si="221">IF($Y100="","",VLOOKUP($AK100,$X$99:$AG$114,AB$5,FALSE))</f>
        <v/>
      </c>
      <c r="AP100" s="87" t="str">
        <f t="shared" ref="AP100:AP114" si="222">IF($Y100="","",VLOOKUP($AK100,$X$99:$AG$114,AC$5,FALSE))</f>
        <v/>
      </c>
      <c r="AQ100" s="87" t="str">
        <f t="shared" ref="AQ100:AQ114" si="223">IF($Y100="","",VLOOKUP($AK100,$X$99:$AG$114,AD$5,FALSE))</f>
        <v/>
      </c>
      <c r="AR100" s="87" t="str">
        <f t="shared" ref="AR100:AR114" si="224">IF($Y100="","",VLOOKUP($AK100,$X$99:$AG$114,AE$5,FALSE))</f>
        <v/>
      </c>
      <c r="AS100" s="87" t="str">
        <f t="shared" ref="AS100:AS114" si="225">IF($Y100="","",VLOOKUP($AK100,$X$99:$AG$114,AF$5,FALSE))</f>
        <v/>
      </c>
      <c r="AT100" s="87" t="str">
        <f t="shared" ref="AT100:AT114" si="226">IF($Y100="","",VLOOKUP($AK100,$X$99:$AG$114,AG$5,FALSE))</f>
        <v/>
      </c>
      <c r="AU100" s="148" t="str">
        <f t="shared" si="207"/>
        <v/>
      </c>
    </row>
    <row r="101" spans="1:47" ht="12" customHeight="1" x14ac:dyDescent="0.2">
      <c r="A101" s="149" t="s">
        <v>80</v>
      </c>
      <c r="B101" s="150" t="str">
        <f>D15</f>
        <v>Costa Rica</v>
      </c>
      <c r="C101" s="208"/>
      <c r="U101" s="147">
        <v>19</v>
      </c>
      <c r="V101" s="87">
        <v>1.4E-3</v>
      </c>
      <c r="W101" s="127">
        <f t="shared" si="208"/>
        <v>-99999999.998600006</v>
      </c>
      <c r="X101" s="87">
        <f t="shared" si="217"/>
        <v>3</v>
      </c>
      <c r="Y101" s="87" t="str">
        <f>IF($T$88=48,$AL13,"")</f>
        <v/>
      </c>
      <c r="Z101" s="87">
        <f t="shared" si="196"/>
        <v>0</v>
      </c>
      <c r="AA101" s="87">
        <f t="shared" si="197"/>
        <v>0</v>
      </c>
      <c r="AB101" s="87">
        <f t="shared" si="198"/>
        <v>0</v>
      </c>
      <c r="AC101" s="87">
        <f t="shared" si="199"/>
        <v>0</v>
      </c>
      <c r="AD101" s="87">
        <f t="shared" si="200"/>
        <v>0</v>
      </c>
      <c r="AE101" s="87">
        <f t="shared" si="201"/>
        <v>0</v>
      </c>
      <c r="AF101" s="87">
        <f t="shared" si="202"/>
        <v>0</v>
      </c>
      <c r="AG101" s="87">
        <f t="shared" si="203"/>
        <v>0</v>
      </c>
      <c r="AH101" s="87" t="str">
        <f t="shared" si="205"/>
        <v/>
      </c>
      <c r="AK101" s="87">
        <v>3</v>
      </c>
      <c r="AL101" s="87" t="str">
        <f t="shared" si="218"/>
        <v/>
      </c>
      <c r="AM101" s="87" t="str">
        <f t="shared" si="219"/>
        <v/>
      </c>
      <c r="AN101" s="87" t="str">
        <f t="shared" si="220"/>
        <v/>
      </c>
      <c r="AO101" s="87" t="str">
        <f t="shared" si="221"/>
        <v/>
      </c>
      <c r="AP101" s="87" t="str">
        <f t="shared" si="222"/>
        <v/>
      </c>
      <c r="AQ101" s="87" t="str">
        <f t="shared" si="223"/>
        <v/>
      </c>
      <c r="AR101" s="87" t="str">
        <f t="shared" si="224"/>
        <v/>
      </c>
      <c r="AS101" s="87" t="str">
        <f t="shared" si="225"/>
        <v/>
      </c>
      <c r="AT101" s="87" t="str">
        <f t="shared" si="226"/>
        <v/>
      </c>
      <c r="AU101" s="148" t="str">
        <f t="shared" si="207"/>
        <v/>
      </c>
    </row>
    <row r="102" spans="1:47" ht="12" customHeight="1" x14ac:dyDescent="0.2">
      <c r="A102" s="149" t="s">
        <v>84</v>
      </c>
      <c r="B102" s="150" t="str">
        <f>D35</f>
        <v>Suécia</v>
      </c>
      <c r="C102" s="208"/>
      <c r="U102" s="147">
        <v>20</v>
      </c>
      <c r="V102" s="87">
        <v>1.2999999999999999E-3</v>
      </c>
      <c r="W102" s="127">
        <f t="shared" si="208"/>
        <v>-99999999.998699993</v>
      </c>
      <c r="X102" s="87">
        <f t="shared" si="217"/>
        <v>4</v>
      </c>
      <c r="Y102" s="87" t="str">
        <f>IF($T$88=48,$AL14,"")</f>
        <v/>
      </c>
      <c r="Z102" s="87">
        <f t="shared" si="196"/>
        <v>0</v>
      </c>
      <c r="AA102" s="87">
        <f t="shared" si="197"/>
        <v>0</v>
      </c>
      <c r="AB102" s="87">
        <f t="shared" si="198"/>
        <v>0</v>
      </c>
      <c r="AC102" s="87">
        <f t="shared" si="199"/>
        <v>0</v>
      </c>
      <c r="AD102" s="87">
        <f t="shared" si="200"/>
        <v>0</v>
      </c>
      <c r="AE102" s="87">
        <f t="shared" si="201"/>
        <v>0</v>
      </c>
      <c r="AF102" s="87">
        <f t="shared" si="202"/>
        <v>0</v>
      </c>
      <c r="AG102" s="87">
        <f t="shared" si="203"/>
        <v>0</v>
      </c>
      <c r="AH102" s="87" t="str">
        <f t="shared" si="205"/>
        <v/>
      </c>
      <c r="AK102" s="87">
        <v>4</v>
      </c>
      <c r="AL102" s="87" t="str">
        <f t="shared" si="218"/>
        <v/>
      </c>
      <c r="AM102" s="87" t="str">
        <f t="shared" si="219"/>
        <v/>
      </c>
      <c r="AN102" s="87" t="str">
        <f t="shared" si="220"/>
        <v/>
      </c>
      <c r="AO102" s="87" t="str">
        <f t="shared" si="221"/>
        <v/>
      </c>
      <c r="AP102" s="87" t="str">
        <f t="shared" si="222"/>
        <v/>
      </c>
      <c r="AQ102" s="87" t="str">
        <f t="shared" si="223"/>
        <v/>
      </c>
      <c r="AR102" s="87" t="str">
        <f t="shared" si="224"/>
        <v/>
      </c>
      <c r="AS102" s="87" t="str">
        <f t="shared" si="225"/>
        <v/>
      </c>
      <c r="AT102" s="87" t="str">
        <f t="shared" si="226"/>
        <v/>
      </c>
      <c r="AU102" s="148" t="str">
        <f t="shared" si="207"/>
        <v/>
      </c>
    </row>
    <row r="103" spans="1:47" ht="12" customHeight="1" x14ac:dyDescent="0.2">
      <c r="A103" s="149" t="s">
        <v>139</v>
      </c>
      <c r="B103" s="150" t="str">
        <f>D37</f>
        <v>Tunísia</v>
      </c>
      <c r="C103" s="208"/>
      <c r="U103" s="147">
        <v>21</v>
      </c>
      <c r="V103" s="87">
        <v>1.1999999999999999E-3</v>
      </c>
      <c r="W103" s="127">
        <f t="shared" si="208"/>
        <v>-99999999.998799995</v>
      </c>
      <c r="X103" s="87">
        <f t="shared" si="217"/>
        <v>5</v>
      </c>
      <c r="Y103" s="87" t="str">
        <f>IF($T$88=48,$AL17,"")</f>
        <v/>
      </c>
      <c r="Z103" s="87">
        <f t="shared" si="196"/>
        <v>0</v>
      </c>
      <c r="AA103" s="87">
        <f t="shared" si="197"/>
        <v>0</v>
      </c>
      <c r="AB103" s="87">
        <f t="shared" si="198"/>
        <v>0</v>
      </c>
      <c r="AC103" s="87">
        <f t="shared" si="199"/>
        <v>0</v>
      </c>
      <c r="AD103" s="87">
        <f t="shared" si="200"/>
        <v>0</v>
      </c>
      <c r="AE103" s="87">
        <f t="shared" si="201"/>
        <v>0</v>
      </c>
      <c r="AF103" s="87">
        <f t="shared" si="202"/>
        <v>0</v>
      </c>
      <c r="AG103" s="87">
        <f t="shared" si="203"/>
        <v>0</v>
      </c>
      <c r="AH103" s="87" t="str">
        <f t="shared" si="205"/>
        <v/>
      </c>
      <c r="AK103" s="87">
        <v>5</v>
      </c>
      <c r="AL103" s="87" t="str">
        <f t="shared" si="218"/>
        <v/>
      </c>
      <c r="AM103" s="87" t="str">
        <f t="shared" si="219"/>
        <v/>
      </c>
      <c r="AN103" s="87" t="str">
        <f t="shared" si="220"/>
        <v/>
      </c>
      <c r="AO103" s="87" t="str">
        <f t="shared" si="221"/>
        <v/>
      </c>
      <c r="AP103" s="87" t="str">
        <f t="shared" si="222"/>
        <v/>
      </c>
      <c r="AQ103" s="87" t="str">
        <f t="shared" si="223"/>
        <v/>
      </c>
      <c r="AR103" s="87" t="str">
        <f t="shared" si="224"/>
        <v/>
      </c>
      <c r="AS103" s="87" t="str">
        <f t="shared" si="225"/>
        <v/>
      </c>
      <c r="AT103" s="87" t="str">
        <f t="shared" si="226"/>
        <v/>
      </c>
      <c r="AU103" s="148" t="str">
        <f t="shared" si="207"/>
        <v/>
      </c>
    </row>
    <row r="104" spans="1:47" ht="12" customHeight="1" x14ac:dyDescent="0.2">
      <c r="A104" s="149" t="s">
        <v>26</v>
      </c>
      <c r="B104" s="150" t="str">
        <f>D18</f>
        <v>Egito</v>
      </c>
      <c r="C104" s="208"/>
      <c r="U104" s="147">
        <v>22</v>
      </c>
      <c r="V104" s="87">
        <v>1.1000000000000001E-3</v>
      </c>
      <c r="W104" s="127">
        <f t="shared" si="208"/>
        <v>-99999999.998899996</v>
      </c>
      <c r="X104" s="87">
        <f t="shared" si="217"/>
        <v>6</v>
      </c>
      <c r="Y104" s="87" t="str">
        <f>IF($T$88=48,$AL18,"")</f>
        <v/>
      </c>
      <c r="Z104" s="87">
        <f t="shared" si="196"/>
        <v>0</v>
      </c>
      <c r="AA104" s="87">
        <f t="shared" si="197"/>
        <v>0</v>
      </c>
      <c r="AB104" s="87">
        <f t="shared" si="198"/>
        <v>0</v>
      </c>
      <c r="AC104" s="87">
        <f t="shared" si="199"/>
        <v>0</v>
      </c>
      <c r="AD104" s="87">
        <f t="shared" si="200"/>
        <v>0</v>
      </c>
      <c r="AE104" s="87">
        <f t="shared" si="201"/>
        <v>0</v>
      </c>
      <c r="AF104" s="87">
        <f t="shared" si="202"/>
        <v>0</v>
      </c>
      <c r="AG104" s="87">
        <f t="shared" si="203"/>
        <v>0</v>
      </c>
      <c r="AH104" s="87" t="str">
        <f t="shared" si="205"/>
        <v/>
      </c>
      <c r="AK104" s="87">
        <v>6</v>
      </c>
      <c r="AL104" s="87" t="str">
        <f t="shared" si="218"/>
        <v/>
      </c>
      <c r="AM104" s="87" t="str">
        <f t="shared" si="219"/>
        <v/>
      </c>
      <c r="AN104" s="87" t="str">
        <f t="shared" si="220"/>
        <v/>
      </c>
      <c r="AO104" s="87" t="str">
        <f t="shared" si="221"/>
        <v/>
      </c>
      <c r="AP104" s="87" t="str">
        <f t="shared" si="222"/>
        <v/>
      </c>
      <c r="AQ104" s="87" t="str">
        <f t="shared" si="223"/>
        <v/>
      </c>
      <c r="AR104" s="87" t="str">
        <f t="shared" si="224"/>
        <v/>
      </c>
      <c r="AS104" s="87" t="str">
        <f t="shared" si="225"/>
        <v/>
      </c>
      <c r="AT104" s="87" t="str">
        <f t="shared" si="226"/>
        <v/>
      </c>
      <c r="AU104" s="148" t="str">
        <f t="shared" si="207"/>
        <v/>
      </c>
    </row>
    <row r="105" spans="1:47" ht="12" customHeight="1" x14ac:dyDescent="0.2">
      <c r="A105" s="149" t="s">
        <v>142</v>
      </c>
      <c r="B105" s="150" t="str">
        <f>D33</f>
        <v>Senegal</v>
      </c>
      <c r="C105" s="208"/>
      <c r="U105" s="147">
        <v>23</v>
      </c>
      <c r="V105" s="87">
        <v>1E-3</v>
      </c>
      <c r="W105" s="127">
        <f t="shared" si="208"/>
        <v>-99999999.998999998</v>
      </c>
      <c r="X105" s="87">
        <f t="shared" si="217"/>
        <v>7</v>
      </c>
      <c r="Y105" s="87" t="str">
        <f>IF($T$88=48,$AL21,"")</f>
        <v/>
      </c>
      <c r="Z105" s="87">
        <f t="shared" si="196"/>
        <v>0</v>
      </c>
      <c r="AA105" s="87">
        <f t="shared" si="197"/>
        <v>0</v>
      </c>
      <c r="AB105" s="87">
        <f t="shared" si="198"/>
        <v>0</v>
      </c>
      <c r="AC105" s="87">
        <f t="shared" si="199"/>
        <v>0</v>
      </c>
      <c r="AD105" s="87">
        <f t="shared" si="200"/>
        <v>0</v>
      </c>
      <c r="AE105" s="87">
        <f t="shared" si="201"/>
        <v>0</v>
      </c>
      <c r="AF105" s="87">
        <f t="shared" si="202"/>
        <v>0</v>
      </c>
      <c r="AG105" s="87">
        <f t="shared" si="203"/>
        <v>0</v>
      </c>
      <c r="AH105" s="87" t="str">
        <f t="shared" si="205"/>
        <v/>
      </c>
      <c r="AK105" s="87">
        <v>7</v>
      </c>
      <c r="AL105" s="87" t="str">
        <f t="shared" si="218"/>
        <v/>
      </c>
      <c r="AM105" s="87" t="str">
        <f t="shared" si="219"/>
        <v/>
      </c>
      <c r="AN105" s="87" t="str">
        <f t="shared" si="220"/>
        <v/>
      </c>
      <c r="AO105" s="87" t="str">
        <f t="shared" si="221"/>
        <v/>
      </c>
      <c r="AP105" s="87" t="str">
        <f t="shared" si="222"/>
        <v/>
      </c>
      <c r="AQ105" s="87" t="str">
        <f t="shared" si="223"/>
        <v/>
      </c>
      <c r="AR105" s="87" t="str">
        <f t="shared" si="224"/>
        <v/>
      </c>
      <c r="AS105" s="87" t="str">
        <f t="shared" si="225"/>
        <v/>
      </c>
      <c r="AT105" s="87" t="str">
        <f t="shared" si="226"/>
        <v/>
      </c>
      <c r="AU105" s="148" t="str">
        <f t="shared" si="207"/>
        <v/>
      </c>
    </row>
    <row r="106" spans="1:47" ht="12" customHeight="1" thickBot="1" x14ac:dyDescent="0.25">
      <c r="A106" s="151" t="s">
        <v>31</v>
      </c>
      <c r="B106" s="152" t="str">
        <f>D22</f>
        <v>Irã</v>
      </c>
      <c r="C106" s="209"/>
      <c r="U106" s="147">
        <v>24</v>
      </c>
      <c r="V106" s="87">
        <v>8.9999999999999998E-4</v>
      </c>
      <c r="W106" s="127">
        <f t="shared" si="208"/>
        <v>-99999999.9991</v>
      </c>
      <c r="X106" s="87">
        <f t="shared" si="217"/>
        <v>8</v>
      </c>
      <c r="Y106" s="87" t="str">
        <f>IF($T$88=48,$AL22,"")</f>
        <v/>
      </c>
      <c r="Z106" s="87">
        <f t="shared" si="196"/>
        <v>0</v>
      </c>
      <c r="AA106" s="87">
        <f t="shared" si="197"/>
        <v>0</v>
      </c>
      <c r="AB106" s="87">
        <f t="shared" si="198"/>
        <v>0</v>
      </c>
      <c r="AC106" s="87">
        <f t="shared" si="199"/>
        <v>0</v>
      </c>
      <c r="AD106" s="87">
        <f t="shared" si="200"/>
        <v>0</v>
      </c>
      <c r="AE106" s="87">
        <f t="shared" si="201"/>
        <v>0</v>
      </c>
      <c r="AF106" s="87">
        <f t="shared" si="202"/>
        <v>0</v>
      </c>
      <c r="AG106" s="87">
        <f t="shared" si="203"/>
        <v>0</v>
      </c>
      <c r="AH106" s="87" t="str">
        <f t="shared" si="205"/>
        <v/>
      </c>
      <c r="AK106" s="87">
        <v>8</v>
      </c>
      <c r="AL106" s="87" t="str">
        <f t="shared" si="218"/>
        <v/>
      </c>
      <c r="AM106" s="87" t="str">
        <f t="shared" si="219"/>
        <v/>
      </c>
      <c r="AN106" s="87" t="str">
        <f t="shared" si="220"/>
        <v/>
      </c>
      <c r="AO106" s="87" t="str">
        <f t="shared" si="221"/>
        <v/>
      </c>
      <c r="AP106" s="87" t="str">
        <f t="shared" si="222"/>
        <v/>
      </c>
      <c r="AQ106" s="87" t="str">
        <f t="shared" si="223"/>
        <v/>
      </c>
      <c r="AR106" s="87" t="str">
        <f t="shared" si="224"/>
        <v/>
      </c>
      <c r="AS106" s="87" t="str">
        <f t="shared" si="225"/>
        <v/>
      </c>
      <c r="AT106" s="87" t="str">
        <f t="shared" si="226"/>
        <v/>
      </c>
      <c r="AU106" s="148" t="str">
        <f t="shared" si="207"/>
        <v/>
      </c>
    </row>
    <row r="107" spans="1:47" ht="12" customHeight="1" thickTop="1" x14ac:dyDescent="0.2">
      <c r="A107" s="153" t="s">
        <v>81</v>
      </c>
      <c r="B107" s="154" t="str">
        <f>D34</f>
        <v>Sérvia</v>
      </c>
      <c r="C107" s="210" t="s">
        <v>148</v>
      </c>
      <c r="U107" s="147">
        <v>25</v>
      </c>
      <c r="V107" s="87">
        <v>8.0000000000000004E-4</v>
      </c>
      <c r="W107" s="127">
        <f t="shared" si="208"/>
        <v>-99999999.999200001</v>
      </c>
      <c r="X107" s="87">
        <f t="shared" si="217"/>
        <v>9</v>
      </c>
      <c r="Y107" s="87" t="str">
        <f>IF($T$88=48,$AL25,"")</f>
        <v/>
      </c>
      <c r="Z107" s="87">
        <f t="shared" ref="Z107:Z114" si="227">(AB107*3)+AC107</f>
        <v>0</v>
      </c>
      <c r="AA107" s="87">
        <f t="shared" ref="AA107:AA114" si="228">SUMIF($J$7:$J$80,$Y107,$S$7:$S$80)+SUMIF($N$7:$N$80,$Y107,$S$7:$S$80)</f>
        <v>0</v>
      </c>
      <c r="AB107" s="87">
        <f t="shared" ref="AB107:AB114" si="229">SUMIF($J$7:$J$80,$Y107,$T$7:$T$80)+SUMIF($N$7:$N$80,$Y107,$U$7:$U$80)</f>
        <v>0</v>
      </c>
      <c r="AC107" s="87">
        <f t="shared" si="199"/>
        <v>0</v>
      </c>
      <c r="AD107" s="87">
        <f t="shared" ref="AD107:AD114" si="230">SUMIF($J$7:$J$80,$Y107,$U$7:$U$80)+SUMIF($N$7:$N$80,$Y107,$T$7:$T$80)</f>
        <v>0</v>
      </c>
      <c r="AE107" s="87">
        <f t="shared" ref="AE107:AE114" si="231">SUMIF($J$7:$J$80,$Y107,$K$7:$K$80)+SUMIF($N$7:$N$80,$Y107,$M$7:$M$80)</f>
        <v>0</v>
      </c>
      <c r="AF107" s="87">
        <f t="shared" ref="AF107:AF114" si="232">SUMIF($J$7:$J$80,$Y107,$M$7:$M$80)+SUMIF($N$7:$N$80,$Y107,$K$7:$K$80)</f>
        <v>0</v>
      </c>
      <c r="AG107" s="87">
        <f t="shared" ref="AG107:AG114" si="233">AE107-AF107</f>
        <v>0</v>
      </c>
      <c r="AH107" s="87" t="str">
        <f t="shared" si="205"/>
        <v/>
      </c>
      <c r="AK107" s="87">
        <v>9</v>
      </c>
      <c r="AL107" s="87" t="str">
        <f t="shared" si="218"/>
        <v/>
      </c>
      <c r="AM107" s="87" t="str">
        <f t="shared" si="219"/>
        <v/>
      </c>
      <c r="AN107" s="87" t="str">
        <f t="shared" si="220"/>
        <v/>
      </c>
      <c r="AO107" s="87" t="str">
        <f t="shared" si="221"/>
        <v/>
      </c>
      <c r="AP107" s="87" t="str">
        <f t="shared" si="222"/>
        <v/>
      </c>
      <c r="AQ107" s="87" t="str">
        <f t="shared" si="223"/>
        <v/>
      </c>
      <c r="AR107" s="87" t="str">
        <f t="shared" si="224"/>
        <v/>
      </c>
      <c r="AS107" s="87" t="str">
        <f t="shared" si="225"/>
        <v/>
      </c>
      <c r="AT107" s="87" t="str">
        <f t="shared" si="226"/>
        <v/>
      </c>
      <c r="AU107" s="87" t="str">
        <f t="shared" si="207"/>
        <v/>
      </c>
    </row>
    <row r="108" spans="1:47" ht="12" customHeight="1" x14ac:dyDescent="0.2">
      <c r="A108" s="149" t="s">
        <v>77</v>
      </c>
      <c r="B108" s="150" t="str">
        <f>D27</f>
        <v>Nigéria</v>
      </c>
      <c r="C108" s="211"/>
      <c r="U108" s="147">
        <v>26</v>
      </c>
      <c r="V108" s="87">
        <v>6.9999999999999999E-4</v>
      </c>
      <c r="W108" s="127">
        <f t="shared" si="208"/>
        <v>-99999999.999300003</v>
      </c>
      <c r="X108" s="87">
        <f t="shared" si="217"/>
        <v>10</v>
      </c>
      <c r="Y108" s="87" t="str">
        <f>IF($T$88=48,$AL26,"")</f>
        <v/>
      </c>
      <c r="Z108" s="87">
        <f t="shared" si="227"/>
        <v>0</v>
      </c>
      <c r="AA108" s="87">
        <f t="shared" si="228"/>
        <v>0</v>
      </c>
      <c r="AB108" s="87">
        <f t="shared" si="229"/>
        <v>0</v>
      </c>
      <c r="AC108" s="87">
        <f t="shared" si="199"/>
        <v>0</v>
      </c>
      <c r="AD108" s="87">
        <f t="shared" si="230"/>
        <v>0</v>
      </c>
      <c r="AE108" s="87">
        <f t="shared" si="231"/>
        <v>0</v>
      </c>
      <c r="AF108" s="87">
        <f t="shared" si="232"/>
        <v>0</v>
      </c>
      <c r="AG108" s="87">
        <f t="shared" si="233"/>
        <v>0</v>
      </c>
      <c r="AH108" s="87" t="str">
        <f t="shared" si="205"/>
        <v/>
      </c>
      <c r="AK108" s="87">
        <v>10</v>
      </c>
      <c r="AL108" s="87" t="str">
        <f t="shared" si="218"/>
        <v/>
      </c>
      <c r="AM108" s="87" t="str">
        <f t="shared" si="219"/>
        <v/>
      </c>
      <c r="AN108" s="87" t="str">
        <f t="shared" si="220"/>
        <v/>
      </c>
      <c r="AO108" s="87" t="str">
        <f t="shared" si="221"/>
        <v/>
      </c>
      <c r="AP108" s="87" t="str">
        <f t="shared" si="222"/>
        <v/>
      </c>
      <c r="AQ108" s="87" t="str">
        <f t="shared" si="223"/>
        <v/>
      </c>
      <c r="AR108" s="87" t="str">
        <f t="shared" si="224"/>
        <v/>
      </c>
      <c r="AS108" s="87" t="str">
        <f t="shared" si="225"/>
        <v/>
      </c>
      <c r="AT108" s="87" t="str">
        <f t="shared" si="226"/>
        <v/>
      </c>
      <c r="AU108" s="87" t="str">
        <f t="shared" si="207"/>
        <v/>
      </c>
    </row>
    <row r="109" spans="1:47" ht="12" customHeight="1" x14ac:dyDescent="0.2">
      <c r="A109" s="149" t="s">
        <v>71</v>
      </c>
      <c r="B109" s="150" t="str">
        <f>D10</f>
        <v>Austrália</v>
      </c>
      <c r="C109" s="211"/>
      <c r="U109" s="147">
        <v>27</v>
      </c>
      <c r="V109" s="87">
        <v>5.9999999999999995E-4</v>
      </c>
      <c r="W109" s="127">
        <f t="shared" si="208"/>
        <v>-99999999.999400005</v>
      </c>
      <c r="X109" s="87">
        <f t="shared" si="217"/>
        <v>11</v>
      </c>
      <c r="Y109" s="87" t="str">
        <f>IF($T$88=48,$AL29,"")</f>
        <v/>
      </c>
      <c r="Z109" s="87">
        <f t="shared" si="227"/>
        <v>0</v>
      </c>
      <c r="AA109" s="87">
        <f t="shared" si="228"/>
        <v>0</v>
      </c>
      <c r="AB109" s="87">
        <f t="shared" si="229"/>
        <v>0</v>
      </c>
      <c r="AC109" s="87">
        <f t="shared" si="199"/>
        <v>0</v>
      </c>
      <c r="AD109" s="87">
        <f t="shared" si="230"/>
        <v>0</v>
      </c>
      <c r="AE109" s="87">
        <f t="shared" si="231"/>
        <v>0</v>
      </c>
      <c r="AF109" s="87">
        <f t="shared" si="232"/>
        <v>0</v>
      </c>
      <c r="AG109" s="87">
        <f t="shared" si="233"/>
        <v>0</v>
      </c>
      <c r="AH109" s="87" t="str">
        <f t="shared" si="205"/>
        <v/>
      </c>
      <c r="AK109" s="87">
        <v>11</v>
      </c>
      <c r="AL109" s="87" t="str">
        <f t="shared" si="218"/>
        <v/>
      </c>
      <c r="AM109" s="87" t="str">
        <f t="shared" si="219"/>
        <v/>
      </c>
      <c r="AN109" s="87" t="str">
        <f t="shared" si="220"/>
        <v/>
      </c>
      <c r="AO109" s="87" t="str">
        <f t="shared" si="221"/>
        <v/>
      </c>
      <c r="AP109" s="87" t="str">
        <f t="shared" si="222"/>
        <v/>
      </c>
      <c r="AQ109" s="87" t="str">
        <f t="shared" si="223"/>
        <v/>
      </c>
      <c r="AR109" s="87" t="str">
        <f t="shared" si="224"/>
        <v/>
      </c>
      <c r="AS109" s="87" t="str">
        <f t="shared" si="225"/>
        <v/>
      </c>
      <c r="AT109" s="87" t="str">
        <f t="shared" si="226"/>
        <v/>
      </c>
      <c r="AU109" s="87" t="str">
        <f t="shared" si="207"/>
        <v/>
      </c>
    </row>
    <row r="110" spans="1:47" ht="12" customHeight="1" x14ac:dyDescent="0.2">
      <c r="A110" s="149" t="s">
        <v>144</v>
      </c>
      <c r="B110" s="150" t="str">
        <f>D24</f>
        <v>Japão</v>
      </c>
      <c r="C110" s="211"/>
      <c r="U110" s="147">
        <v>28</v>
      </c>
      <c r="V110" s="87">
        <v>5.0000000000000001E-4</v>
      </c>
      <c r="W110" s="127">
        <f t="shared" si="208"/>
        <v>-99999999.999500006</v>
      </c>
      <c r="X110" s="87">
        <f t="shared" si="217"/>
        <v>12</v>
      </c>
      <c r="Y110" s="87" t="str">
        <f>IF($T$88=48,$AL30,"")</f>
        <v/>
      </c>
      <c r="Z110" s="87">
        <f t="shared" si="227"/>
        <v>0</v>
      </c>
      <c r="AA110" s="87">
        <f t="shared" si="228"/>
        <v>0</v>
      </c>
      <c r="AB110" s="87">
        <f t="shared" si="229"/>
        <v>0</v>
      </c>
      <c r="AC110" s="87">
        <f t="shared" si="199"/>
        <v>0</v>
      </c>
      <c r="AD110" s="87">
        <f t="shared" si="230"/>
        <v>0</v>
      </c>
      <c r="AE110" s="87">
        <f t="shared" si="231"/>
        <v>0</v>
      </c>
      <c r="AF110" s="87">
        <f t="shared" si="232"/>
        <v>0</v>
      </c>
      <c r="AG110" s="87">
        <f t="shared" si="233"/>
        <v>0</v>
      </c>
      <c r="AH110" s="87" t="str">
        <f t="shared" si="205"/>
        <v/>
      </c>
      <c r="AK110" s="87">
        <v>12</v>
      </c>
      <c r="AL110" s="87" t="str">
        <f t="shared" si="218"/>
        <v/>
      </c>
      <c r="AM110" s="87" t="str">
        <f t="shared" si="219"/>
        <v/>
      </c>
      <c r="AN110" s="87" t="str">
        <f t="shared" si="220"/>
        <v/>
      </c>
      <c r="AO110" s="87" t="str">
        <f t="shared" si="221"/>
        <v/>
      </c>
      <c r="AP110" s="87" t="str">
        <f t="shared" si="222"/>
        <v/>
      </c>
      <c r="AQ110" s="87" t="str">
        <f t="shared" si="223"/>
        <v/>
      </c>
      <c r="AR110" s="87" t="str">
        <f t="shared" si="224"/>
        <v/>
      </c>
      <c r="AS110" s="87" t="str">
        <f t="shared" si="225"/>
        <v/>
      </c>
      <c r="AT110" s="87" t="str">
        <f t="shared" si="226"/>
        <v/>
      </c>
      <c r="AU110" s="87" t="str">
        <f t="shared" si="207"/>
        <v/>
      </c>
    </row>
    <row r="111" spans="1:47" ht="12" customHeight="1" x14ac:dyDescent="0.2">
      <c r="A111" s="149" t="s">
        <v>30</v>
      </c>
      <c r="B111" s="150" t="str">
        <f>D25</f>
        <v>Marrocos</v>
      </c>
      <c r="C111" s="211"/>
      <c r="U111" s="147">
        <v>29</v>
      </c>
      <c r="V111" s="87">
        <v>4.0000000000000002E-4</v>
      </c>
      <c r="W111" s="127">
        <f t="shared" si="208"/>
        <v>-99999999.999599993</v>
      </c>
      <c r="X111" s="87">
        <f t="shared" si="217"/>
        <v>13</v>
      </c>
      <c r="Y111" s="87" t="str">
        <f>IF($T$88=48,$AL33,"")</f>
        <v/>
      </c>
      <c r="Z111" s="87">
        <f t="shared" si="227"/>
        <v>0</v>
      </c>
      <c r="AA111" s="87">
        <f t="shared" si="228"/>
        <v>0</v>
      </c>
      <c r="AB111" s="87">
        <f t="shared" si="229"/>
        <v>0</v>
      </c>
      <c r="AC111" s="87">
        <f t="shared" si="199"/>
        <v>0</v>
      </c>
      <c r="AD111" s="87">
        <f t="shared" si="230"/>
        <v>0</v>
      </c>
      <c r="AE111" s="87">
        <f t="shared" si="231"/>
        <v>0</v>
      </c>
      <c r="AF111" s="87">
        <f t="shared" si="232"/>
        <v>0</v>
      </c>
      <c r="AG111" s="87">
        <f t="shared" si="233"/>
        <v>0</v>
      </c>
      <c r="AH111" s="87" t="str">
        <f t="shared" si="205"/>
        <v/>
      </c>
      <c r="AK111" s="87">
        <v>13</v>
      </c>
      <c r="AL111" s="87" t="str">
        <f t="shared" si="218"/>
        <v/>
      </c>
      <c r="AM111" s="87" t="str">
        <f t="shared" si="219"/>
        <v/>
      </c>
      <c r="AN111" s="87" t="str">
        <f t="shared" si="220"/>
        <v/>
      </c>
      <c r="AO111" s="87" t="str">
        <f t="shared" si="221"/>
        <v/>
      </c>
      <c r="AP111" s="87" t="str">
        <f t="shared" si="222"/>
        <v/>
      </c>
      <c r="AQ111" s="87" t="str">
        <f t="shared" si="223"/>
        <v/>
      </c>
      <c r="AR111" s="87" t="str">
        <f t="shared" si="224"/>
        <v/>
      </c>
      <c r="AS111" s="87" t="str">
        <f t="shared" si="225"/>
        <v/>
      </c>
      <c r="AT111" s="87" t="str">
        <f t="shared" si="226"/>
        <v/>
      </c>
      <c r="AU111" s="87" t="str">
        <f t="shared" si="207"/>
        <v/>
      </c>
    </row>
    <row r="112" spans="1:47" ht="12" customHeight="1" x14ac:dyDescent="0.2">
      <c r="A112" s="149" t="s">
        <v>138</v>
      </c>
      <c r="B112" s="150" t="str">
        <f>D28</f>
        <v>Panamá</v>
      </c>
      <c r="C112" s="211"/>
      <c r="U112" s="147">
        <v>30</v>
      </c>
      <c r="V112" s="87">
        <v>2.9999999999999997E-4</v>
      </c>
      <c r="W112" s="127">
        <f t="shared" si="208"/>
        <v>-99999999.999699995</v>
      </c>
      <c r="X112" s="87">
        <f t="shared" si="217"/>
        <v>14</v>
      </c>
      <c r="Y112" s="87" t="str">
        <f>IF($T$88=48,$AL34,"")</f>
        <v/>
      </c>
      <c r="Z112" s="87">
        <f t="shared" si="227"/>
        <v>0</v>
      </c>
      <c r="AA112" s="87">
        <f t="shared" si="228"/>
        <v>0</v>
      </c>
      <c r="AB112" s="87">
        <f t="shared" si="229"/>
        <v>0</v>
      </c>
      <c r="AC112" s="87">
        <f t="shared" si="199"/>
        <v>0</v>
      </c>
      <c r="AD112" s="87">
        <f t="shared" si="230"/>
        <v>0</v>
      </c>
      <c r="AE112" s="87">
        <f t="shared" si="231"/>
        <v>0</v>
      </c>
      <c r="AF112" s="87">
        <f t="shared" si="232"/>
        <v>0</v>
      </c>
      <c r="AG112" s="87">
        <f t="shared" si="233"/>
        <v>0</v>
      </c>
      <c r="AH112" s="87" t="str">
        <f t="shared" si="205"/>
        <v/>
      </c>
      <c r="AK112" s="87">
        <v>14</v>
      </c>
      <c r="AL112" s="87" t="str">
        <f t="shared" si="218"/>
        <v/>
      </c>
      <c r="AM112" s="87" t="str">
        <f t="shared" si="219"/>
        <v/>
      </c>
      <c r="AN112" s="87" t="str">
        <f t="shared" si="220"/>
        <v/>
      </c>
      <c r="AO112" s="87" t="str">
        <f t="shared" si="221"/>
        <v/>
      </c>
      <c r="AP112" s="87" t="str">
        <f t="shared" si="222"/>
        <v/>
      </c>
      <c r="AQ112" s="87" t="str">
        <f t="shared" si="223"/>
        <v/>
      </c>
      <c r="AR112" s="87" t="str">
        <f t="shared" si="224"/>
        <v/>
      </c>
      <c r="AS112" s="87" t="str">
        <f t="shared" si="225"/>
        <v/>
      </c>
      <c r="AT112" s="87" t="str">
        <f t="shared" si="226"/>
        <v/>
      </c>
      <c r="AU112" s="87" t="str">
        <f t="shared" si="207"/>
        <v/>
      </c>
    </row>
    <row r="113" spans="1:47" ht="12" customHeight="1" x14ac:dyDescent="0.2">
      <c r="A113" s="149" t="s">
        <v>85</v>
      </c>
      <c r="B113" s="150" t="str">
        <f>D14</f>
        <v>Coreia do Sul</v>
      </c>
      <c r="C113" s="211"/>
      <c r="U113" s="147">
        <v>31</v>
      </c>
      <c r="V113" s="87">
        <v>2.0000000000000001E-4</v>
      </c>
      <c r="W113" s="127">
        <f t="shared" si="208"/>
        <v>-99999999.999799997</v>
      </c>
      <c r="X113" s="87">
        <f t="shared" si="217"/>
        <v>15</v>
      </c>
      <c r="Y113" s="87" t="str">
        <f>IF($T$88=48,$AL37,"")</f>
        <v/>
      </c>
      <c r="Z113" s="87">
        <f t="shared" si="227"/>
        <v>0</v>
      </c>
      <c r="AA113" s="87">
        <f t="shared" si="228"/>
        <v>0</v>
      </c>
      <c r="AB113" s="87">
        <f t="shared" si="229"/>
        <v>0</v>
      </c>
      <c r="AC113" s="87">
        <f t="shared" si="199"/>
        <v>0</v>
      </c>
      <c r="AD113" s="87">
        <f t="shared" si="230"/>
        <v>0</v>
      </c>
      <c r="AE113" s="87">
        <f t="shared" si="231"/>
        <v>0</v>
      </c>
      <c r="AF113" s="87">
        <f t="shared" si="232"/>
        <v>0</v>
      </c>
      <c r="AG113" s="87">
        <f t="shared" si="233"/>
        <v>0</v>
      </c>
      <c r="AH113" s="87" t="str">
        <f t="shared" si="205"/>
        <v/>
      </c>
      <c r="AK113" s="87">
        <v>15</v>
      </c>
      <c r="AL113" s="87" t="str">
        <f t="shared" si="218"/>
        <v/>
      </c>
      <c r="AM113" s="87" t="str">
        <f t="shared" si="219"/>
        <v/>
      </c>
      <c r="AN113" s="87" t="str">
        <f t="shared" si="220"/>
        <v/>
      </c>
      <c r="AO113" s="87" t="str">
        <f t="shared" si="221"/>
        <v/>
      </c>
      <c r="AP113" s="87" t="str">
        <f t="shared" si="222"/>
        <v/>
      </c>
      <c r="AQ113" s="87" t="str">
        <f t="shared" si="223"/>
        <v/>
      </c>
      <c r="AR113" s="87" t="str">
        <f t="shared" si="224"/>
        <v/>
      </c>
      <c r="AS113" s="87" t="str">
        <f t="shared" si="225"/>
        <v/>
      </c>
      <c r="AT113" s="87" t="str">
        <f t="shared" si="226"/>
        <v/>
      </c>
      <c r="AU113" s="87" t="str">
        <f t="shared" si="207"/>
        <v/>
      </c>
    </row>
    <row r="114" spans="1:47" ht="12" customHeight="1" thickBot="1" x14ac:dyDescent="0.25">
      <c r="A114" s="151" t="s">
        <v>25</v>
      </c>
      <c r="B114" s="152" t="str">
        <f>D8</f>
        <v>Arábia Saudita</v>
      </c>
      <c r="C114" s="212"/>
      <c r="U114" s="147">
        <v>32</v>
      </c>
      <c r="V114" s="87">
        <v>1E-4</v>
      </c>
      <c r="W114" s="127">
        <f t="shared" si="208"/>
        <v>-99999999.999899998</v>
      </c>
      <c r="X114" s="87">
        <f t="shared" si="217"/>
        <v>16</v>
      </c>
      <c r="Y114" s="87" t="str">
        <f>IF($T$88=48,$AL38,"")</f>
        <v/>
      </c>
      <c r="Z114" s="87">
        <f t="shared" si="227"/>
        <v>0</v>
      </c>
      <c r="AA114" s="87">
        <f t="shared" si="228"/>
        <v>0</v>
      </c>
      <c r="AB114" s="87">
        <f t="shared" si="229"/>
        <v>0</v>
      </c>
      <c r="AC114" s="87">
        <f t="shared" si="199"/>
        <v>0</v>
      </c>
      <c r="AD114" s="87">
        <f t="shared" si="230"/>
        <v>0</v>
      </c>
      <c r="AE114" s="87">
        <f t="shared" si="231"/>
        <v>0</v>
      </c>
      <c r="AF114" s="87">
        <f t="shared" si="232"/>
        <v>0</v>
      </c>
      <c r="AG114" s="87">
        <f t="shared" si="233"/>
        <v>0</v>
      </c>
      <c r="AH114" s="87" t="str">
        <f t="shared" si="205"/>
        <v/>
      </c>
      <c r="AK114" s="87">
        <v>16</v>
      </c>
      <c r="AL114" s="87" t="str">
        <f t="shared" si="218"/>
        <v/>
      </c>
      <c r="AM114" s="87" t="str">
        <f t="shared" si="219"/>
        <v/>
      </c>
      <c r="AN114" s="87" t="str">
        <f t="shared" si="220"/>
        <v/>
      </c>
      <c r="AO114" s="87" t="str">
        <f t="shared" si="221"/>
        <v/>
      </c>
      <c r="AP114" s="87" t="str">
        <f t="shared" si="222"/>
        <v/>
      </c>
      <c r="AQ114" s="87" t="str">
        <f t="shared" si="223"/>
        <v/>
      </c>
      <c r="AR114" s="87" t="str">
        <f t="shared" si="224"/>
        <v/>
      </c>
      <c r="AS114" s="87" t="str">
        <f t="shared" si="225"/>
        <v/>
      </c>
      <c r="AT114" s="87" t="str">
        <f t="shared" si="226"/>
        <v/>
      </c>
      <c r="AU114" s="87" t="str">
        <f t="shared" si="207"/>
        <v/>
      </c>
    </row>
    <row r="115" spans="1:47" ht="12" thickTop="1" x14ac:dyDescent="0.2"/>
  </sheetData>
  <sheetProtection password="CD12" sheet="1" objects="1" scenarios="1" selectLockedCells="1"/>
  <sortState ref="D7:D30">
    <sortCondition ref="D7:D30"/>
  </sortState>
  <mergeCells count="17">
    <mergeCell ref="O72:P72"/>
    <mergeCell ref="AJ31:AJ34"/>
    <mergeCell ref="AJ35:AJ38"/>
    <mergeCell ref="C99:C106"/>
    <mergeCell ref="C107:C114"/>
    <mergeCell ref="C83:C90"/>
    <mergeCell ref="O56:P56"/>
    <mergeCell ref="O79:P79"/>
    <mergeCell ref="O76:P76"/>
    <mergeCell ref="C91:C98"/>
    <mergeCell ref="AJ27:AJ30"/>
    <mergeCell ref="O66:P66"/>
    <mergeCell ref="AJ7:AJ10"/>
    <mergeCell ref="AJ11:AJ14"/>
    <mergeCell ref="AJ15:AJ18"/>
    <mergeCell ref="AJ19:AJ22"/>
    <mergeCell ref="AJ23:AJ26"/>
  </mergeCells>
  <conditionalFormatting sqref="A83:B83">
    <cfRule type="expression" dxfId="13" priority="3">
      <formula>$A83&lt;&gt;""</formula>
    </cfRule>
  </conditionalFormatting>
  <conditionalFormatting sqref="A85:B85">
    <cfRule type="expression" dxfId="12" priority="2">
      <formula>$A85&lt;&gt;""</formula>
    </cfRule>
  </conditionalFormatting>
  <conditionalFormatting sqref="A84:B114">
    <cfRule type="expression" dxfId="11" priority="1">
      <formula>$A84&lt;&gt;""</formula>
    </cfRule>
  </conditionalFormatting>
  <pageMargins left="0.511811024" right="0.511811024" top="0.78740157499999996" bottom="0.78740157499999996" header="0.31496062000000002" footer="0.31496062000000002"/>
  <pageSetup paperSize="9" orientation="portrait" r:id="rId1"/>
  <ignoredErrors>
    <ignoredError sqref="AG7 J8 J38:J50 J14:J37 J51:J54"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36"/>
  <sheetViews>
    <sheetView showGridLines="0" showRowColHeaders="0" zoomScale="50" zoomScaleNormal="50" workbookViewId="0">
      <selection activeCell="E4" sqref="E4"/>
    </sheetView>
  </sheetViews>
  <sheetFormatPr defaultRowHeight="15" x14ac:dyDescent="0.25"/>
  <cols>
    <col min="1" max="3" width="23.7109375" customWidth="1"/>
    <col min="4" max="4" width="46.85546875" style="1" customWidth="1"/>
    <col min="5" max="5" width="23.7109375" customWidth="1"/>
  </cols>
  <sheetData>
    <row r="1" spans="4:4" ht="120.75" customHeight="1" x14ac:dyDescent="0.25"/>
    <row r="2" spans="4:4" ht="120.75" customHeight="1" x14ac:dyDescent="0.25"/>
    <row r="3" spans="4:4" ht="120.75" customHeight="1" x14ac:dyDescent="0.25"/>
    <row r="4" spans="4:4" ht="120.75" customHeight="1" x14ac:dyDescent="0.25">
      <c r="D4" s="1" t="str">
        <f>'Sorteio&amp;Cálculos'!D7</f>
        <v>Alemanha</v>
      </c>
    </row>
    <row r="5" spans="4:4" ht="120.75" customHeight="1" x14ac:dyDescent="0.25">
      <c r="D5" s="1" t="str">
        <f>'Sorteio&amp;Cálculos'!D8</f>
        <v>Arábia Saudita</v>
      </c>
    </row>
    <row r="6" spans="4:4" ht="120.75" customHeight="1" x14ac:dyDescent="0.25">
      <c r="D6" s="1" t="str">
        <f>'Sorteio&amp;Cálculos'!D9</f>
        <v>Argentina</v>
      </c>
    </row>
    <row r="7" spans="4:4" ht="120.75" customHeight="1" x14ac:dyDescent="0.25">
      <c r="D7" s="1" t="str">
        <f>'Sorteio&amp;Cálculos'!D10</f>
        <v>Austrália</v>
      </c>
    </row>
    <row r="8" spans="4:4" ht="120.75" customHeight="1" x14ac:dyDescent="0.25">
      <c r="D8" s="1" t="str">
        <f>'Sorteio&amp;Cálculos'!D11</f>
        <v>Bélgica</v>
      </c>
    </row>
    <row r="9" spans="4:4" ht="120.75" customHeight="1" x14ac:dyDescent="0.25">
      <c r="D9" s="1" t="str">
        <f>'Sorteio&amp;Cálculos'!D12</f>
        <v>BRASIL</v>
      </c>
    </row>
    <row r="10" spans="4:4" ht="120.75" customHeight="1" x14ac:dyDescent="0.25">
      <c r="D10" s="1" t="str">
        <f>'Sorteio&amp;Cálculos'!D13</f>
        <v>Colômbia</v>
      </c>
    </row>
    <row r="11" spans="4:4" ht="120.75" customHeight="1" x14ac:dyDescent="0.25">
      <c r="D11" s="1" t="str">
        <f>'Sorteio&amp;Cálculos'!D14</f>
        <v>Coreia do Sul</v>
      </c>
    </row>
    <row r="12" spans="4:4" ht="120.75" customHeight="1" x14ac:dyDescent="0.25">
      <c r="D12" s="1" t="str">
        <f>'Sorteio&amp;Cálculos'!D15</f>
        <v>Costa Rica</v>
      </c>
    </row>
    <row r="13" spans="4:4" ht="120.75" customHeight="1" x14ac:dyDescent="0.25">
      <c r="D13" s="1" t="str">
        <f>'Sorteio&amp;Cálculos'!D16</f>
        <v>Croácia</v>
      </c>
    </row>
    <row r="14" spans="4:4" ht="120.75" customHeight="1" x14ac:dyDescent="0.25">
      <c r="D14" s="1" t="str">
        <f>'Sorteio&amp;Cálculos'!D17</f>
        <v>Dinamarca</v>
      </c>
    </row>
    <row r="15" spans="4:4" ht="120.75" customHeight="1" x14ac:dyDescent="0.25">
      <c r="D15" s="1" t="str">
        <f>'Sorteio&amp;Cálculos'!D18</f>
        <v>Egito</v>
      </c>
    </row>
    <row r="16" spans="4:4" ht="120.75" customHeight="1" x14ac:dyDescent="0.25">
      <c r="D16" s="1" t="str">
        <f>'Sorteio&amp;Cálculos'!D19</f>
        <v>Espanha</v>
      </c>
    </row>
    <row r="17" spans="4:4" ht="120.75" customHeight="1" x14ac:dyDescent="0.25">
      <c r="D17" s="1" t="str">
        <f>'Sorteio&amp;Cálculos'!D20</f>
        <v>França</v>
      </c>
    </row>
    <row r="18" spans="4:4" ht="120.75" customHeight="1" x14ac:dyDescent="0.25">
      <c r="D18" s="1" t="str">
        <f>'Sorteio&amp;Cálculos'!D21</f>
        <v>Inglaterra</v>
      </c>
    </row>
    <row r="19" spans="4:4" ht="120.75" customHeight="1" x14ac:dyDescent="0.25">
      <c r="D19" s="1" t="str">
        <f>'Sorteio&amp;Cálculos'!D22</f>
        <v>Irã</v>
      </c>
    </row>
    <row r="20" spans="4:4" ht="120.75" customHeight="1" x14ac:dyDescent="0.25">
      <c r="D20" s="1" t="str">
        <f>'Sorteio&amp;Cálculos'!D23</f>
        <v>Islândia</v>
      </c>
    </row>
    <row r="21" spans="4:4" ht="120.75" customHeight="1" x14ac:dyDescent="0.25">
      <c r="D21" s="1" t="str">
        <f>'Sorteio&amp;Cálculos'!D24</f>
        <v>Japão</v>
      </c>
    </row>
    <row r="22" spans="4:4" ht="120.75" customHeight="1" x14ac:dyDescent="0.25">
      <c r="D22" s="1" t="str">
        <f>'Sorteio&amp;Cálculos'!D25</f>
        <v>Marrocos</v>
      </c>
    </row>
    <row r="23" spans="4:4" ht="120.75" customHeight="1" x14ac:dyDescent="0.25">
      <c r="D23" s="1" t="str">
        <f>'Sorteio&amp;Cálculos'!D26</f>
        <v>México</v>
      </c>
    </row>
    <row r="24" spans="4:4" ht="120.75" customHeight="1" x14ac:dyDescent="0.25">
      <c r="D24" s="1" t="str">
        <f>'Sorteio&amp;Cálculos'!D27</f>
        <v>Nigéria</v>
      </c>
    </row>
    <row r="25" spans="4:4" ht="120.75" customHeight="1" x14ac:dyDescent="0.25">
      <c r="D25" s="1" t="str">
        <f>'Sorteio&amp;Cálculos'!D28</f>
        <v>Panamá</v>
      </c>
    </row>
    <row r="26" spans="4:4" ht="120.75" customHeight="1" x14ac:dyDescent="0.25">
      <c r="D26" s="1" t="str">
        <f>'Sorteio&amp;Cálculos'!D29</f>
        <v>Peru</v>
      </c>
    </row>
    <row r="27" spans="4:4" ht="120.75" customHeight="1" x14ac:dyDescent="0.25">
      <c r="D27" s="1" t="str">
        <f>'Sorteio&amp;Cálculos'!D30</f>
        <v>Polônia</v>
      </c>
    </row>
    <row r="28" spans="4:4" ht="120.75" customHeight="1" x14ac:dyDescent="0.25">
      <c r="D28" s="1" t="str">
        <f>'Sorteio&amp;Cálculos'!D31</f>
        <v>Portugal</v>
      </c>
    </row>
    <row r="29" spans="4:4" ht="120.75" customHeight="1" x14ac:dyDescent="0.25">
      <c r="D29" s="1" t="str">
        <f>'Sorteio&amp;Cálculos'!D32</f>
        <v>Rússia</v>
      </c>
    </row>
    <row r="30" spans="4:4" ht="120.75" customHeight="1" x14ac:dyDescent="0.25">
      <c r="D30" s="1" t="str">
        <f>'Sorteio&amp;Cálculos'!D33</f>
        <v>Senegal</v>
      </c>
    </row>
    <row r="31" spans="4:4" ht="120.75" customHeight="1" x14ac:dyDescent="0.25">
      <c r="D31" s="1" t="str">
        <f>'Sorteio&amp;Cálculos'!D34</f>
        <v>Sérvia</v>
      </c>
    </row>
    <row r="32" spans="4:4" ht="120.75" customHeight="1" x14ac:dyDescent="0.25">
      <c r="D32" s="1" t="str">
        <f>'Sorteio&amp;Cálculos'!D35</f>
        <v>Suécia</v>
      </c>
    </row>
    <row r="33" spans="4:4" ht="120.75" customHeight="1" x14ac:dyDescent="0.25">
      <c r="D33" s="1" t="str">
        <f>'Sorteio&amp;Cálculos'!D36</f>
        <v>Suíça</v>
      </c>
    </row>
    <row r="34" spans="4:4" ht="120.75" customHeight="1" x14ac:dyDescent="0.25">
      <c r="D34" s="1" t="str">
        <f>'Sorteio&amp;Cálculos'!D37</f>
        <v>Tunísia</v>
      </c>
    </row>
    <row r="35" spans="4:4" ht="120.75" customHeight="1" x14ac:dyDescent="0.25">
      <c r="D35" s="1" t="str">
        <f>'Sorteio&amp;Cálculos'!D38</f>
        <v>Uruguai</v>
      </c>
    </row>
    <row r="36" spans="4:4" ht="120.75" customHeight="1" x14ac:dyDescent="0.25">
      <c r="D36" s="1" t="str">
        <f>'Sorteio&amp;Cálculos'!D39</f>
        <v>nenhum</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JOGOS</vt:lpstr>
      <vt:lpstr>CLASSIFICAÇÃO</vt:lpstr>
      <vt:lpstr>DIAGRAMA</vt:lpstr>
      <vt:lpstr>ESTATÍSTICAS</vt:lpstr>
      <vt:lpstr>Sorteio&amp;Cálculos</vt:lpstr>
      <vt:lpstr>Bandeiras</vt:lpstr>
    </vt:vector>
  </TitlesOfParts>
  <Company>BANCO PROVINCIA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X259595</dc:creator>
  <cp:lastModifiedBy>MAURICIO</cp:lastModifiedBy>
  <cp:lastPrinted>2013-12-09T13:29:38Z</cp:lastPrinted>
  <dcterms:created xsi:type="dcterms:W3CDTF">2012-03-15T11:42:04Z</dcterms:created>
  <dcterms:modified xsi:type="dcterms:W3CDTF">2018-05-19T20:25:46Z</dcterms:modified>
</cp:coreProperties>
</file>