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F089FF6-A926-4A47-A7B8-3F23A6F6B953}" xr6:coauthVersionLast="47" xr6:coauthVersionMax="47" xr10:uidLastSave="{00000000-0000-0000-0000-000000000000}"/>
  <bookViews>
    <workbookView xWindow="12315" yWindow="-16350" windowWidth="29040" windowHeight="15840" tabRatio="977" activeTab="6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18" l="1"/>
  <c r="S31" i="18" s="1"/>
  <c r="G4" i="18"/>
  <c r="Y20" i="18"/>
  <c r="Y21" i="18"/>
  <c r="Y22" i="18"/>
  <c r="Y23" i="18"/>
  <c r="Y24" i="18"/>
  <c r="Y25" i="18"/>
  <c r="Y26" i="18"/>
  <c r="Y27" i="18"/>
  <c r="Y28" i="18"/>
  <c r="Y19" i="18"/>
  <c r="X20" i="18"/>
  <c r="X21" i="18"/>
  <c r="X22" i="18"/>
  <c r="X23" i="18"/>
  <c r="X24" i="18"/>
  <c r="X25" i="18"/>
  <c r="X26" i="18"/>
  <c r="X27" i="18"/>
  <c r="X28" i="18"/>
  <c r="X19" i="18"/>
  <c r="R19" i="18"/>
  <c r="W19" i="18" s="1"/>
  <c r="W20" i="18"/>
  <c r="W21" i="18"/>
  <c r="W22" i="18"/>
  <c r="W23" i="18"/>
  <c r="W24" i="18"/>
  <c r="W25" i="18"/>
  <c r="W26" i="18"/>
  <c r="W27" i="18"/>
  <c r="W28" i="18"/>
  <c r="O46" i="18"/>
  <c r="P46" i="18"/>
  <c r="Q46" i="18"/>
  <c r="R46" i="18"/>
  <c r="S46" i="18"/>
  <c r="T46" i="18"/>
  <c r="U46" i="18"/>
  <c r="N46" i="18"/>
  <c r="V20" i="18"/>
  <c r="V28" i="18"/>
  <c r="E8" i="11"/>
  <c r="E9" i="11"/>
  <c r="V21" i="18" s="1"/>
  <c r="E10" i="11"/>
  <c r="V22" i="18" s="1"/>
  <c r="E11" i="11"/>
  <c r="V23" i="18" s="1"/>
  <c r="E12" i="11"/>
  <c r="V24" i="18" s="1"/>
  <c r="E13" i="11"/>
  <c r="V25" i="18" s="1"/>
  <c r="E14" i="11"/>
  <c r="V26" i="18" s="1"/>
  <c r="E15" i="11"/>
  <c r="V27" i="18" s="1"/>
  <c r="E16" i="11"/>
  <c r="E7" i="11"/>
  <c r="V19" i="18" s="1"/>
  <c r="U27" i="18"/>
  <c r="U28" i="18"/>
  <c r="R28" i="18"/>
  <c r="T28" i="18"/>
  <c r="T25" i="18"/>
  <c r="T27" i="18"/>
  <c r="R20" i="18"/>
  <c r="R21" i="18"/>
  <c r="R22" i="18"/>
  <c r="R23" i="18"/>
  <c r="R24" i="18"/>
  <c r="R25" i="18"/>
  <c r="R26" i="18"/>
  <c r="R27" i="18"/>
  <c r="S9" i="18"/>
  <c r="A36" i="18"/>
  <c r="A6" i="18"/>
  <c r="C4" i="18"/>
  <c r="C36" i="18" s="1"/>
  <c r="D4" i="18"/>
  <c r="D36" i="18" s="1"/>
  <c r="E4" i="18"/>
  <c r="E36" i="18" s="1"/>
  <c r="F4" i="18"/>
  <c r="F36" i="18" s="1"/>
  <c r="G36" i="18"/>
  <c r="H4" i="18"/>
  <c r="H36" i="18" s="1"/>
  <c r="I4" i="18"/>
  <c r="I36" i="18" s="1"/>
  <c r="J4" i="18"/>
  <c r="J36" i="18" s="1"/>
  <c r="K4" i="18"/>
  <c r="K36" i="18" s="1"/>
  <c r="L4" i="18"/>
  <c r="L36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C22" i="18" s="1"/>
  <c r="D3" i="18"/>
  <c r="E3" i="18"/>
  <c r="E31" i="18" s="1"/>
  <c r="F3" i="18"/>
  <c r="G3" i="18"/>
  <c r="G8" i="18" s="1"/>
  <c r="H3" i="18"/>
  <c r="H6" i="18" s="1"/>
  <c r="I3" i="18"/>
  <c r="I17" i="18" s="1"/>
  <c r="J3" i="18"/>
  <c r="K3" i="18"/>
  <c r="K26" i="18" s="1"/>
  <c r="L3" i="18"/>
  <c r="L6" i="18" s="1"/>
  <c r="M3" i="18"/>
  <c r="M27" i="18" s="1"/>
  <c r="N3" i="18"/>
  <c r="N35" i="18" s="1"/>
  <c r="O3" i="18"/>
  <c r="O12" i="18" s="1"/>
  <c r="H72" i="18" l="1"/>
  <c r="H74" i="18"/>
  <c r="H76" i="18"/>
  <c r="H48" i="18"/>
  <c r="H50" i="18"/>
  <c r="H52" i="18"/>
  <c r="H54" i="18"/>
  <c r="H56" i="18"/>
  <c r="H58" i="18"/>
  <c r="H60" i="18"/>
  <c r="E51" i="18"/>
  <c r="E59" i="18"/>
  <c r="E63" i="18"/>
  <c r="E69" i="18"/>
  <c r="E76" i="18"/>
  <c r="E56" i="18"/>
  <c r="E64" i="18"/>
  <c r="F73" i="18"/>
  <c r="F75" i="18"/>
  <c r="F77" i="18"/>
  <c r="F49" i="18"/>
  <c r="F51" i="18"/>
  <c r="F53" i="18"/>
  <c r="F55" i="18"/>
  <c r="F57" i="18"/>
  <c r="F59" i="18"/>
  <c r="F61" i="18"/>
  <c r="F63" i="18"/>
  <c r="F65" i="18"/>
  <c r="F67" i="18"/>
  <c r="F69" i="18"/>
  <c r="F71" i="18"/>
  <c r="H73" i="18"/>
  <c r="H75" i="18"/>
  <c r="H77" i="18"/>
  <c r="H49" i="18"/>
  <c r="H53" i="18"/>
  <c r="H55" i="18"/>
  <c r="H57" i="18"/>
  <c r="H61" i="18"/>
  <c r="H65" i="18"/>
  <c r="H69" i="18"/>
  <c r="B49" i="18"/>
  <c r="E50" i="18"/>
  <c r="E62" i="18"/>
  <c r="E70" i="18"/>
  <c r="B47" i="18"/>
  <c r="N65" i="18" s="1"/>
  <c r="G73" i="18"/>
  <c r="G75" i="18"/>
  <c r="G77" i="18"/>
  <c r="G49" i="18"/>
  <c r="G51" i="18"/>
  <c r="G53" i="18"/>
  <c r="G55" i="18"/>
  <c r="G57" i="18"/>
  <c r="G59" i="18"/>
  <c r="G61" i="18"/>
  <c r="G63" i="18"/>
  <c r="G65" i="18"/>
  <c r="G67" i="18"/>
  <c r="G69" i="18"/>
  <c r="G71" i="18"/>
  <c r="B48" i="18"/>
  <c r="H51" i="18"/>
  <c r="H59" i="18"/>
  <c r="H63" i="18"/>
  <c r="H67" i="18"/>
  <c r="H71" i="18"/>
  <c r="E48" i="18"/>
  <c r="E60" i="18"/>
  <c r="H47" i="18"/>
  <c r="T47" i="18" s="1"/>
  <c r="B50" i="18"/>
  <c r="F72" i="18"/>
  <c r="F74" i="18"/>
  <c r="F76" i="18"/>
  <c r="F48" i="18"/>
  <c r="F50" i="18"/>
  <c r="F52" i="18"/>
  <c r="F54" i="18"/>
  <c r="F56" i="18"/>
  <c r="F58" i="18"/>
  <c r="F60" i="18"/>
  <c r="F62" i="18"/>
  <c r="F64" i="18"/>
  <c r="F66" i="18"/>
  <c r="F68" i="18"/>
  <c r="F70" i="18"/>
  <c r="F47" i="18"/>
  <c r="R48" i="18" s="1"/>
  <c r="H64" i="18"/>
  <c r="H66" i="18"/>
  <c r="H70" i="18"/>
  <c r="E47" i="18"/>
  <c r="Q48" i="18" s="1"/>
  <c r="E77" i="18"/>
  <c r="E55" i="18"/>
  <c r="E61" i="18"/>
  <c r="E65" i="18"/>
  <c r="E71" i="18"/>
  <c r="E74" i="18"/>
  <c r="E54" i="18"/>
  <c r="E66" i="18"/>
  <c r="G72" i="18"/>
  <c r="G74" i="18"/>
  <c r="G76" i="18"/>
  <c r="G48" i="18"/>
  <c r="G50" i="18"/>
  <c r="G52" i="18"/>
  <c r="G54" i="18"/>
  <c r="G56" i="18"/>
  <c r="G58" i="18"/>
  <c r="G60" i="18"/>
  <c r="G62" i="18"/>
  <c r="G64" i="18"/>
  <c r="G66" i="18"/>
  <c r="G68" i="18"/>
  <c r="G70" i="18"/>
  <c r="G47" i="18"/>
  <c r="S47" i="18" s="1"/>
  <c r="H62" i="18"/>
  <c r="H68" i="18"/>
  <c r="E73" i="18"/>
  <c r="E75" i="18"/>
  <c r="E49" i="18"/>
  <c r="E53" i="18"/>
  <c r="E57" i="18"/>
  <c r="E67" i="18"/>
  <c r="E72" i="18"/>
  <c r="E52" i="18"/>
  <c r="E58" i="18"/>
  <c r="E68" i="18"/>
  <c r="B77" i="18"/>
  <c r="Q71" i="18"/>
  <c r="Q70" i="18"/>
  <c r="Q63" i="18"/>
  <c r="Q54" i="18"/>
  <c r="Q47" i="18"/>
  <c r="Q69" i="18"/>
  <c r="Q53" i="18"/>
  <c r="Q76" i="18"/>
  <c r="Q68" i="18"/>
  <c r="Q60" i="18"/>
  <c r="Q52" i="18"/>
  <c r="Q75" i="18"/>
  <c r="Q67" i="18"/>
  <c r="Q59" i="18"/>
  <c r="Q51" i="18"/>
  <c r="Q74" i="18"/>
  <c r="Q66" i="18"/>
  <c r="Q58" i="18"/>
  <c r="Q50" i="18"/>
  <c r="Q73" i="18"/>
  <c r="Q65" i="18"/>
  <c r="Q57" i="18"/>
  <c r="Q49" i="18"/>
  <c r="Q72" i="18"/>
  <c r="Q64" i="18"/>
  <c r="Q56" i="18"/>
  <c r="T75" i="18"/>
  <c r="T67" i="18"/>
  <c r="T59" i="18"/>
  <c r="T51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R59" i="18"/>
  <c r="I49" i="18"/>
  <c r="C49" i="18"/>
  <c r="D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L32" i="18"/>
  <c r="B73" i="18" s="1"/>
  <c r="L8" i="18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I77" i="18"/>
  <c r="C77" i="18"/>
  <c r="D77" i="18"/>
  <c r="M6" i="18"/>
  <c r="B33" i="18"/>
  <c r="G28" i="18"/>
  <c r="M23" i="18"/>
  <c r="E19" i="18"/>
  <c r="K14" i="18"/>
  <c r="C10" i="18"/>
  <c r="R61" i="18" l="1"/>
  <c r="R67" i="18"/>
  <c r="R75" i="18"/>
  <c r="R51" i="18"/>
  <c r="T55" i="18"/>
  <c r="N48" i="18"/>
  <c r="T50" i="18"/>
  <c r="T58" i="18"/>
  <c r="T66" i="18"/>
  <c r="T74" i="18"/>
  <c r="N52" i="18"/>
  <c r="N60" i="18"/>
  <c r="N70" i="18"/>
  <c r="T68" i="18"/>
  <c r="N54" i="18"/>
  <c r="N72" i="18"/>
  <c r="N67" i="18"/>
  <c r="T53" i="18"/>
  <c r="T61" i="18"/>
  <c r="T69" i="18"/>
  <c r="N49" i="18"/>
  <c r="N55" i="18"/>
  <c r="N63" i="18"/>
  <c r="N73" i="18"/>
  <c r="N61" i="18"/>
  <c r="T52" i="18"/>
  <c r="T60" i="18"/>
  <c r="T76" i="18"/>
  <c r="N62" i="18"/>
  <c r="N74" i="18"/>
  <c r="T54" i="18"/>
  <c r="T62" i="18"/>
  <c r="T70" i="18"/>
  <c r="N47" i="18"/>
  <c r="N56" i="18"/>
  <c r="N64" i="18"/>
  <c r="N75" i="18"/>
  <c r="N71" i="18"/>
  <c r="T71" i="18"/>
  <c r="N57" i="18"/>
  <c r="T48" i="18"/>
  <c r="T56" i="18"/>
  <c r="T64" i="18"/>
  <c r="T72" i="18"/>
  <c r="N50" i="18"/>
  <c r="N58" i="18"/>
  <c r="N68" i="18"/>
  <c r="N53" i="18"/>
  <c r="N76" i="18"/>
  <c r="T63" i="18"/>
  <c r="N66" i="18"/>
  <c r="T49" i="18"/>
  <c r="T57" i="18"/>
  <c r="T65" i="18"/>
  <c r="T73" i="18"/>
  <c r="N51" i="18"/>
  <c r="N59" i="18"/>
  <c r="N69" i="18"/>
  <c r="R52" i="18"/>
  <c r="R60" i="18"/>
  <c r="R68" i="18"/>
  <c r="R76" i="18"/>
  <c r="Q55" i="18"/>
  <c r="R54" i="18"/>
  <c r="R62" i="18"/>
  <c r="R70" i="18"/>
  <c r="R69" i="18"/>
  <c r="R55" i="18"/>
  <c r="R63" i="18"/>
  <c r="R71" i="18"/>
  <c r="R53" i="18"/>
  <c r="R56" i="18"/>
  <c r="R64" i="18"/>
  <c r="R72" i="18"/>
  <c r="Q61" i="18"/>
  <c r="R47" i="18"/>
  <c r="R49" i="18"/>
  <c r="R57" i="18"/>
  <c r="R65" i="18"/>
  <c r="R73" i="18"/>
  <c r="Q62" i="18"/>
  <c r="R50" i="18"/>
  <c r="R58" i="18"/>
  <c r="R66" i="18"/>
  <c r="R74" i="18"/>
  <c r="I48" i="18"/>
  <c r="C48" i="18"/>
  <c r="D48" i="18"/>
  <c r="C47" i="18"/>
  <c r="I47" i="18"/>
  <c r="D47" i="18"/>
  <c r="I68" i="18"/>
  <c r="C68" i="18"/>
  <c r="D68" i="18"/>
  <c r="I70" i="18"/>
  <c r="C70" i="18"/>
  <c r="D70" i="18"/>
  <c r="I71" i="18"/>
  <c r="C71" i="18"/>
  <c r="D71" i="18"/>
  <c r="I64" i="18"/>
  <c r="C64" i="18"/>
  <c r="D64" i="18"/>
  <c r="I56" i="18"/>
  <c r="C56" i="18"/>
  <c r="D56" i="18"/>
  <c r="I60" i="18"/>
  <c r="C60" i="18"/>
  <c r="D60" i="18"/>
  <c r="I61" i="18"/>
  <c r="C61" i="18"/>
  <c r="D61" i="18"/>
  <c r="I58" i="18"/>
  <c r="C58" i="18"/>
  <c r="D58" i="18"/>
  <c r="I59" i="18"/>
  <c r="C59" i="18"/>
  <c r="D59" i="18"/>
  <c r="I52" i="18"/>
  <c r="C52" i="18"/>
  <c r="D52" i="18"/>
  <c r="I67" i="18"/>
  <c r="C67" i="18"/>
  <c r="D67" i="18"/>
  <c r="I63" i="18"/>
  <c r="C63" i="18"/>
  <c r="D63" i="18"/>
  <c r="I69" i="18"/>
  <c r="C69" i="18"/>
  <c r="D69" i="18"/>
  <c r="I54" i="18"/>
  <c r="C54" i="18"/>
  <c r="D54" i="18"/>
  <c r="I55" i="18"/>
  <c r="C55" i="18"/>
  <c r="D55" i="18"/>
  <c r="I76" i="18"/>
  <c r="C76" i="18"/>
  <c r="D76" i="18"/>
  <c r="I66" i="18"/>
  <c r="C66" i="18"/>
  <c r="D66" i="18"/>
  <c r="I62" i="18"/>
  <c r="C62" i="18"/>
  <c r="D62" i="18"/>
  <c r="I65" i="18"/>
  <c r="C65" i="18"/>
  <c r="D65" i="18"/>
  <c r="I50" i="18"/>
  <c r="C50" i="18"/>
  <c r="D50" i="18"/>
  <c r="I51" i="18"/>
  <c r="C51" i="18"/>
  <c r="D51" i="18"/>
  <c r="I72" i="18"/>
  <c r="C72" i="18"/>
  <c r="D72" i="18"/>
  <c r="I57" i="18"/>
  <c r="C57" i="18"/>
  <c r="D57" i="18"/>
  <c r="I53" i="18"/>
  <c r="C53" i="18"/>
  <c r="D53" i="18"/>
  <c r="I73" i="18"/>
  <c r="C73" i="18"/>
  <c r="D73" i="18"/>
  <c r="I74" i="18"/>
  <c r="C74" i="18"/>
  <c r="D74" i="18"/>
  <c r="I75" i="18"/>
  <c r="C75" i="18"/>
  <c r="D75" i="18"/>
  <c r="O49" i="18" l="1"/>
  <c r="O59" i="18"/>
  <c r="O67" i="18"/>
  <c r="O74" i="18"/>
  <c r="O51" i="18"/>
  <c r="O53" i="18"/>
  <c r="O54" i="18"/>
  <c r="O57" i="18"/>
  <c r="O60" i="18"/>
  <c r="O62" i="18"/>
  <c r="O65" i="18"/>
  <c r="O68" i="18"/>
  <c r="O71" i="18"/>
  <c r="O73" i="18"/>
  <c r="O47" i="18"/>
  <c r="O50" i="18"/>
  <c r="O56" i="18"/>
  <c r="O63" i="18"/>
  <c r="O69" i="18"/>
  <c r="O75" i="18"/>
  <c r="O48" i="18"/>
  <c r="O52" i="18"/>
  <c r="O55" i="18"/>
  <c r="O58" i="18"/>
  <c r="O61" i="18"/>
  <c r="O64" i="18"/>
  <c r="O66" i="18"/>
  <c r="O70" i="18"/>
  <c r="O72" i="18"/>
  <c r="O76" i="18"/>
  <c r="P48" i="18"/>
  <c r="P49" i="18"/>
  <c r="P50" i="18"/>
  <c r="P51" i="18"/>
  <c r="P52" i="18"/>
  <c r="P53" i="18"/>
  <c r="P54" i="18"/>
  <c r="P55" i="18"/>
  <c r="P56" i="18"/>
  <c r="P60" i="18"/>
  <c r="P62" i="18"/>
  <c r="P63" i="18"/>
  <c r="P64" i="18"/>
  <c r="P66" i="18"/>
  <c r="P67" i="18"/>
  <c r="P68" i="18"/>
  <c r="P71" i="18"/>
  <c r="P73" i="18"/>
  <c r="P65" i="18"/>
  <c r="P59" i="18"/>
  <c r="P72" i="18"/>
  <c r="P47" i="18"/>
  <c r="P58" i="18"/>
  <c r="P69" i="18"/>
  <c r="P75" i="18"/>
  <c r="P61" i="18"/>
  <c r="P74" i="18"/>
  <c r="P57" i="18"/>
  <c r="P70" i="18"/>
  <c r="P7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B15" i="11" l="1"/>
  <c r="S27" i="18" s="1"/>
  <c r="B16" i="11"/>
  <c r="S28" i="18" s="1"/>
  <c r="C3" i="11"/>
  <c r="C8" i="11"/>
  <c r="T20" i="18" s="1"/>
  <c r="B8" i="11"/>
  <c r="S20" i="18" s="1"/>
  <c r="D8" i="11"/>
  <c r="U20" i="18" s="1"/>
  <c r="C9" i="11"/>
  <c r="T21" i="18" s="1"/>
  <c r="B9" i="11"/>
  <c r="S21" i="18" s="1"/>
  <c r="D9" i="11"/>
  <c r="U21" i="18" s="1"/>
  <c r="C10" i="11"/>
  <c r="T22" i="18" s="1"/>
  <c r="B10" i="11"/>
  <c r="S22" i="18" s="1"/>
  <c r="D10" i="11"/>
  <c r="U22" i="18" s="1"/>
  <c r="C11" i="11"/>
  <c r="T23" i="18" s="1"/>
  <c r="B11" i="11"/>
  <c r="S23" i="18" s="1"/>
  <c r="D11" i="11"/>
  <c r="U23" i="18" s="1"/>
  <c r="C12" i="11"/>
  <c r="T24" i="18" s="1"/>
  <c r="B12" i="11"/>
  <c r="S24" i="18" s="1"/>
  <c r="D12" i="11"/>
  <c r="U24" i="18" s="1"/>
  <c r="B13" i="11"/>
  <c r="S25" i="18" s="1"/>
  <c r="D13" i="11"/>
  <c r="U25" i="18" s="1"/>
  <c r="C14" i="11"/>
  <c r="T26" i="18" s="1"/>
  <c r="B14" i="11"/>
  <c r="S26" i="18" s="1"/>
  <c r="D14" i="11"/>
  <c r="U26" i="18" s="1"/>
  <c r="D7" i="11"/>
  <c r="U19" i="18" s="1"/>
  <c r="B7" i="11"/>
  <c r="S19" i="18" s="1"/>
  <c r="C7" i="11"/>
  <c r="T19" i="18" s="1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8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  <author>tc={D2699E04-0851-4D4C-8020-4EADA78C466D}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<sst xmlns="http://schemas.openxmlformats.org/spreadsheetml/2006/main" count="4408" uniqueCount="217">
  <si>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</si>
  <si>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</si>
  <si>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</si>
  <si>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</si>
  <si>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</si>
  <si>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</si>
  <si>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</si>
  <si>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</si>
  <si>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</si>
  <si>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</si>
  <si>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</si>
  <si>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</si>
  <si>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</si>
  <si>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</si>
  <si>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</si>
  <si>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</si>
  <si>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</si>
  <si>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</si>
  <si>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</si>
  <si>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</si>
  <si>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</si>
  <si>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</si>
  <si>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</si>
  <si>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</si>
  <si>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</si>
  <si>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</si>
  <si>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</si>
  <si>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</si>
  <si>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</si>
  <si>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</si>
  <si>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</si>
  <si>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</si>
  <si>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</si>
  <si>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</si>
  <si>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</si>
  <si>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</si>
  <si>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</si>
  <si>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</si>
  <si>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</si>
  <si>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</si>
  <si>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</si>
  <si>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</si>
  <si>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</si>
  <si>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</si>
  <si>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</si>
  <si>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</si>
  <si>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</si>
  <si>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</si>
  <si>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</si>
  <si>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</si>
  <si>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</si>
  <si>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</si>
  <si>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</si>
  <si>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</si>
  <si>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</si>
  <si>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</si>
  <si>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</si>
  <si>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</si>
  <si>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</si>
  <si>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</si>
  <si>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</si>
  <si>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</si>
  <si>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</si>
  <si>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</si>
  <si>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</si>
  <si>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</si>
  <si>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</si>
  <si>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</si>
  <si>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</si>
  <si>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</si>
  <si>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</si>
  <si>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</si>
  <si>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</si>
  <si>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</si>
  <si>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</si>
  <si>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</si>
  <si>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</si>
  <si>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</si>
  <si>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</si>
  <si>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</si>
  <si>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</si>
  <si>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</si>
  <si>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</si>
  <si>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</si>
  <si>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</si>
  <si>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</si>
  <si>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</si>
  <si>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</si>
  <si>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</si>
  <si>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</si>
  <si>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</si>
  <si>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</si>
  <si>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</si>
  <si>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</si>
  <si>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</si>
  <si>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</si>
  <si>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</si>
  <si>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</si>
  <si>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</si>
  <si>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</si>
  <si>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</si>
  <si>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</si>
  <si>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</si>
  <si>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</si>
  <si>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</si>
  <si>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</si>
  <si>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</si>
  <si>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</si>
  <si>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</si>
  <si>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</si>
  <si>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</si>
  <si>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</si>
  <si>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</si>
  <si>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</si>
  <si>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</si>
  <si>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</si>
  <si>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</si>
  <si>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</si>
  <si>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</si>
  <si>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</si>
  <si>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</si>
  <si>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</si>
  <si>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</si>
  <si>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</si>
  <si>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</si>
  <si>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</si>
  <si>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</si>
  <si>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</si>
  <si>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</si>
  <si>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</si>
  <si>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</si>
  <si>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</si>
  <si>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</si>
  <si>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</si>
  <si>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</si>
  <si>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</si>
  <si>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</si>
  <si>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</si>
  <si>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</si>
  <si>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</si>
  <si>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</si>
  <si>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</si>
  <si>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</si>
  <si>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</si>
  <si>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</si>
  <si>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</si>
  <si>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</si>
  <si>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</si>
  <si>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</si>
  <si>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</si>
  <si>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</si>
  <si>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</si>
  <si>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</si>
  <si>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</si>
  <si>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</si>
  <si>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</si>
  <si>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</si>
  <si>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</si>
  <si>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</si>
  <si>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</si>
  <si>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</si>
  <si>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</si>
  <si>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</si>
  <si>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</si>
  <si>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</si>
  <si>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</si>
  <si>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</si>
  <si>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</si>
  <si>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</si>
  <si>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</si>
  <si>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</si>
  <si>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</si>
  <si>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</si>
  <si>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</si>
  <si>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</si>
  <si>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</si>
  <si>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</si>
  <si>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</si>
  <si>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</si>
  <si>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</si>
  <si>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</si>
  <si>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</si>
  <si>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</si>
  <si>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</si>
  <si>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</si>
  <si>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</si>
  <si>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</si>
  <si>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</si>
  <si>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</si>
  <si>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</si>
  <si>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</si>
  <si>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</si>
  <si>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</si>
  <si>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</si>
  <si>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</si>
  <si>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</si>
  <si>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</si>
  <si>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</si>
  <si>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</si>
  <si>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</si>
  <si>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</si>
  <si>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</si>
  <si>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</si>
  <si>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</si>
  <si>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</si>
  <si>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</si>
  <si>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</si>
  <si>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</si>
  <si>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</si>
  <si>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</si>
  <si>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</si>
  <si>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</si>
  <si>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CO2 price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</si>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</sst>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9"/>
      <color indexed="81"/>
      <name val="Tahoma"/>
      <family val="2"/>
    </font>
    <font>
      <sz val="10"/>
      <color rgb="FFCC7832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3" fillId="10" borderId="0" applyNumberFormat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7" fillId="8" borderId="3" xfId="3" applyBorder="1"/>
    <xf numFmtId="0" fontId="5" fillId="0" borderId="0" xfId="0" applyFont="1" applyBorder="1" applyAlignment="1">
      <alignment horizontal="center" vertical="top"/>
    </xf>
    <xf numFmtId="0" fontId="13" fillId="10" borderId="0" xfId="4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8" fontId="0" fillId="0" borderId="0" xfId="0" applyNumberFormat="1"/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13" fillId="10" borderId="0" xfId="4" applyAlignment="1">
      <alignment vertical="center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curve'!$N$47:$N$55</c:f>
              <c:numCache>
                <c:formatCode>General</c:formatCode>
                <c:ptCount val="9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curve'!$O$46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curve'!$O$47:$O$55</c:f>
              <c:numCache>
                <c:formatCode>General</c:formatCode>
                <c:ptCount val="9"/>
                <c:pt idx="0">
                  <c:v>115845.77604968616</c:v>
                </c:pt>
                <c:pt idx="1">
                  <c:v>154169.22973624378</c:v>
                </c:pt>
                <c:pt idx="2">
                  <c:v>192492.68342280138</c:v>
                </c:pt>
                <c:pt idx="3">
                  <c:v>230816.137109359</c:v>
                </c:pt>
                <c:pt idx="4">
                  <c:v>269139.59079591662</c:v>
                </c:pt>
                <c:pt idx="5">
                  <c:v>307463.04448247422</c:v>
                </c:pt>
                <c:pt idx="6">
                  <c:v>345786.49816903187</c:v>
                </c:pt>
                <c:pt idx="7">
                  <c:v>384109.95185558952</c:v>
                </c:pt>
                <c:pt idx="8">
                  <c:v>422433.40554214711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curve'!$P$47:$P$55</c:f>
              <c:numCache>
                <c:formatCode>General</c:formatCode>
                <c:ptCount val="9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3"/>
          <c:order val="3"/>
          <c:tx>
            <c:strRef>
              <c:f>'screening curve'!$Q$46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curve'!$Q$47:$Q$55</c:f>
              <c:numCache>
                <c:formatCode>General</c:formatCode>
                <c:ptCount val="9"/>
                <c:pt idx="0">
                  <c:v>49113.867432207924</c:v>
                </c:pt>
                <c:pt idx="1">
                  <c:v>49113.867432207924</c:v>
                </c:pt>
                <c:pt idx="2">
                  <c:v>49113.867432207924</c:v>
                </c:pt>
                <c:pt idx="3">
                  <c:v>49113.867432207924</c:v>
                </c:pt>
                <c:pt idx="4">
                  <c:v>49113.867432207924</c:v>
                </c:pt>
                <c:pt idx="5">
                  <c:v>49113.867432207924</c:v>
                </c:pt>
                <c:pt idx="6">
                  <c:v>49113.867432207924</c:v>
                </c:pt>
                <c:pt idx="7">
                  <c:v>49113.867432207924</c:v>
                </c:pt>
                <c:pt idx="8">
                  <c:v>49113.867432207924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4-435D-BFD9-F336B33AB706}"/>
            </c:ext>
          </c:extLst>
        </c:ser>
        <c:ser>
          <c:idx val="4"/>
          <c:order val="4"/>
          <c:tx>
            <c:strRef>
              <c:f>'screening curve'!$R$46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curve'!$R$47:$R$55</c:f>
              <c:numCache>
                <c:formatCode>General</c:formatCode>
                <c:ptCount val="9"/>
                <c:pt idx="0">
                  <c:v>240785.94912758347</c:v>
                </c:pt>
                <c:pt idx="1">
                  <c:v>241595.94912758347</c:v>
                </c:pt>
                <c:pt idx="2">
                  <c:v>242405.94912758347</c:v>
                </c:pt>
                <c:pt idx="3">
                  <c:v>243215.94912758347</c:v>
                </c:pt>
                <c:pt idx="4">
                  <c:v>244025.94912758347</c:v>
                </c:pt>
                <c:pt idx="5">
                  <c:v>244835.94912758347</c:v>
                </c:pt>
                <c:pt idx="6">
                  <c:v>245645.94912758347</c:v>
                </c:pt>
                <c:pt idx="7">
                  <c:v>246455.94912758347</c:v>
                </c:pt>
                <c:pt idx="8">
                  <c:v>247265.94912758347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F4-435D-BFD9-F336B33AB706}"/>
            </c:ext>
          </c:extLst>
        </c:ser>
        <c:ser>
          <c:idx val="5"/>
          <c:order val="5"/>
          <c:tx>
            <c:strRef>
              <c:f>'screening curve'!$S$46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curve'!$S$47:$S$55</c:f>
              <c:numCache>
                <c:formatCode>General</c:formatCode>
                <c:ptCount val="9"/>
                <c:pt idx="0">
                  <c:v>138574.7950776217</c:v>
                </c:pt>
                <c:pt idx="1">
                  <c:v>138979.7950776217</c:v>
                </c:pt>
                <c:pt idx="2">
                  <c:v>139384.7950776217</c:v>
                </c:pt>
                <c:pt idx="3">
                  <c:v>139789.7950776217</c:v>
                </c:pt>
                <c:pt idx="4">
                  <c:v>140194.7950776217</c:v>
                </c:pt>
                <c:pt idx="5">
                  <c:v>140599.7950776217</c:v>
                </c:pt>
                <c:pt idx="6">
                  <c:v>141004.7950776217</c:v>
                </c:pt>
                <c:pt idx="7">
                  <c:v>141409.7950776217</c:v>
                </c:pt>
                <c:pt idx="8">
                  <c:v>141814.7950776217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F4-435D-BFD9-F336B33AB706}"/>
            </c:ext>
          </c:extLst>
        </c:ser>
        <c:ser>
          <c:idx val="6"/>
          <c:order val="6"/>
          <c:tx>
            <c:strRef>
              <c:f>'screening curve'!$T$46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curve'!$T$47:$T$55</c:f>
              <c:numCache>
                <c:formatCode>General</c:formatCode>
                <c:ptCount val="9"/>
                <c:pt idx="0">
                  <c:v>33898.533435403006</c:v>
                </c:pt>
                <c:pt idx="1">
                  <c:v>34438.533435403006</c:v>
                </c:pt>
                <c:pt idx="2">
                  <c:v>34978.533435403006</c:v>
                </c:pt>
                <c:pt idx="3">
                  <c:v>35518.533435403006</c:v>
                </c:pt>
                <c:pt idx="4">
                  <c:v>36058.533435403006</c:v>
                </c:pt>
                <c:pt idx="5">
                  <c:v>36598.533435403006</c:v>
                </c:pt>
                <c:pt idx="6">
                  <c:v>37138.533435403006</c:v>
                </c:pt>
                <c:pt idx="7">
                  <c:v>37678.533435403006</c:v>
                </c:pt>
                <c:pt idx="8">
                  <c:v>38218.533435403006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F4-435D-BFD9-F336B33AB706}"/>
            </c:ext>
          </c:extLst>
        </c:ser>
        <c:ser>
          <c:idx val="7"/>
          <c:order val="7"/>
          <c:tx>
            <c:strRef>
              <c:f>'screening curve'!$U$46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curve'!$U$47:$U$55</c:f>
              <c:numCache>
                <c:formatCode>General</c:formatCode>
                <c:ptCount val="9"/>
                <c:pt idx="0">
                  <c:v>127295.09790316071</c:v>
                </c:pt>
                <c:pt idx="1">
                  <c:v>169953.0351650478</c:v>
                </c:pt>
                <c:pt idx="2">
                  <c:v>212610.97242693487</c:v>
                </c:pt>
                <c:pt idx="3">
                  <c:v>255268.90968882194</c:v>
                </c:pt>
                <c:pt idx="4">
                  <c:v>297926.846950709</c:v>
                </c:pt>
                <c:pt idx="5">
                  <c:v>340584.78421259607</c:v>
                </c:pt>
                <c:pt idx="6">
                  <c:v>383242.72147448314</c:v>
                </c:pt>
                <c:pt idx="7">
                  <c:v>425900.65873637021</c:v>
                </c:pt>
                <c:pt idx="8">
                  <c:v>468558.59599825728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8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curve'!$N$47:$N$76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  <c:pt idx="9">
                  <c:v>704390.09871894284</c:v>
                </c:pt>
                <c:pt idx="10">
                  <c:v>741367.86570923415</c:v>
                </c:pt>
                <c:pt idx="11">
                  <c:v>778345.63269952533</c:v>
                </c:pt>
                <c:pt idx="12">
                  <c:v>815323.39968981664</c:v>
                </c:pt>
                <c:pt idx="13">
                  <c:v>852301.16668010794</c:v>
                </c:pt>
                <c:pt idx="14">
                  <c:v>889278.93367039924</c:v>
                </c:pt>
                <c:pt idx="15">
                  <c:v>926256.70066069043</c:v>
                </c:pt>
                <c:pt idx="16">
                  <c:v>963234.46765098174</c:v>
                </c:pt>
                <c:pt idx="17">
                  <c:v>1000212.234641273</c:v>
                </c:pt>
                <c:pt idx="18">
                  <c:v>1037190.0016315642</c:v>
                </c:pt>
                <c:pt idx="19">
                  <c:v>1074167.7686218554</c:v>
                </c:pt>
                <c:pt idx="20">
                  <c:v>1111145.5356121468</c:v>
                </c:pt>
                <c:pt idx="21">
                  <c:v>1148123.302602438</c:v>
                </c:pt>
                <c:pt idx="22">
                  <c:v>1185101.0695927292</c:v>
                </c:pt>
                <c:pt idx="23">
                  <c:v>1222078.8365830206</c:v>
                </c:pt>
                <c:pt idx="24">
                  <c:v>1259056.6035733118</c:v>
                </c:pt>
                <c:pt idx="25">
                  <c:v>1296034.370563603</c:v>
                </c:pt>
                <c:pt idx="26">
                  <c:v>1333012.1375538944</c:v>
                </c:pt>
                <c:pt idx="27">
                  <c:v>1369989.9045441856</c:v>
                </c:pt>
                <c:pt idx="28">
                  <c:v>1406967.671534477</c:v>
                </c:pt>
                <c:pt idx="29">
                  <c:v>1443945.4385247682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curve'!$P$47:$P$76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  <c:pt idx="9">
                  <c:v>539244.96308106161</c:v>
                </c:pt>
                <c:pt idx="10">
                  <c:v>593173.35086896888</c:v>
                </c:pt>
                <c:pt idx="11">
                  <c:v>647101.73865687614</c:v>
                </c:pt>
                <c:pt idx="12">
                  <c:v>701030.12644478353</c:v>
                </c:pt>
                <c:pt idx="13">
                  <c:v>754958.5142326908</c:v>
                </c:pt>
                <c:pt idx="14">
                  <c:v>808886.90202059818</c:v>
                </c:pt>
                <c:pt idx="15">
                  <c:v>862815.28980850545</c:v>
                </c:pt>
                <c:pt idx="16">
                  <c:v>916743.67759641272</c:v>
                </c:pt>
                <c:pt idx="17">
                  <c:v>970672.0653843201</c:v>
                </c:pt>
                <c:pt idx="18">
                  <c:v>1024600.4531722274</c:v>
                </c:pt>
                <c:pt idx="19">
                  <c:v>1078528.8409601348</c:v>
                </c:pt>
                <c:pt idx="20">
                  <c:v>1132457.2287480421</c:v>
                </c:pt>
                <c:pt idx="21">
                  <c:v>1186385.6165359495</c:v>
                </c:pt>
                <c:pt idx="22">
                  <c:v>1240314.0043238567</c:v>
                </c:pt>
                <c:pt idx="23">
                  <c:v>1294242.3921117641</c:v>
                </c:pt>
                <c:pt idx="24">
                  <c:v>1348170.7798996714</c:v>
                </c:pt>
                <c:pt idx="25">
                  <c:v>1402099.1676875788</c:v>
                </c:pt>
                <c:pt idx="26">
                  <c:v>1456027.555475486</c:v>
                </c:pt>
                <c:pt idx="27">
                  <c:v>1509955.9432633934</c:v>
                </c:pt>
                <c:pt idx="28">
                  <c:v>1563884.3310513007</c:v>
                </c:pt>
                <c:pt idx="29">
                  <c:v>1617812.7188392079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101852</xdr:colOff>
      <xdr:row>35</xdr:row>
      <xdr:rowOff>14329</xdr:rowOff>
    </xdr:from>
    <xdr:to>
      <xdr:col>45</xdr:col>
      <xdr:colOff>524502</xdr:colOff>
      <xdr:row>69</xdr:row>
      <xdr:rowOff>8268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6</xdr:row>
      <xdr:rowOff>83415</xdr:rowOff>
    </xdr:from>
    <xdr:to>
      <xdr:col>40</xdr:col>
      <xdr:colOff>311727</xdr:colOff>
      <xdr:row>29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87" zoomScaleNormal="87" workbookViewId="0">
      <selection activeCell="H5" sqref="H5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s="29"/>
      <c r="O1" s="29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Q2" s="9">
        <v>0.15</v>
      </c>
      <c r="S2" s="9">
        <v>21</v>
      </c>
      <c r="X2" s="9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Q3">
        <v>0.15</v>
      </c>
      <c r="S3">
        <v>21</v>
      </c>
      <c r="X3">
        <v>39.369999999999997</v>
      </c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Q8" s="9">
        <v>0.4</v>
      </c>
      <c r="S8" s="9">
        <v>14</v>
      </c>
      <c r="X8" s="9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Q9" s="9">
        <v>0.4</v>
      </c>
      <c r="S9" s="9">
        <v>14</v>
      </c>
      <c r="X9" s="9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X18" s="9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P38" s="9">
        <v>24</v>
      </c>
      <c r="Q38" s="9">
        <v>0.4</v>
      </c>
      <c r="R38" s="9">
        <v>24</v>
      </c>
      <c r="T38" s="9">
        <v>4.07</v>
      </c>
      <c r="U38" s="9">
        <v>63</v>
      </c>
      <c r="V38" s="9">
        <v>6.6666666666666662E-3</v>
      </c>
      <c r="X38" s="9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Q41" s="9">
        <v>0.2</v>
      </c>
      <c r="S41" s="9">
        <v>0.75</v>
      </c>
      <c r="W41" s="9">
        <v>43</v>
      </c>
      <c r="X41" s="9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X46" s="9">
        <v>8</v>
      </c>
      <c r="Y46" s="9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X50" s="9">
        <v>15</v>
      </c>
      <c r="Y50" s="9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X51" s="9">
        <v>5</v>
      </c>
      <c r="Y51" s="9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1"/>
      <c r="C53" s="21"/>
      <c r="G53" s="11"/>
    </row>
    <row r="54" spans="1:115">
      <c r="G54" s="11"/>
    </row>
    <row r="55" spans="1:115">
      <c r="G55" s="11"/>
    </row>
    <row r="56" spans="1:115">
      <c r="B56" s="11"/>
      <c r="G56" s="11"/>
    </row>
    <row r="57" spans="1:115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opLeftCell="A4" zoomScale="85" zoomScaleNormal="85" workbookViewId="0">
      <selection activeCell="I29" sqref="I29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9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9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9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9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9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9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9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9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9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9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9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9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9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9" t="s">
        <v>167</v>
      </c>
      <c r="C25" s="8" t="s">
        <v>83</v>
      </c>
      <c r="D25" s="9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20" t="s">
        <v>166</v>
      </c>
      <c r="C55" s="9" t="s">
        <v>101</v>
      </c>
      <c r="D55" s="9">
        <v>1</v>
      </c>
    </row>
    <row r="56" spans="1:4">
      <c r="A56" s="8" t="s">
        <v>85</v>
      </c>
      <c r="B56" s="20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20" t="s">
        <v>166</v>
      </c>
      <c r="C57" s="8" t="s">
        <v>83</v>
      </c>
      <c r="D57" s="8">
        <v>30.24</v>
      </c>
    </row>
    <row r="58" spans="1:4">
      <c r="A58" s="8" t="s">
        <v>87</v>
      </c>
      <c r="B58" s="20" t="s">
        <v>166</v>
      </c>
      <c r="C58" s="8" t="s">
        <v>83</v>
      </c>
      <c r="D58" s="8">
        <v>46.44</v>
      </c>
    </row>
    <row r="59" spans="1:4">
      <c r="A59" s="8" t="s">
        <v>88</v>
      </c>
      <c r="B59" s="20" t="s">
        <v>166</v>
      </c>
      <c r="C59" s="8" t="s">
        <v>83</v>
      </c>
      <c r="D59" s="8">
        <v>3.96</v>
      </c>
    </row>
    <row r="60" spans="1:4">
      <c r="A60" s="8" t="s">
        <v>11</v>
      </c>
      <c r="B60" s="20" t="s">
        <v>166</v>
      </c>
      <c r="C60" s="8" t="s">
        <v>83</v>
      </c>
      <c r="D60" s="8">
        <v>22.18</v>
      </c>
    </row>
    <row r="61" spans="1:4">
      <c r="A61" s="8" t="s">
        <v>89</v>
      </c>
      <c r="B61" s="20" t="s">
        <v>166</v>
      </c>
      <c r="C61" s="8" t="s">
        <v>83</v>
      </c>
      <c r="D61" s="8">
        <v>20.16</v>
      </c>
    </row>
    <row r="62" spans="1:4">
      <c r="A62" s="8" t="s">
        <v>90</v>
      </c>
      <c r="B62" s="20" t="s">
        <v>166</v>
      </c>
      <c r="C62" s="8" t="s">
        <v>83</v>
      </c>
      <c r="D62" s="8">
        <v>1.69</v>
      </c>
    </row>
    <row r="63" spans="1:4">
      <c r="A63" s="8" t="s">
        <v>91</v>
      </c>
      <c r="B63" s="20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20" t="s">
        <v>166</v>
      </c>
      <c r="C64" s="8" t="s">
        <v>83</v>
      </c>
      <c r="D64" s="8">
        <v>10.8</v>
      </c>
    </row>
    <row r="65" spans="1:4">
      <c r="A65" s="8" t="s">
        <v>81</v>
      </c>
      <c r="B65" s="20" t="s">
        <v>166</v>
      </c>
      <c r="C65" s="8" t="s">
        <v>83</v>
      </c>
      <c r="D65" s="8">
        <v>7.5</v>
      </c>
    </row>
    <row r="66" spans="1:4">
      <c r="A66" s="8" t="s">
        <v>82</v>
      </c>
      <c r="B66" s="20" t="s">
        <v>166</v>
      </c>
      <c r="C66" s="8" t="s">
        <v>83</v>
      </c>
      <c r="D66" s="9">
        <v>37.5</v>
      </c>
    </row>
    <row r="67" spans="1:4">
      <c r="A67" s="8" t="s">
        <v>80</v>
      </c>
      <c r="B67" s="20" t="s">
        <v>166</v>
      </c>
      <c r="C67" s="8" t="s">
        <v>83</v>
      </c>
      <c r="D67" s="8">
        <v>82.5</v>
      </c>
    </row>
    <row r="68" spans="1:4">
      <c r="A68" s="8" t="s">
        <v>75</v>
      </c>
      <c r="B68" s="20" t="s">
        <v>166</v>
      </c>
      <c r="C68" s="8" t="s">
        <v>83</v>
      </c>
      <c r="D68" s="8">
        <v>69</v>
      </c>
    </row>
    <row r="69" spans="1:4">
      <c r="A69" s="8" t="s">
        <v>79</v>
      </c>
      <c r="B69" s="20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7"/>
  <sheetViews>
    <sheetView tabSelected="1" zoomScale="55" zoomScaleNormal="55" workbookViewId="0">
      <selection activeCell="S26" sqref="S26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19">
      <c r="B1" t="s">
        <v>207</v>
      </c>
      <c r="S1" t="s">
        <v>208</v>
      </c>
    </row>
    <row r="2" spans="1:19">
      <c r="A2" t="s">
        <v>206</v>
      </c>
      <c r="B2" s="8" t="s">
        <v>85</v>
      </c>
      <c r="C2" s="8" t="s">
        <v>86</v>
      </c>
      <c r="D2" s="8" t="s">
        <v>87</v>
      </c>
      <c r="E2" s="8" t="s">
        <v>88</v>
      </c>
      <c r="F2" s="8" t="s">
        <v>11</v>
      </c>
      <c r="G2" s="8" t="s">
        <v>89</v>
      </c>
      <c r="H2" s="8" t="s">
        <v>90</v>
      </c>
      <c r="I2" s="8" t="s">
        <v>91</v>
      </c>
      <c r="J2" s="8" t="s">
        <v>84</v>
      </c>
      <c r="K2" s="8" t="s">
        <v>81</v>
      </c>
      <c r="L2" s="8" t="s">
        <v>82</v>
      </c>
      <c r="M2" s="8" t="s">
        <v>80</v>
      </c>
      <c r="N2" s="8" t="s">
        <v>75</v>
      </c>
      <c r="O2" s="8" t="s">
        <v>79</v>
      </c>
      <c r="R2" s="8" t="s">
        <v>85</v>
      </c>
      <c r="S2" s="31">
        <v>0.26676</v>
      </c>
    </row>
    <row r="3" spans="1:19">
      <c r="A3" s="30">
        <v>2020</v>
      </c>
      <c r="B3" s="30">
        <f>VLOOKUP(B2,node!$A$55:$D$69,4,0)</f>
        <v>38.159999999999997</v>
      </c>
      <c r="C3" s="30">
        <f>VLOOKUP(C2,node!$A$55:$D$69,4,0)</f>
        <v>30.24</v>
      </c>
      <c r="D3" s="30">
        <f>VLOOKUP(D2,node!$A$55:$D$69,4,0)</f>
        <v>46.44</v>
      </c>
      <c r="E3" s="30">
        <f>VLOOKUP(E2,node!$A$55:$D$69,4,0)</f>
        <v>3.96</v>
      </c>
      <c r="F3" s="30">
        <f>VLOOKUP(F2,node!$A$55:$D$69,4,0)</f>
        <v>22.18</v>
      </c>
      <c r="G3" s="30">
        <f>VLOOKUP(G2,node!$A$55:$D$69,4,0)</f>
        <v>20.16</v>
      </c>
      <c r="H3" s="30">
        <f>VLOOKUP(H2,node!$A$55:$D$69,4,0)</f>
        <v>1.69</v>
      </c>
      <c r="I3" s="30">
        <f>VLOOKUP(I2,node!$A$55:$D$69,4,0)</f>
        <v>8.2799999999999994</v>
      </c>
      <c r="J3" s="30">
        <f>VLOOKUP(J2,node!$A$55:$D$69,4,0)</f>
        <v>10.8</v>
      </c>
      <c r="K3" s="30">
        <f>VLOOKUP(K2,node!$A$55:$D$69,4,0)</f>
        <v>7.5</v>
      </c>
      <c r="L3" s="30">
        <f>VLOOKUP(L2,node!$A$55:$D$69,4,0)</f>
        <v>37.5</v>
      </c>
      <c r="M3" s="30">
        <f>VLOOKUP(M2,node!$A$55:$D$69,4,0)</f>
        <v>82.5</v>
      </c>
      <c r="N3" s="30">
        <f>VLOOKUP(N2,node!$A$55:$D$69,4,0)</f>
        <v>69</v>
      </c>
      <c r="O3" s="30">
        <f>VLOOKUP(O2,node!$A$55:$D$69,4,0)</f>
        <v>22.5</v>
      </c>
      <c r="R3" s="8" t="s">
        <v>86</v>
      </c>
      <c r="S3">
        <v>0</v>
      </c>
    </row>
    <row r="4" spans="1:19">
      <c r="A4" s="30">
        <v>2050</v>
      </c>
      <c r="B4" s="30">
        <f>VLOOKUP(B2,node!$A$11:$D$25,4,0)</f>
        <v>79.69</v>
      </c>
      <c r="C4" s="30">
        <f>VLOOKUP(C2,node!$A$11:$D$25,4,0)</f>
        <v>15</v>
      </c>
      <c r="D4" s="30">
        <f>VLOOKUP(D2,node!$A$11:$D$25,4,0)</f>
        <v>104.96</v>
      </c>
      <c r="E4" s="30">
        <f>VLOOKUP(E2,node!$A$11:$D$25,4,0)</f>
        <v>3.96</v>
      </c>
      <c r="F4" s="30">
        <f>VLOOKUP(F2,node!$A$11:$D$25,4,0)</f>
        <v>46.996000000000002</v>
      </c>
      <c r="G4" s="30">
        <f>VLOOKUP(G2,node!$A$11:$D$25,4,0)</f>
        <v>42.74</v>
      </c>
      <c r="H4" s="30">
        <f>VLOOKUP(H2,node!$A$11:$D$25,4,0)</f>
        <v>1.69</v>
      </c>
      <c r="I4" s="30">
        <f>VLOOKUP(I2,node!$A$11:$D$25,4,0)</f>
        <v>8.2799999999999994</v>
      </c>
      <c r="J4" s="30">
        <f>VLOOKUP(J2,node!$A$11:$D$25,4,0)</f>
        <v>11.37</v>
      </c>
      <c r="K4" s="30">
        <f>VLOOKUP(K2,node!$A$11:$D$25,4,0)</f>
        <v>7.5</v>
      </c>
      <c r="L4" s="30">
        <f>VLOOKUP(L2,node!$A$11:$D$25,4,0)</f>
        <v>37.5</v>
      </c>
      <c r="M4" s="30">
        <f>VLOOKUP(M2,node!$A$11:$D$25,4,0)</f>
        <v>82.5</v>
      </c>
      <c r="N4" s="30">
        <f>VLOOKUP(N2,node!$A$11:$D$25,4,0)</f>
        <v>69</v>
      </c>
      <c r="O4" s="30">
        <f>VLOOKUP(O2,node!$A$11:$D$25,4,0)</f>
        <v>22.5</v>
      </c>
      <c r="R4" s="8" t="s">
        <v>87</v>
      </c>
      <c r="S4">
        <v>0</v>
      </c>
    </row>
    <row r="5" spans="1:19">
      <c r="R5" s="8" t="s">
        <v>88</v>
      </c>
      <c r="S5" s="31">
        <v>0.36399999999999999</v>
      </c>
    </row>
    <row r="6" spans="1:19">
      <c r="A6">
        <f>A3</f>
        <v>2020</v>
      </c>
      <c r="B6">
        <f>B3</f>
        <v>38.159999999999997</v>
      </c>
      <c r="C6">
        <f t="shared" ref="B6:O6" si="0">C3</f>
        <v>30.24</v>
      </c>
      <c r="D6">
        <f t="shared" si="0"/>
        <v>46.44</v>
      </c>
      <c r="E6">
        <f t="shared" si="0"/>
        <v>3.96</v>
      </c>
      <c r="F6">
        <f t="shared" si="0"/>
        <v>22.18</v>
      </c>
      <c r="G6">
        <f t="shared" si="0"/>
        <v>20.16</v>
      </c>
      <c r="H6">
        <f t="shared" si="0"/>
        <v>1.69</v>
      </c>
      <c r="I6">
        <f t="shared" si="0"/>
        <v>8.2799999999999994</v>
      </c>
      <c r="J6">
        <f t="shared" si="0"/>
        <v>10.8</v>
      </c>
      <c r="K6">
        <f t="shared" si="0"/>
        <v>7.5</v>
      </c>
      <c r="L6">
        <f t="shared" si="0"/>
        <v>37.5</v>
      </c>
      <c r="M6">
        <f t="shared" si="0"/>
        <v>82.5</v>
      </c>
      <c r="N6">
        <f t="shared" si="0"/>
        <v>69</v>
      </c>
      <c r="O6">
        <f t="shared" si="0"/>
        <v>22.5</v>
      </c>
      <c r="R6" s="8" t="s">
        <v>11</v>
      </c>
      <c r="S6">
        <v>0</v>
      </c>
    </row>
    <row r="7" spans="1:19">
      <c r="A7">
        <v>2021</v>
      </c>
      <c r="B7">
        <f>_xlfn.FORECAST.LINEAR($A7,B$3:B$4,$A$3:$A$4)</f>
        <v>39.544333333333725</v>
      </c>
      <c r="C7">
        <f t="shared" ref="C7:O22" si="1">_xlfn.FORECAST.LINEAR($A7,C$3:C$4,$A$3:$A$4)</f>
        <v>29.731999999999744</v>
      </c>
      <c r="D7">
        <f t="shared" si="1"/>
        <v>48.39066666666622</v>
      </c>
      <c r="E7">
        <f t="shared" si="1"/>
        <v>3.96</v>
      </c>
      <c r="F7">
        <f t="shared" si="1"/>
        <v>23.007200000000012</v>
      </c>
      <c r="G7">
        <f t="shared" si="1"/>
        <v>20.91266666666661</v>
      </c>
      <c r="H7">
        <f t="shared" si="1"/>
        <v>1.69</v>
      </c>
      <c r="I7">
        <f t="shared" si="1"/>
        <v>8.2799999999999994</v>
      </c>
      <c r="J7">
        <f t="shared" si="1"/>
        <v>10.819000000000003</v>
      </c>
      <c r="K7">
        <f t="shared" si="1"/>
        <v>7.5</v>
      </c>
      <c r="L7">
        <f t="shared" si="1"/>
        <v>37.5</v>
      </c>
      <c r="M7">
        <f t="shared" si="1"/>
        <v>82.5</v>
      </c>
      <c r="N7">
        <f t="shared" si="1"/>
        <v>69</v>
      </c>
      <c r="O7">
        <f t="shared" si="1"/>
        <v>22.5</v>
      </c>
      <c r="R7" s="8" t="s">
        <v>89</v>
      </c>
      <c r="S7" s="31">
        <v>0.20195983840000001</v>
      </c>
    </row>
    <row r="8" spans="1:19">
      <c r="A8">
        <v>2022</v>
      </c>
      <c r="B8">
        <f t="shared" ref="B8:O35" si="2">_xlfn.FORECAST.LINEAR($A8,B$3:B$4,$A$3:$A$4)</f>
        <v>40.928666666667141</v>
      </c>
      <c r="C8">
        <f t="shared" si="1"/>
        <v>29.223999999999933</v>
      </c>
      <c r="D8">
        <f t="shared" si="1"/>
        <v>50.341333333332841</v>
      </c>
      <c r="E8">
        <f t="shared" si="1"/>
        <v>3.96</v>
      </c>
      <c r="F8">
        <f t="shared" si="1"/>
        <v>23.83439999999996</v>
      </c>
      <c r="G8">
        <f t="shared" si="1"/>
        <v>21.665333333333365</v>
      </c>
      <c r="H8">
        <f t="shared" si="1"/>
        <v>1.69</v>
      </c>
      <c r="I8">
        <f t="shared" si="1"/>
        <v>8.2799999999999994</v>
      </c>
      <c r="J8">
        <f t="shared" si="1"/>
        <v>10.838000000000001</v>
      </c>
      <c r="K8">
        <f t="shared" si="1"/>
        <v>7.5</v>
      </c>
      <c r="L8">
        <f t="shared" si="1"/>
        <v>37.5</v>
      </c>
      <c r="M8">
        <f t="shared" si="1"/>
        <v>82.5</v>
      </c>
      <c r="N8">
        <f t="shared" si="1"/>
        <v>69</v>
      </c>
      <c r="O8">
        <f t="shared" si="1"/>
        <v>22.5</v>
      </c>
      <c r="R8" s="8" t="s">
        <v>90</v>
      </c>
      <c r="S8">
        <v>0</v>
      </c>
    </row>
    <row r="9" spans="1:19">
      <c r="A9">
        <v>2023</v>
      </c>
      <c r="B9">
        <f t="shared" si="2"/>
        <v>42.313000000000557</v>
      </c>
      <c r="C9">
        <f t="shared" si="1"/>
        <v>28.715999999999894</v>
      </c>
      <c r="D9">
        <f t="shared" si="1"/>
        <v>52.291999999999462</v>
      </c>
      <c r="E9">
        <f t="shared" si="1"/>
        <v>3.96</v>
      </c>
      <c r="F9">
        <f t="shared" si="1"/>
        <v>24.661599999999908</v>
      </c>
      <c r="G9">
        <f t="shared" si="1"/>
        <v>22.41800000000012</v>
      </c>
      <c r="H9">
        <f t="shared" si="1"/>
        <v>1.69</v>
      </c>
      <c r="I9">
        <f t="shared" si="1"/>
        <v>8.2799999999999994</v>
      </c>
      <c r="J9">
        <f t="shared" si="1"/>
        <v>10.856999999999999</v>
      </c>
      <c r="K9">
        <f t="shared" si="1"/>
        <v>7.5</v>
      </c>
      <c r="L9">
        <f t="shared" si="1"/>
        <v>37.5</v>
      </c>
      <c r="M9">
        <f t="shared" si="1"/>
        <v>82.5</v>
      </c>
      <c r="N9">
        <f t="shared" si="1"/>
        <v>69</v>
      </c>
      <c r="O9">
        <f t="shared" si="1"/>
        <v>22.5</v>
      </c>
      <c r="R9" s="8" t="s">
        <v>91</v>
      </c>
      <c r="S9">
        <f>S7</f>
        <v>0.20195983840000001</v>
      </c>
    </row>
    <row r="10" spans="1:19">
      <c r="A10">
        <v>2024</v>
      </c>
      <c r="B10">
        <f t="shared" si="2"/>
        <v>43.697333333333518</v>
      </c>
      <c r="C10">
        <f t="shared" si="1"/>
        <v>28.207999999999856</v>
      </c>
      <c r="D10">
        <f t="shared" si="1"/>
        <v>54.242666666666537</v>
      </c>
      <c r="E10">
        <f t="shared" si="1"/>
        <v>3.96</v>
      </c>
      <c r="F10">
        <f t="shared" si="1"/>
        <v>25.488800000000083</v>
      </c>
      <c r="G10">
        <f t="shared" si="1"/>
        <v>23.170666666666648</v>
      </c>
      <c r="H10">
        <f t="shared" si="1"/>
        <v>1.69</v>
      </c>
      <c r="I10">
        <f t="shared" si="1"/>
        <v>8.2799999999999994</v>
      </c>
      <c r="J10">
        <f t="shared" si="1"/>
        <v>10.876000000000005</v>
      </c>
      <c r="K10">
        <f t="shared" si="1"/>
        <v>7.5</v>
      </c>
      <c r="L10">
        <f t="shared" si="1"/>
        <v>37.5</v>
      </c>
      <c r="M10">
        <f t="shared" si="1"/>
        <v>82.5</v>
      </c>
      <c r="N10">
        <f t="shared" si="1"/>
        <v>69</v>
      </c>
      <c r="O10">
        <f t="shared" si="1"/>
        <v>22.5</v>
      </c>
      <c r="R10" s="8" t="s">
        <v>84</v>
      </c>
      <c r="S10" s="31">
        <v>0.34055972755000002</v>
      </c>
    </row>
    <row r="11" spans="1:19">
      <c r="A11">
        <v>2025</v>
      </c>
      <c r="B11">
        <f t="shared" si="2"/>
        <v>45.081666666666933</v>
      </c>
      <c r="C11">
        <f t="shared" si="1"/>
        <v>27.699999999999818</v>
      </c>
      <c r="D11">
        <f t="shared" si="1"/>
        <v>56.193333333333157</v>
      </c>
      <c r="E11">
        <f t="shared" si="1"/>
        <v>3.96</v>
      </c>
      <c r="F11">
        <f t="shared" si="1"/>
        <v>26.316000000000031</v>
      </c>
      <c r="G11">
        <f t="shared" si="1"/>
        <v>23.923333333333403</v>
      </c>
      <c r="H11">
        <f t="shared" si="1"/>
        <v>1.69</v>
      </c>
      <c r="I11">
        <f t="shared" si="1"/>
        <v>8.2799999999999994</v>
      </c>
      <c r="J11">
        <f t="shared" si="1"/>
        <v>10.895000000000003</v>
      </c>
      <c r="K11">
        <f t="shared" si="1"/>
        <v>7.5</v>
      </c>
      <c r="L11">
        <f t="shared" si="1"/>
        <v>37.5</v>
      </c>
      <c r="M11">
        <f t="shared" si="1"/>
        <v>82.5</v>
      </c>
      <c r="N11">
        <f t="shared" si="1"/>
        <v>69</v>
      </c>
      <c r="O11">
        <f t="shared" si="1"/>
        <v>22.5</v>
      </c>
      <c r="R11" s="8" t="s">
        <v>81</v>
      </c>
      <c r="S11">
        <v>0</v>
      </c>
    </row>
    <row r="12" spans="1:19">
      <c r="A12">
        <v>2026</v>
      </c>
      <c r="B12">
        <f t="shared" si="2"/>
        <v>46.466000000000349</v>
      </c>
      <c r="C12">
        <f t="shared" si="1"/>
        <v>27.19199999999978</v>
      </c>
      <c r="D12">
        <f t="shared" si="1"/>
        <v>58.143999999999778</v>
      </c>
      <c r="E12">
        <f t="shared" si="1"/>
        <v>3.96</v>
      </c>
      <c r="F12">
        <f t="shared" si="1"/>
        <v>27.143199999999979</v>
      </c>
      <c r="G12">
        <f t="shared" si="1"/>
        <v>24.676000000000158</v>
      </c>
      <c r="H12">
        <f t="shared" si="1"/>
        <v>1.69</v>
      </c>
      <c r="I12">
        <f t="shared" si="1"/>
        <v>8.2799999999999994</v>
      </c>
      <c r="J12">
        <f t="shared" si="1"/>
        <v>10.914000000000001</v>
      </c>
      <c r="K12">
        <f t="shared" si="1"/>
        <v>7.5</v>
      </c>
      <c r="L12">
        <f t="shared" si="1"/>
        <v>37.5</v>
      </c>
      <c r="M12">
        <f t="shared" si="1"/>
        <v>82.5</v>
      </c>
      <c r="N12">
        <f t="shared" si="1"/>
        <v>69</v>
      </c>
      <c r="O12">
        <f t="shared" si="1"/>
        <v>22.5</v>
      </c>
      <c r="R12" s="8" t="s">
        <v>82</v>
      </c>
      <c r="S12">
        <v>0</v>
      </c>
    </row>
    <row r="13" spans="1:19">
      <c r="A13">
        <v>2027</v>
      </c>
      <c r="B13">
        <f t="shared" si="2"/>
        <v>47.850333333333765</v>
      </c>
      <c r="C13">
        <f t="shared" si="1"/>
        <v>26.683999999999742</v>
      </c>
      <c r="D13">
        <f t="shared" si="1"/>
        <v>60.094666666666399</v>
      </c>
      <c r="E13">
        <f t="shared" si="1"/>
        <v>3.96</v>
      </c>
      <c r="F13">
        <f t="shared" si="1"/>
        <v>27.970399999999927</v>
      </c>
      <c r="G13">
        <f t="shared" si="1"/>
        <v>25.428666666666686</v>
      </c>
      <c r="H13">
        <f t="shared" si="1"/>
        <v>1.69</v>
      </c>
      <c r="I13">
        <f t="shared" si="1"/>
        <v>8.2799999999999994</v>
      </c>
      <c r="J13">
        <f t="shared" si="1"/>
        <v>10.933</v>
      </c>
      <c r="K13">
        <f t="shared" si="1"/>
        <v>7.5</v>
      </c>
      <c r="L13">
        <f t="shared" si="1"/>
        <v>37.5</v>
      </c>
      <c r="M13">
        <f t="shared" si="1"/>
        <v>82.5</v>
      </c>
      <c r="N13">
        <f t="shared" si="1"/>
        <v>69</v>
      </c>
      <c r="O13">
        <f t="shared" si="1"/>
        <v>22.5</v>
      </c>
      <c r="R13" s="8" t="s">
        <v>80</v>
      </c>
      <c r="S13">
        <v>0</v>
      </c>
    </row>
    <row r="14" spans="1:19">
      <c r="A14">
        <v>2028</v>
      </c>
      <c r="B14">
        <f t="shared" si="2"/>
        <v>49.234666666667181</v>
      </c>
      <c r="C14">
        <f t="shared" si="1"/>
        <v>26.175999999999931</v>
      </c>
      <c r="D14">
        <f t="shared" si="1"/>
        <v>62.045333333333019</v>
      </c>
      <c r="E14">
        <f t="shared" si="1"/>
        <v>3.96</v>
      </c>
      <c r="F14">
        <f t="shared" si="1"/>
        <v>28.797599999999875</v>
      </c>
      <c r="G14">
        <f t="shared" si="1"/>
        <v>26.181333333333441</v>
      </c>
      <c r="H14">
        <f t="shared" si="1"/>
        <v>1.69</v>
      </c>
      <c r="I14">
        <f t="shared" si="1"/>
        <v>8.2799999999999994</v>
      </c>
      <c r="J14">
        <f t="shared" si="1"/>
        <v>10.951999999999998</v>
      </c>
      <c r="K14">
        <f t="shared" si="1"/>
        <v>7.5</v>
      </c>
      <c r="L14">
        <f t="shared" si="1"/>
        <v>37.5</v>
      </c>
      <c r="M14">
        <f t="shared" si="1"/>
        <v>82.5</v>
      </c>
      <c r="N14">
        <f t="shared" si="1"/>
        <v>69</v>
      </c>
      <c r="O14">
        <f t="shared" si="1"/>
        <v>22.5</v>
      </c>
      <c r="R14" s="8" t="s">
        <v>75</v>
      </c>
      <c r="S14">
        <v>0</v>
      </c>
    </row>
    <row r="15" spans="1:19">
      <c r="A15">
        <v>2029</v>
      </c>
      <c r="B15">
        <f t="shared" si="2"/>
        <v>50.619000000000142</v>
      </c>
      <c r="C15">
        <f t="shared" si="1"/>
        <v>25.667999999999893</v>
      </c>
      <c r="D15">
        <f t="shared" si="1"/>
        <v>63.99599999999964</v>
      </c>
      <c r="E15">
        <f t="shared" si="1"/>
        <v>3.96</v>
      </c>
      <c r="F15">
        <f t="shared" si="1"/>
        <v>29.62480000000005</v>
      </c>
      <c r="G15">
        <f t="shared" si="1"/>
        <v>26.933999999999969</v>
      </c>
      <c r="H15">
        <f t="shared" si="1"/>
        <v>1.69</v>
      </c>
      <c r="I15">
        <f t="shared" si="1"/>
        <v>8.2799999999999994</v>
      </c>
      <c r="J15">
        <f t="shared" si="1"/>
        <v>10.971000000000004</v>
      </c>
      <c r="K15">
        <f t="shared" si="1"/>
        <v>7.5</v>
      </c>
      <c r="L15">
        <f t="shared" si="1"/>
        <v>37.5</v>
      </c>
      <c r="M15">
        <f t="shared" si="1"/>
        <v>82.5</v>
      </c>
      <c r="N15">
        <f t="shared" si="1"/>
        <v>69</v>
      </c>
      <c r="O15">
        <f t="shared" si="1"/>
        <v>22.5</v>
      </c>
      <c r="R15" s="8" t="s">
        <v>79</v>
      </c>
      <c r="S15">
        <v>0</v>
      </c>
    </row>
    <row r="16" spans="1:19">
      <c r="A16">
        <v>2030</v>
      </c>
      <c r="B16">
        <f t="shared" si="2"/>
        <v>52.003333333333558</v>
      </c>
      <c r="C16">
        <f t="shared" si="1"/>
        <v>25.159999999999854</v>
      </c>
      <c r="D16">
        <f t="shared" si="1"/>
        <v>65.94666666666626</v>
      </c>
      <c r="E16">
        <f t="shared" si="1"/>
        <v>3.96</v>
      </c>
      <c r="F16">
        <f t="shared" si="1"/>
        <v>30.451999999999998</v>
      </c>
      <c r="G16">
        <f t="shared" si="1"/>
        <v>27.686666666666724</v>
      </c>
      <c r="H16">
        <f t="shared" si="1"/>
        <v>1.69</v>
      </c>
      <c r="I16">
        <f t="shared" si="1"/>
        <v>8.2799999999999994</v>
      </c>
      <c r="J16">
        <f t="shared" si="1"/>
        <v>10.990000000000002</v>
      </c>
      <c r="K16">
        <f t="shared" si="1"/>
        <v>7.5</v>
      </c>
      <c r="L16">
        <f t="shared" si="1"/>
        <v>37.5</v>
      </c>
      <c r="M16">
        <f t="shared" si="1"/>
        <v>82.5</v>
      </c>
      <c r="N16">
        <f t="shared" si="1"/>
        <v>69</v>
      </c>
      <c r="O16">
        <f t="shared" si="1"/>
        <v>22.5</v>
      </c>
    </row>
    <row r="17" spans="1:25">
      <c r="A17">
        <v>2031</v>
      </c>
      <c r="B17">
        <f t="shared" si="2"/>
        <v>53.387666666666973</v>
      </c>
      <c r="C17">
        <f t="shared" si="1"/>
        <v>24.651999999999816</v>
      </c>
      <c r="D17">
        <f t="shared" si="1"/>
        <v>67.897333333332881</v>
      </c>
      <c r="E17">
        <f t="shared" si="1"/>
        <v>3.96</v>
      </c>
      <c r="F17">
        <f t="shared" si="1"/>
        <v>31.279199999999946</v>
      </c>
      <c r="G17">
        <f t="shared" si="1"/>
        <v>28.439333333333479</v>
      </c>
      <c r="H17">
        <f t="shared" si="1"/>
        <v>1.69</v>
      </c>
      <c r="I17">
        <f t="shared" si="1"/>
        <v>8.2799999999999994</v>
      </c>
      <c r="J17">
        <f t="shared" si="1"/>
        <v>11.009</v>
      </c>
      <c r="K17">
        <f t="shared" si="1"/>
        <v>7.5</v>
      </c>
      <c r="L17">
        <f t="shared" si="1"/>
        <v>37.5</v>
      </c>
      <c r="M17">
        <f t="shared" si="1"/>
        <v>82.5</v>
      </c>
      <c r="N17">
        <f t="shared" si="1"/>
        <v>69</v>
      </c>
      <c r="O17">
        <f t="shared" si="1"/>
        <v>22.5</v>
      </c>
    </row>
    <row r="18" spans="1:25">
      <c r="A18">
        <v>2032</v>
      </c>
      <c r="B18">
        <f t="shared" si="2"/>
        <v>54.772000000000389</v>
      </c>
      <c r="C18">
        <f t="shared" si="1"/>
        <v>24.143999999999778</v>
      </c>
      <c r="D18">
        <f t="shared" si="1"/>
        <v>69.847999999999502</v>
      </c>
      <c r="E18">
        <f t="shared" si="1"/>
        <v>3.96</v>
      </c>
      <c r="F18">
        <f t="shared" si="1"/>
        <v>32.106399999999894</v>
      </c>
      <c r="G18">
        <f t="shared" si="1"/>
        <v>29.192000000000007</v>
      </c>
      <c r="H18">
        <f t="shared" si="1"/>
        <v>1.69</v>
      </c>
      <c r="I18">
        <f t="shared" si="1"/>
        <v>8.2799999999999994</v>
      </c>
      <c r="J18">
        <f t="shared" si="1"/>
        <v>11.027999999999999</v>
      </c>
      <c r="K18">
        <f t="shared" si="1"/>
        <v>7.5</v>
      </c>
      <c r="L18">
        <f t="shared" si="1"/>
        <v>37.5</v>
      </c>
      <c r="M18">
        <f t="shared" si="1"/>
        <v>82.5</v>
      </c>
      <c r="N18">
        <f t="shared" si="1"/>
        <v>69</v>
      </c>
      <c r="O18">
        <f t="shared" si="1"/>
        <v>22.5</v>
      </c>
      <c r="S18" t="s">
        <v>123</v>
      </c>
      <c r="T18" t="s">
        <v>122</v>
      </c>
      <c r="U18" t="s">
        <v>119</v>
      </c>
      <c r="V18" t="s">
        <v>213</v>
      </c>
      <c r="W18" t="s">
        <v>216</v>
      </c>
      <c r="X18" t="s">
        <v>102</v>
      </c>
      <c r="Y18" t="s">
        <v>102</v>
      </c>
    </row>
    <row r="19" spans="1:25">
      <c r="A19">
        <v>2033</v>
      </c>
      <c r="B19">
        <f t="shared" si="2"/>
        <v>56.156333333333805</v>
      </c>
      <c r="C19">
        <f t="shared" si="1"/>
        <v>23.63599999999974</v>
      </c>
      <c r="D19">
        <f t="shared" si="1"/>
        <v>71.798666666666122</v>
      </c>
      <c r="E19">
        <f t="shared" si="1"/>
        <v>3.96</v>
      </c>
      <c r="F19">
        <f t="shared" si="1"/>
        <v>32.933600000000069</v>
      </c>
      <c r="G19">
        <f t="shared" si="1"/>
        <v>29.944666666666762</v>
      </c>
      <c r="H19">
        <f t="shared" si="1"/>
        <v>1.69</v>
      </c>
      <c r="I19">
        <f t="shared" si="1"/>
        <v>8.2799999999999994</v>
      </c>
      <c r="J19">
        <f t="shared" si="1"/>
        <v>11.047000000000004</v>
      </c>
      <c r="K19">
        <f t="shared" si="1"/>
        <v>7.5</v>
      </c>
      <c r="L19">
        <f t="shared" si="1"/>
        <v>37.5</v>
      </c>
      <c r="M19">
        <f t="shared" si="1"/>
        <v>82.5</v>
      </c>
      <c r="N19">
        <f t="shared" si="1"/>
        <v>69</v>
      </c>
      <c r="O19">
        <f t="shared" si="1"/>
        <v>22.5</v>
      </c>
      <c r="R19" t="str">
        <f>unit2020!A7</f>
        <v>Biomass_CHP_wood_pellets_DH</v>
      </c>
      <c r="S19">
        <f>unit2020!B7</f>
        <v>2400000</v>
      </c>
      <c r="T19">
        <f>unit2020!C7</f>
        <v>117000</v>
      </c>
      <c r="U19" s="11">
        <f>unit2020!D7</f>
        <v>1.9</v>
      </c>
      <c r="V19" s="35">
        <f>unit2020!E7</f>
        <v>0.309</v>
      </c>
      <c r="W19" s="35">
        <f>VLOOKUP(R19,'unit2030-none'!$A$1:$I$52,8,0)</f>
        <v>30</v>
      </c>
      <c r="X19" s="36">
        <f>PMT(0.1,W19,S19,0)</f>
        <v>-254590.19580632143</v>
      </c>
      <c r="Y19" s="36">
        <f>-X19</f>
        <v>254590.19580632143</v>
      </c>
    </row>
    <row r="20" spans="1:25">
      <c r="A20">
        <v>2034</v>
      </c>
      <c r="B20">
        <f t="shared" si="2"/>
        <v>57.540666666667221</v>
      </c>
      <c r="C20">
        <f t="shared" si="1"/>
        <v>23.127999999999929</v>
      </c>
      <c r="D20">
        <f t="shared" si="1"/>
        <v>73.749333333333198</v>
      </c>
      <c r="E20">
        <f t="shared" si="1"/>
        <v>3.96</v>
      </c>
      <c r="F20">
        <f t="shared" si="1"/>
        <v>33.760800000000017</v>
      </c>
      <c r="G20">
        <f t="shared" si="1"/>
        <v>30.69733333333329</v>
      </c>
      <c r="H20">
        <f t="shared" si="1"/>
        <v>1.69</v>
      </c>
      <c r="I20">
        <f t="shared" si="1"/>
        <v>8.2799999999999994</v>
      </c>
      <c r="J20">
        <f t="shared" si="1"/>
        <v>11.066000000000003</v>
      </c>
      <c r="K20">
        <f t="shared" si="1"/>
        <v>7.5</v>
      </c>
      <c r="L20">
        <f t="shared" si="1"/>
        <v>37.5</v>
      </c>
      <c r="M20">
        <f t="shared" si="1"/>
        <v>82.5</v>
      </c>
      <c r="N20">
        <f t="shared" si="1"/>
        <v>69</v>
      </c>
      <c r="O20">
        <f t="shared" si="1"/>
        <v>22.5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4.2</v>
      </c>
      <c r="V20" s="35">
        <f>unit2020!E8</f>
        <v>0.61</v>
      </c>
      <c r="W20" s="35">
        <f>VLOOKUP(R20,'unit2030-none'!$A$1:$I$52,8,0)</f>
        <v>30</v>
      </c>
      <c r="X20" s="36">
        <f t="shared" ref="X20:X28" si="3">PMT(0.1,W20,S20,0)</f>
        <v>-88045.776049686159</v>
      </c>
      <c r="Y20" s="36">
        <f t="shared" ref="Y20:Y28" si="4">-X20</f>
        <v>88045.776049686159</v>
      </c>
    </row>
    <row r="21" spans="1:25">
      <c r="A21">
        <v>2035</v>
      </c>
      <c r="B21">
        <f t="shared" si="2"/>
        <v>58.925000000000182</v>
      </c>
      <c r="C21">
        <f t="shared" si="1"/>
        <v>22.619999999999891</v>
      </c>
      <c r="D21">
        <f t="shared" si="1"/>
        <v>75.699999999999818</v>
      </c>
      <c r="E21">
        <f t="shared" si="1"/>
        <v>3.96</v>
      </c>
      <c r="F21">
        <f t="shared" si="1"/>
        <v>34.587999999999965</v>
      </c>
      <c r="G21">
        <f t="shared" si="1"/>
        <v>31.450000000000045</v>
      </c>
      <c r="H21">
        <f t="shared" si="1"/>
        <v>1.69</v>
      </c>
      <c r="I21">
        <f t="shared" si="1"/>
        <v>8.2799999999999994</v>
      </c>
      <c r="J21">
        <f t="shared" si="1"/>
        <v>11.085000000000001</v>
      </c>
      <c r="K21">
        <f t="shared" si="1"/>
        <v>7.5</v>
      </c>
      <c r="L21">
        <f t="shared" si="1"/>
        <v>37.5</v>
      </c>
      <c r="M21">
        <f t="shared" si="1"/>
        <v>82.5</v>
      </c>
      <c r="N21">
        <f t="shared" si="1"/>
        <v>69</v>
      </c>
      <c r="O21">
        <f t="shared" si="1"/>
        <v>22.5</v>
      </c>
      <c r="R21" t="str">
        <f>unit2020!A9</f>
        <v>Hydropower_reservoir_medium</v>
      </c>
      <c r="S21">
        <f>unit2020!B9</f>
        <v>2690000</v>
      </c>
      <c r="T21">
        <f>unit2020!C9</f>
        <v>13450</v>
      </c>
      <c r="U21">
        <f>unit2020!D9</f>
        <v>0</v>
      </c>
      <c r="V21" s="35">
        <f>unit2020!E9</f>
        <v>0</v>
      </c>
      <c r="W21" s="35">
        <f>VLOOKUP(R21,'unit2030-none'!$A$1:$I$52,8,0)</f>
        <v>60</v>
      </c>
      <c r="X21" s="36">
        <f t="shared" si="3"/>
        <v>-269886.379816606</v>
      </c>
      <c r="Y21" s="36">
        <f t="shared" si="4"/>
        <v>269886.379816606</v>
      </c>
    </row>
    <row r="22" spans="1:25">
      <c r="A22">
        <v>2036</v>
      </c>
      <c r="B22">
        <f t="shared" si="2"/>
        <v>60.309333333333598</v>
      </c>
      <c r="C22">
        <f t="shared" si="1"/>
        <v>22.111999999999853</v>
      </c>
      <c r="D22">
        <f t="shared" si="1"/>
        <v>77.650666666666439</v>
      </c>
      <c r="E22">
        <f t="shared" si="1"/>
        <v>3.96</v>
      </c>
      <c r="F22">
        <f t="shared" si="1"/>
        <v>35.415199999999913</v>
      </c>
      <c r="G22">
        <f t="shared" si="1"/>
        <v>32.202666666666801</v>
      </c>
      <c r="H22">
        <f t="shared" si="1"/>
        <v>1.69</v>
      </c>
      <c r="I22">
        <f t="shared" si="1"/>
        <v>8.2799999999999994</v>
      </c>
      <c r="J22">
        <f t="shared" si="1"/>
        <v>11.103999999999999</v>
      </c>
      <c r="K22">
        <f t="shared" si="1"/>
        <v>7.5</v>
      </c>
      <c r="L22">
        <f t="shared" si="1"/>
        <v>37.5</v>
      </c>
      <c r="M22">
        <f t="shared" si="1"/>
        <v>82.5</v>
      </c>
      <c r="N22">
        <f t="shared" si="1"/>
        <v>69</v>
      </c>
      <c r="O22">
        <f t="shared" si="1"/>
        <v>22.5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4.5</v>
      </c>
      <c r="V22" s="35">
        <f>unit2020!E10</f>
        <v>0.43</v>
      </c>
      <c r="W22" s="35">
        <f>VLOOKUP(R22,'unit2030-none'!$A$1:$I$52,8,0)</f>
        <v>30</v>
      </c>
      <c r="X22" s="36">
        <f t="shared" si="3"/>
        <v>-46144.472989895759</v>
      </c>
      <c r="Y22" s="36">
        <f t="shared" si="4"/>
        <v>46144.472989895759</v>
      </c>
    </row>
    <row r="23" spans="1:25">
      <c r="A23">
        <v>2037</v>
      </c>
      <c r="B23">
        <f t="shared" si="2"/>
        <v>61.693666666667013</v>
      </c>
      <c r="C23">
        <f t="shared" si="2"/>
        <v>21.603999999999814</v>
      </c>
      <c r="D23">
        <f t="shared" si="2"/>
        <v>79.601333333333059</v>
      </c>
      <c r="E23">
        <f t="shared" si="2"/>
        <v>3.96</v>
      </c>
      <c r="F23">
        <f t="shared" si="2"/>
        <v>36.242399999999861</v>
      </c>
      <c r="G23">
        <f t="shared" si="2"/>
        <v>32.955333333333328</v>
      </c>
      <c r="H23">
        <f t="shared" si="2"/>
        <v>1.69</v>
      </c>
      <c r="I23">
        <f t="shared" si="2"/>
        <v>8.2799999999999994</v>
      </c>
      <c r="J23">
        <f t="shared" si="2"/>
        <v>11.123000000000005</v>
      </c>
      <c r="K23">
        <f t="shared" si="2"/>
        <v>7.5</v>
      </c>
      <c r="L23">
        <f t="shared" si="2"/>
        <v>37.5</v>
      </c>
      <c r="M23">
        <f t="shared" si="2"/>
        <v>82.5</v>
      </c>
      <c r="N23">
        <f t="shared" si="2"/>
        <v>69</v>
      </c>
      <c r="O23">
        <f t="shared" si="2"/>
        <v>22.5</v>
      </c>
      <c r="R23" t="str">
        <f>unit2020!A11</f>
        <v>PV_utility_systems</v>
      </c>
      <c r="S23">
        <f>unit2020!B11</f>
        <v>380000</v>
      </c>
      <c r="T23">
        <f>unit2020!C11</f>
        <v>7250</v>
      </c>
      <c r="U23">
        <f>unit2020!D11</f>
        <v>0</v>
      </c>
      <c r="V23" s="35">
        <f>unit2020!E11</f>
        <v>1</v>
      </c>
      <c r="W23" s="35">
        <f>VLOOKUP(R23,'unit2030-none'!$A$1:$I$52,8,0)</f>
        <v>25</v>
      </c>
      <c r="X23" s="36">
        <f t="shared" si="3"/>
        <v>-41863.867432207924</v>
      </c>
      <c r="Y23" s="36">
        <f t="shared" si="4"/>
        <v>41863.867432207924</v>
      </c>
    </row>
    <row r="24" spans="1:25">
      <c r="A24">
        <v>2038</v>
      </c>
      <c r="B24">
        <f t="shared" si="2"/>
        <v>63.078000000000429</v>
      </c>
      <c r="C24">
        <f t="shared" si="2"/>
        <v>21.095999999999776</v>
      </c>
      <c r="D24">
        <f t="shared" si="2"/>
        <v>81.55199999999968</v>
      </c>
      <c r="E24">
        <f t="shared" si="2"/>
        <v>3.96</v>
      </c>
      <c r="F24">
        <f t="shared" si="2"/>
        <v>37.069600000000037</v>
      </c>
      <c r="G24">
        <f t="shared" si="2"/>
        <v>33.708000000000084</v>
      </c>
      <c r="H24">
        <f t="shared" si="2"/>
        <v>1.69</v>
      </c>
      <c r="I24">
        <f t="shared" si="2"/>
        <v>8.2799999999999994</v>
      </c>
      <c r="J24">
        <f t="shared" si="2"/>
        <v>11.142000000000003</v>
      </c>
      <c r="K24">
        <f t="shared" si="2"/>
        <v>7.5</v>
      </c>
      <c r="L24">
        <f t="shared" si="2"/>
        <v>37.5</v>
      </c>
      <c r="M24">
        <f t="shared" si="2"/>
        <v>82.5</v>
      </c>
      <c r="N24">
        <f t="shared" si="2"/>
        <v>69</v>
      </c>
      <c r="O24">
        <f t="shared" si="2"/>
        <v>22.5</v>
      </c>
      <c r="R24" t="str">
        <f>unit2020!A12</f>
        <v>WTG_offshore</v>
      </c>
      <c r="S24">
        <f>unit2020!B12</f>
        <v>1930000</v>
      </c>
      <c r="T24">
        <f>unit2020!C12</f>
        <v>36053</v>
      </c>
      <c r="U24">
        <f>unit2020!D12</f>
        <v>2.7</v>
      </c>
      <c r="V24" s="35">
        <f>unit2020!E12</f>
        <v>1</v>
      </c>
      <c r="W24" s="35">
        <f>VLOOKUP(R24,'unit2030-none'!$A$1:$I$52,8,0)</f>
        <v>30</v>
      </c>
      <c r="X24" s="36">
        <f t="shared" si="3"/>
        <v>-204732.94912758347</v>
      </c>
      <c r="Y24" s="36">
        <f t="shared" si="4"/>
        <v>204732.94912758347</v>
      </c>
    </row>
    <row r="25" spans="1:25">
      <c r="A25">
        <v>2039</v>
      </c>
      <c r="B25">
        <f t="shared" si="2"/>
        <v>64.462333333333845</v>
      </c>
      <c r="C25">
        <f t="shared" si="2"/>
        <v>20.587999999999738</v>
      </c>
      <c r="D25">
        <f t="shared" si="2"/>
        <v>83.5026666666663</v>
      </c>
      <c r="E25">
        <f t="shared" si="2"/>
        <v>3.96</v>
      </c>
      <c r="F25">
        <f t="shared" si="2"/>
        <v>37.896799999999985</v>
      </c>
      <c r="G25">
        <f t="shared" si="2"/>
        <v>34.460666666666611</v>
      </c>
      <c r="H25">
        <f t="shared" si="2"/>
        <v>1.69</v>
      </c>
      <c r="I25">
        <f t="shared" si="2"/>
        <v>8.2799999999999994</v>
      </c>
      <c r="J25">
        <f t="shared" si="2"/>
        <v>11.161000000000001</v>
      </c>
      <c r="K25">
        <f t="shared" si="2"/>
        <v>7.5</v>
      </c>
      <c r="L25">
        <f t="shared" si="2"/>
        <v>37.5</v>
      </c>
      <c r="M25">
        <f t="shared" si="2"/>
        <v>82.5</v>
      </c>
      <c r="N25">
        <f t="shared" si="2"/>
        <v>69</v>
      </c>
      <c r="O25">
        <f t="shared" si="2"/>
        <v>22.5</v>
      </c>
      <c r="R25" t="str">
        <f>unit2020!A13</f>
        <v>WTG_onshore</v>
      </c>
      <c r="S25">
        <f>unit2020!B13</f>
        <v>1040000</v>
      </c>
      <c r="T25">
        <f>unit2020!C13</f>
        <v>24000</v>
      </c>
      <c r="U25">
        <f>unit2020!D13</f>
        <v>1.35</v>
      </c>
      <c r="V25" s="35">
        <f>unit2020!E13</f>
        <v>1</v>
      </c>
      <c r="W25" s="35">
        <f>VLOOKUP(R25,'unit2030-none'!$A$1:$I$52,8,0)</f>
        <v>25</v>
      </c>
      <c r="X25" s="36">
        <f t="shared" si="3"/>
        <v>-114574.79507762169</v>
      </c>
      <c r="Y25" s="36">
        <f t="shared" si="4"/>
        <v>114574.79507762169</v>
      </c>
    </row>
    <row r="26" spans="1:25">
      <c r="A26">
        <v>2040</v>
      </c>
      <c r="B26">
        <f t="shared" si="2"/>
        <v>65.846666666666806</v>
      </c>
      <c r="C26">
        <f t="shared" si="2"/>
        <v>20.079999999999927</v>
      </c>
      <c r="D26">
        <f t="shared" si="2"/>
        <v>85.453333333332921</v>
      </c>
      <c r="E26">
        <f t="shared" si="2"/>
        <v>3.96</v>
      </c>
      <c r="F26">
        <f t="shared" si="2"/>
        <v>38.723999999999933</v>
      </c>
      <c r="G26">
        <f t="shared" si="2"/>
        <v>35.213333333333367</v>
      </c>
      <c r="H26">
        <f t="shared" si="2"/>
        <v>1.69</v>
      </c>
      <c r="I26">
        <f t="shared" si="2"/>
        <v>8.2799999999999994</v>
      </c>
      <c r="J26">
        <f t="shared" si="2"/>
        <v>11.18</v>
      </c>
      <c r="K26">
        <f t="shared" si="2"/>
        <v>7.5</v>
      </c>
      <c r="L26">
        <f t="shared" si="2"/>
        <v>37.5</v>
      </c>
      <c r="M26">
        <f t="shared" si="2"/>
        <v>82.5</v>
      </c>
      <c r="N26">
        <f t="shared" si="2"/>
        <v>69</v>
      </c>
      <c r="O26">
        <f t="shared" si="2"/>
        <v>22.5</v>
      </c>
      <c r="R26" t="str">
        <f>unit2020!A14</f>
        <v>Lithium_ion_battery</v>
      </c>
      <c r="S26">
        <f>unit2020!B14</f>
        <v>284000</v>
      </c>
      <c r="T26">
        <f>unit2020!C14</f>
        <v>540</v>
      </c>
      <c r="U26">
        <f>unit2020!D14</f>
        <v>1.8</v>
      </c>
      <c r="V26" s="35">
        <f>unit2020!E14</f>
        <v>0.9</v>
      </c>
      <c r="W26" s="35">
        <f>VLOOKUP(R26,'unit2030-none'!$A$1:$I$52,8,0)</f>
        <v>20</v>
      </c>
      <c r="X26" s="36">
        <f t="shared" si="3"/>
        <v>-33358.533435403006</v>
      </c>
      <c r="Y26" s="36">
        <f t="shared" si="4"/>
        <v>33358.533435403006</v>
      </c>
    </row>
    <row r="27" spans="1:25">
      <c r="A27">
        <v>2041</v>
      </c>
      <c r="B27">
        <f t="shared" si="2"/>
        <v>67.231000000000222</v>
      </c>
      <c r="C27">
        <f t="shared" si="2"/>
        <v>19.571999999999889</v>
      </c>
      <c r="D27">
        <f t="shared" si="2"/>
        <v>87.403999999999542</v>
      </c>
      <c r="E27">
        <f t="shared" si="2"/>
        <v>3.96</v>
      </c>
      <c r="F27">
        <f t="shared" si="2"/>
        <v>39.551199999999881</v>
      </c>
      <c r="G27">
        <f t="shared" si="2"/>
        <v>35.966000000000122</v>
      </c>
      <c r="H27">
        <f t="shared" si="2"/>
        <v>1.69</v>
      </c>
      <c r="I27">
        <f t="shared" si="2"/>
        <v>8.2799999999999994</v>
      </c>
      <c r="J27">
        <f t="shared" si="2"/>
        <v>11.198999999999998</v>
      </c>
      <c r="K27">
        <f t="shared" si="2"/>
        <v>7.5</v>
      </c>
      <c r="L27">
        <f t="shared" si="2"/>
        <v>37.5</v>
      </c>
      <c r="M27">
        <f t="shared" si="2"/>
        <v>82.5</v>
      </c>
      <c r="N27">
        <f t="shared" si="2"/>
        <v>69</v>
      </c>
      <c r="O27">
        <f t="shared" si="2"/>
        <v>22.5</v>
      </c>
      <c r="R27" t="str">
        <f>unit2020!A15</f>
        <v>CCGT_CHP_backpressure_DH</v>
      </c>
      <c r="S27">
        <f>unit2020!B15</f>
        <v>1200000</v>
      </c>
      <c r="T27">
        <f>unit2020!C15</f>
        <v>0</v>
      </c>
      <c r="U27">
        <f>unit2020!D15</f>
        <v>0</v>
      </c>
      <c r="V27" s="35">
        <f>unit2020!E15</f>
        <v>0.53</v>
      </c>
      <c r="W27" s="35">
        <f>VLOOKUP(R27,'unit2030-none'!$A$1:$I$52,8,0)</f>
        <v>30</v>
      </c>
      <c r="X27" s="36">
        <f t="shared" si="3"/>
        <v>-127295.09790316071</v>
      </c>
      <c r="Y27" s="36">
        <f t="shared" si="4"/>
        <v>127295.09790316071</v>
      </c>
    </row>
    <row r="28" spans="1:25">
      <c r="A28">
        <v>2042</v>
      </c>
      <c r="B28">
        <f t="shared" si="2"/>
        <v>68.615333333333638</v>
      </c>
      <c r="C28">
        <f t="shared" si="2"/>
        <v>19.063999999999851</v>
      </c>
      <c r="D28">
        <f t="shared" si="2"/>
        <v>89.354666666666162</v>
      </c>
      <c r="E28">
        <f t="shared" si="2"/>
        <v>3.96</v>
      </c>
      <c r="F28">
        <f t="shared" si="2"/>
        <v>40.378400000000056</v>
      </c>
      <c r="G28">
        <f t="shared" si="2"/>
        <v>36.71866666666665</v>
      </c>
      <c r="H28">
        <f t="shared" si="2"/>
        <v>1.69</v>
      </c>
      <c r="I28">
        <f t="shared" si="2"/>
        <v>8.2799999999999994</v>
      </c>
      <c r="J28">
        <f t="shared" si="2"/>
        <v>11.218000000000004</v>
      </c>
      <c r="K28">
        <f t="shared" si="2"/>
        <v>7.5</v>
      </c>
      <c r="L28">
        <f t="shared" si="2"/>
        <v>37.5</v>
      </c>
      <c r="M28">
        <f t="shared" si="2"/>
        <v>82.5</v>
      </c>
      <c r="N28">
        <f t="shared" si="2"/>
        <v>69</v>
      </c>
      <c r="O28">
        <f t="shared" si="2"/>
        <v>22.5</v>
      </c>
      <c r="R28" t="str">
        <f>unit2020!A16</f>
        <v>Hydropower_ROR</v>
      </c>
      <c r="S28">
        <f>unit2020!B16</f>
        <v>2990000</v>
      </c>
      <c r="T28">
        <f>unit2020!C16</f>
        <v>0</v>
      </c>
      <c r="U28">
        <f>unit2020!D16</f>
        <v>0</v>
      </c>
      <c r="V28" s="35">
        <f>unit2020!E16</f>
        <v>0</v>
      </c>
      <c r="W28" s="35">
        <f>VLOOKUP(R28,'unit2030-none'!$A$1:$I$52,8,0)</f>
        <v>20</v>
      </c>
      <c r="X28" s="36">
        <f t="shared" si="3"/>
        <v>-351204.27806991193</v>
      </c>
      <c r="Y28" s="36">
        <f t="shared" si="4"/>
        <v>351204.27806991193</v>
      </c>
    </row>
    <row r="29" spans="1:25">
      <c r="A29">
        <v>2043</v>
      </c>
      <c r="B29">
        <f t="shared" si="2"/>
        <v>69.999666666667054</v>
      </c>
      <c r="C29">
        <f t="shared" si="2"/>
        <v>18.555999999999813</v>
      </c>
      <c r="D29">
        <f t="shared" si="2"/>
        <v>91.305333333332783</v>
      </c>
      <c r="E29">
        <f t="shared" si="2"/>
        <v>3.96</v>
      </c>
      <c r="F29">
        <f t="shared" si="2"/>
        <v>41.205600000000004</v>
      </c>
      <c r="G29">
        <f t="shared" si="2"/>
        <v>37.471333333333405</v>
      </c>
      <c r="H29">
        <f t="shared" si="2"/>
        <v>1.69</v>
      </c>
      <c r="I29">
        <f t="shared" si="2"/>
        <v>8.2799999999999994</v>
      </c>
      <c r="J29">
        <f t="shared" si="2"/>
        <v>11.237000000000002</v>
      </c>
      <c r="K29">
        <f t="shared" si="2"/>
        <v>7.5</v>
      </c>
      <c r="L29">
        <f t="shared" si="2"/>
        <v>37.5</v>
      </c>
      <c r="M29">
        <f t="shared" si="2"/>
        <v>82.5</v>
      </c>
      <c r="N29">
        <f t="shared" si="2"/>
        <v>69</v>
      </c>
      <c r="O29">
        <f t="shared" si="2"/>
        <v>22.5</v>
      </c>
    </row>
    <row r="30" spans="1:25">
      <c r="A30">
        <v>2044</v>
      </c>
      <c r="B30">
        <f t="shared" si="2"/>
        <v>71.384000000000469</v>
      </c>
      <c r="C30">
        <f t="shared" si="2"/>
        <v>18.047999999999774</v>
      </c>
      <c r="D30">
        <f t="shared" si="2"/>
        <v>93.255999999999858</v>
      </c>
      <c r="E30">
        <f t="shared" si="2"/>
        <v>3.96</v>
      </c>
      <c r="F30">
        <f t="shared" si="2"/>
        <v>42.032799999999952</v>
      </c>
      <c r="G30">
        <f t="shared" si="2"/>
        <v>38.22400000000016</v>
      </c>
      <c r="H30">
        <f t="shared" si="2"/>
        <v>1.69</v>
      </c>
      <c r="I30">
        <f t="shared" si="2"/>
        <v>8.2799999999999994</v>
      </c>
      <c r="J30">
        <f t="shared" si="2"/>
        <v>11.256</v>
      </c>
      <c r="K30">
        <f t="shared" si="2"/>
        <v>7.5</v>
      </c>
      <c r="L30">
        <f t="shared" si="2"/>
        <v>37.5</v>
      </c>
      <c r="M30">
        <f t="shared" si="2"/>
        <v>82.5</v>
      </c>
      <c r="N30">
        <f t="shared" si="2"/>
        <v>69</v>
      </c>
      <c r="O30">
        <f t="shared" si="2"/>
        <v>22.5</v>
      </c>
      <c r="U30" t="s">
        <v>206</v>
      </c>
      <c r="V30" t="s">
        <v>2</v>
      </c>
    </row>
    <row r="31" spans="1:25">
      <c r="A31">
        <v>2045</v>
      </c>
      <c r="B31">
        <f t="shared" si="2"/>
        <v>72.768333333333885</v>
      </c>
      <c r="C31">
        <f t="shared" si="2"/>
        <v>17.539999999999736</v>
      </c>
      <c r="D31">
        <f t="shared" si="2"/>
        <v>95.206666666666479</v>
      </c>
      <c r="E31">
        <f t="shared" si="2"/>
        <v>3.96</v>
      </c>
      <c r="F31">
        <f>_xlfn.FORECAST.LINEAR($A31,F$3:F$4,$A$3:$A$4)</f>
        <v>42.8599999999999</v>
      </c>
      <c r="G31">
        <f t="shared" si="2"/>
        <v>38.976666666666688</v>
      </c>
      <c r="H31">
        <f t="shared" si="2"/>
        <v>1.69</v>
      </c>
      <c r="I31">
        <f t="shared" si="2"/>
        <v>8.2799999999999994</v>
      </c>
      <c r="J31">
        <f t="shared" si="2"/>
        <v>11.274999999999999</v>
      </c>
      <c r="K31">
        <f t="shared" si="2"/>
        <v>7.5</v>
      </c>
      <c r="L31">
        <f t="shared" si="2"/>
        <v>37.5</v>
      </c>
      <c r="M31">
        <f t="shared" si="2"/>
        <v>82.5</v>
      </c>
      <c r="N31">
        <f t="shared" si="2"/>
        <v>69</v>
      </c>
      <c r="O31">
        <f t="shared" si="2"/>
        <v>22.5</v>
      </c>
      <c r="R31" t="s">
        <v>212</v>
      </c>
      <c r="S31" s="30">
        <f>V33</f>
        <v>273.33333333333576</v>
      </c>
      <c r="U31">
        <v>2020</v>
      </c>
      <c r="V31">
        <v>20</v>
      </c>
    </row>
    <row r="32" spans="1:25">
      <c r="A32">
        <v>2046</v>
      </c>
      <c r="B32">
        <f t="shared" si="2"/>
        <v>74.152666666666846</v>
      </c>
      <c r="C32">
        <f t="shared" si="2"/>
        <v>17.031999999999925</v>
      </c>
      <c r="D32">
        <f t="shared" si="2"/>
        <v>97.157333333333099</v>
      </c>
      <c r="E32">
        <f t="shared" si="2"/>
        <v>3.96</v>
      </c>
      <c r="F32">
        <f t="shared" si="2"/>
        <v>43.687200000000075</v>
      </c>
      <c r="G32">
        <f t="shared" si="2"/>
        <v>39.729333333333443</v>
      </c>
      <c r="H32">
        <f t="shared" si="2"/>
        <v>1.69</v>
      </c>
      <c r="I32">
        <f t="shared" si="2"/>
        <v>8.2799999999999994</v>
      </c>
      <c r="J32">
        <f t="shared" si="2"/>
        <v>11.294000000000004</v>
      </c>
      <c r="K32">
        <f t="shared" si="2"/>
        <v>7.5</v>
      </c>
      <c r="L32">
        <f t="shared" si="2"/>
        <v>37.5</v>
      </c>
      <c r="M32">
        <f t="shared" si="2"/>
        <v>82.5</v>
      </c>
      <c r="N32">
        <f t="shared" si="2"/>
        <v>69</v>
      </c>
      <c r="O32">
        <f t="shared" si="2"/>
        <v>22.5</v>
      </c>
      <c r="U32">
        <v>2050</v>
      </c>
      <c r="V32">
        <v>400</v>
      </c>
    </row>
    <row r="33" spans="1:22">
      <c r="A33">
        <v>2047</v>
      </c>
      <c r="B33">
        <f t="shared" si="2"/>
        <v>75.537000000000262</v>
      </c>
      <c r="C33">
        <f t="shared" si="2"/>
        <v>16.523999999999887</v>
      </c>
      <c r="D33">
        <f t="shared" si="2"/>
        <v>99.10799999999972</v>
      </c>
      <c r="E33">
        <f t="shared" si="2"/>
        <v>3.96</v>
      </c>
      <c r="F33">
        <f t="shared" si="2"/>
        <v>44.514400000000023</v>
      </c>
      <c r="G33">
        <f t="shared" si="2"/>
        <v>40.481999999999971</v>
      </c>
      <c r="H33">
        <f t="shared" si="2"/>
        <v>1.69</v>
      </c>
      <c r="I33">
        <f t="shared" si="2"/>
        <v>8.2799999999999994</v>
      </c>
      <c r="J33">
        <f t="shared" si="2"/>
        <v>11.313000000000002</v>
      </c>
      <c r="K33">
        <f t="shared" si="2"/>
        <v>7.5</v>
      </c>
      <c r="L33">
        <f t="shared" si="2"/>
        <v>37.5</v>
      </c>
      <c r="M33">
        <f t="shared" si="2"/>
        <v>82.5</v>
      </c>
      <c r="N33">
        <f t="shared" si="2"/>
        <v>69</v>
      </c>
      <c r="O33">
        <f t="shared" si="2"/>
        <v>22.5</v>
      </c>
      <c r="S33">
        <v>20</v>
      </c>
      <c r="U33">
        <v>2040</v>
      </c>
      <c r="V33">
        <f>_xlfn.FORECAST.LINEAR(U33,V31:V32,U31:U32)</f>
        <v>273.33333333333576</v>
      </c>
    </row>
    <row r="34" spans="1:22">
      <c r="A34">
        <v>2048</v>
      </c>
      <c r="B34">
        <f t="shared" si="2"/>
        <v>76.921333333333678</v>
      </c>
      <c r="C34">
        <f t="shared" si="2"/>
        <v>16.015999999999849</v>
      </c>
      <c r="D34">
        <f t="shared" si="2"/>
        <v>101.05866666666634</v>
      </c>
      <c r="E34">
        <f t="shared" si="2"/>
        <v>3.96</v>
      </c>
      <c r="F34">
        <f t="shared" si="2"/>
        <v>45.341599999999971</v>
      </c>
      <c r="G34">
        <f t="shared" si="2"/>
        <v>41.234666666666726</v>
      </c>
      <c r="H34">
        <f t="shared" si="2"/>
        <v>1.69</v>
      </c>
      <c r="I34">
        <f t="shared" si="2"/>
        <v>8.2799999999999994</v>
      </c>
      <c r="J34">
        <f t="shared" si="2"/>
        <v>11.332000000000001</v>
      </c>
      <c r="K34">
        <f t="shared" si="2"/>
        <v>7.5</v>
      </c>
      <c r="L34">
        <f t="shared" si="2"/>
        <v>37.5</v>
      </c>
      <c r="M34">
        <f t="shared" si="2"/>
        <v>82.5</v>
      </c>
      <c r="N34">
        <f t="shared" si="2"/>
        <v>69</v>
      </c>
      <c r="O34">
        <f t="shared" si="2"/>
        <v>22.5</v>
      </c>
      <c r="S34">
        <v>150</v>
      </c>
    </row>
    <row r="35" spans="1:22">
      <c r="A35">
        <v>2049</v>
      </c>
      <c r="B35">
        <f t="shared" si="2"/>
        <v>78.305666666667094</v>
      </c>
      <c r="C35">
        <f t="shared" si="2"/>
        <v>15.507999999999811</v>
      </c>
      <c r="D35">
        <f t="shared" si="2"/>
        <v>103.00933333333296</v>
      </c>
      <c r="E35">
        <f t="shared" si="2"/>
        <v>3.96</v>
      </c>
      <c r="F35">
        <f t="shared" si="2"/>
        <v>46.168799999999919</v>
      </c>
      <c r="G35">
        <f t="shared" si="2"/>
        <v>41.987333333333481</v>
      </c>
      <c r="H35">
        <f t="shared" si="2"/>
        <v>1.69</v>
      </c>
      <c r="I35">
        <f t="shared" si="2"/>
        <v>8.2799999999999994</v>
      </c>
      <c r="J35">
        <f t="shared" si="2"/>
        <v>11.350999999999999</v>
      </c>
      <c r="K35">
        <f t="shared" si="2"/>
        <v>7.5</v>
      </c>
      <c r="L35">
        <f t="shared" si="2"/>
        <v>37.5</v>
      </c>
      <c r="M35">
        <f t="shared" si="2"/>
        <v>82.5</v>
      </c>
      <c r="N35">
        <f t="shared" si="2"/>
        <v>69</v>
      </c>
      <c r="O35">
        <f t="shared" si="2"/>
        <v>22.5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15</v>
      </c>
      <c r="D36">
        <f t="shared" si="5"/>
        <v>104.96</v>
      </c>
      <c r="E36">
        <f t="shared" si="5"/>
        <v>3.96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8.2799999999999994</v>
      </c>
      <c r="J36">
        <f t="shared" si="5"/>
        <v>11.37</v>
      </c>
      <c r="K36">
        <f t="shared" si="5"/>
        <v>7.5</v>
      </c>
      <c r="L36">
        <f t="shared" si="5"/>
        <v>37.5</v>
      </c>
      <c r="M36">
        <f t="shared" si="5"/>
        <v>82.5</v>
      </c>
      <c r="N36">
        <f t="shared" si="5"/>
        <v>69</v>
      </c>
      <c r="O36">
        <f t="shared" si="5"/>
        <v>22.5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32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32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32" t="s">
        <v>215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213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  <c r="M44" s="37">
        <v>2024</v>
      </c>
    </row>
    <row r="45" spans="1:22">
      <c r="A45" t="s">
        <v>214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163</v>
      </c>
      <c r="N46" t="str">
        <f>B39</f>
        <v>Biomass_CHP_wood_pellets_DH</v>
      </c>
      <c r="O46" t="str">
        <f t="shared" ref="O46:U46" si="6">C39</f>
        <v>CCGT</v>
      </c>
      <c r="P46" t="str">
        <f t="shared" si="6"/>
        <v>OCGT</v>
      </c>
      <c r="Q46" t="str">
        <f t="shared" si="6"/>
        <v>PV_utility_systems</v>
      </c>
      <c r="R46" t="str">
        <f t="shared" si="6"/>
        <v>WTG_offshore</v>
      </c>
      <c r="S46" t="str">
        <f t="shared" si="6"/>
        <v>WTG_onshore</v>
      </c>
      <c r="T46" t="str">
        <f t="shared" si="6"/>
        <v>Lithium_ion_battery</v>
      </c>
      <c r="U46" t="str">
        <f t="shared" si="6"/>
        <v>CCGT_CHP_backpressure_DH</v>
      </c>
    </row>
    <row r="47" spans="1:22">
      <c r="A47">
        <v>2020</v>
      </c>
      <c r="B47">
        <f>B$43+($L6+B$45*$S$31)/B$44</f>
        <v>123.25922330097089</v>
      </c>
      <c r="C47">
        <f>C$43+($G6+C$45*$S$31)/C$44</f>
        <v>127.74484562185873</v>
      </c>
      <c r="D47">
        <f>D$43+($G6+D$45*$S$31)/D$44</f>
        <v>179.76129262635772</v>
      </c>
      <c r="E47">
        <f>E$43+(E$45*$S$31)/E$44</f>
        <v>0</v>
      </c>
      <c r="F47">
        <f>F$43+(F$45*$S$31)/F$44</f>
        <v>2.7</v>
      </c>
      <c r="G47">
        <f>G$43+(G$45*$S$31)/G$44</f>
        <v>1.35</v>
      </c>
      <c r="H47">
        <f>H$43+(H$45*$S$31)/H$44</f>
        <v>1.8</v>
      </c>
      <c r="I47">
        <f>I$43+($G6+I$45*$S$31)/I$44</f>
        <v>142.19312420629024</v>
      </c>
      <c r="M47">
        <v>0</v>
      </c>
      <c r="N47">
        <f>$M47*B$47 + B$42+B$41</f>
        <v>371590.19580632146</v>
      </c>
      <c r="O47">
        <f t="shared" ref="O47:U47" si="7">$M47*C$47 + C$42+C$41</f>
        <v>115845.77604968616</v>
      </c>
      <c r="P47">
        <f t="shared" si="7"/>
        <v>53889.472989895759</v>
      </c>
      <c r="Q47">
        <f t="shared" si="7"/>
        <v>49113.867432207924</v>
      </c>
      <c r="R47">
        <f t="shared" si="7"/>
        <v>240785.94912758347</v>
      </c>
      <c r="S47">
        <f t="shared" si="7"/>
        <v>138574.7950776217</v>
      </c>
      <c r="T47">
        <f t="shared" si="7"/>
        <v>33898.533435403006</v>
      </c>
      <c r="U47">
        <f t="shared" si="7"/>
        <v>127295.09790316071</v>
      </c>
    </row>
    <row r="48" spans="1:22">
      <c r="A48">
        <v>2021</v>
      </c>
      <c r="B48">
        <f>B$43+($L7+B$45*$S$31)/B$44</f>
        <v>123.25922330097089</v>
      </c>
      <c r="C48">
        <f t="shared" ref="C48:E48" si="8">C$43+($G7+C$45*$S$31)/C$44</f>
        <v>128.97872540327941</v>
      </c>
      <c r="D48">
        <f>D$43+($G7+D$45*$S$31)/D$44</f>
        <v>181.51168022325683</v>
      </c>
      <c r="E48">
        <f>E$43+(E$45*$S$31)/E$44</f>
        <v>0</v>
      </c>
      <c r="F48">
        <f>F$43+(F$45*$S$31)/F$44</f>
        <v>2.7</v>
      </c>
      <c r="G48">
        <f>G$43+(G$45*$S$31)/G$44</f>
        <v>1.35</v>
      </c>
      <c r="H48">
        <f>H$43+(H$45*$S$31)/H$44</f>
        <v>1.8</v>
      </c>
      <c r="I48">
        <f>I$43+($G7+I$45*$S$31)/I$44</f>
        <v>143.61324999245363</v>
      </c>
      <c r="M48">
        <v>300</v>
      </c>
      <c r="N48">
        <f t="shared" ref="N48:N76" si="9">$M48*B$47 + B$42+B$41</f>
        <v>408567.9627966127</v>
      </c>
      <c r="O48">
        <f t="shared" ref="O48:O76" si="10">$M48*C$47 + C$42+C$41</f>
        <v>154169.22973624378</v>
      </c>
      <c r="P48">
        <f t="shared" ref="P48:P76" si="11">$M48*D$47 + D$42+D$41</f>
        <v>107817.86077780307</v>
      </c>
      <c r="Q48">
        <f t="shared" ref="Q48:Q76" si="12">$M48*E$47 + E$42+E$41</f>
        <v>49113.867432207924</v>
      </c>
      <c r="R48">
        <f t="shared" ref="R48:R76" si="13">$M48*F$47 + F$42+F$41</f>
        <v>241595.94912758347</v>
      </c>
      <c r="S48">
        <f t="shared" ref="S48:S76" si="14">$M48*G$47 + G$42+G$41</f>
        <v>138979.7950776217</v>
      </c>
      <c r="T48">
        <f t="shared" ref="T48:T76" si="15">$M48*H$47 + H$42+H$41</f>
        <v>34438.533435403006</v>
      </c>
      <c r="U48">
        <f t="shared" ref="U48:U76" si="16">$M48*I$47 + I$42+I$41</f>
        <v>169953.0351650478</v>
      </c>
    </row>
    <row r="49" spans="1:21">
      <c r="A49">
        <v>2022</v>
      </c>
      <c r="B49">
        <f>B$43+($L8+B$45*$S$31)/B$44</f>
        <v>123.25922330097089</v>
      </c>
      <c r="C49">
        <f t="shared" ref="C49:E49" si="17">C$43+($G8+C$45*$S$31)/C$44</f>
        <v>130.21260518470032</v>
      </c>
      <c r="D49">
        <f>D$43+($G8+D$45*$S$31)/D$44</f>
        <v>183.26206782015626</v>
      </c>
      <c r="E49">
        <f>E$43+(E$45*$S$31)/E$44</f>
        <v>0</v>
      </c>
      <c r="F49">
        <f>F$43+(F$45*$S$31)/F$44</f>
        <v>2.7</v>
      </c>
      <c r="G49">
        <f>G$43+(G$45*$S$31)/G$44</f>
        <v>1.35</v>
      </c>
      <c r="H49">
        <f>H$43+(H$45*$S$31)/H$44</f>
        <v>1.8</v>
      </c>
      <c r="I49">
        <f>I$43+($G8+I$45*$S$31)/I$44</f>
        <v>145.03337577861734</v>
      </c>
      <c r="M49">
        <v>600</v>
      </c>
      <c r="N49">
        <f t="shared" si="9"/>
        <v>445545.72978690395</v>
      </c>
      <c r="O49">
        <f t="shared" si="10"/>
        <v>192492.68342280138</v>
      </c>
      <c r="P49">
        <f t="shared" si="11"/>
        <v>161746.24856571038</v>
      </c>
      <c r="Q49">
        <f t="shared" si="12"/>
        <v>49113.867432207924</v>
      </c>
      <c r="R49">
        <f t="shared" si="13"/>
        <v>242405.94912758347</v>
      </c>
      <c r="S49">
        <f t="shared" si="14"/>
        <v>139384.7950776217</v>
      </c>
      <c r="T49">
        <f t="shared" si="15"/>
        <v>34978.533435403006</v>
      </c>
      <c r="U49">
        <f t="shared" si="16"/>
        <v>212610.97242693487</v>
      </c>
    </row>
    <row r="50" spans="1:21">
      <c r="A50">
        <v>2023</v>
      </c>
      <c r="B50">
        <f>B$43+($L9+B$45*$S$31)/B$44</f>
        <v>123.25922330097089</v>
      </c>
      <c r="C50">
        <f t="shared" ref="C50:E50" si="18">C$43+($G9+C$45*$S$31)/C$44</f>
        <v>131.44648496612123</v>
      </c>
      <c r="D50">
        <f>D$43+($G9+D$45*$S$31)/D$44</f>
        <v>185.01245541705569</v>
      </c>
      <c r="E50">
        <f>E$43+(E$45*$S$31)/E$44</f>
        <v>0</v>
      </c>
      <c r="F50">
        <f>F$43+(F$45*$S$31)/F$44</f>
        <v>2.7</v>
      </c>
      <c r="G50">
        <f>G$43+(G$45*$S$31)/G$44</f>
        <v>1.35</v>
      </c>
      <c r="H50">
        <f>H$43+(H$45*$S$31)/H$44</f>
        <v>1.8</v>
      </c>
      <c r="I50">
        <f>I$43+($G9+I$45*$S$31)/I$44</f>
        <v>146.45350156478102</v>
      </c>
      <c r="M50">
        <v>900</v>
      </c>
      <c r="N50">
        <f t="shared" si="9"/>
        <v>482523.49677719525</v>
      </c>
      <c r="O50">
        <f t="shared" si="10"/>
        <v>230816.137109359</v>
      </c>
      <c r="P50">
        <f t="shared" si="11"/>
        <v>215674.63635361771</v>
      </c>
      <c r="Q50">
        <f t="shared" si="12"/>
        <v>49113.867432207924</v>
      </c>
      <c r="R50">
        <f t="shared" si="13"/>
        <v>243215.94912758347</v>
      </c>
      <c r="S50">
        <f t="shared" si="14"/>
        <v>139789.7950776217</v>
      </c>
      <c r="T50">
        <f t="shared" si="15"/>
        <v>35518.533435403006</v>
      </c>
      <c r="U50">
        <f t="shared" si="16"/>
        <v>255268.90968882194</v>
      </c>
    </row>
    <row r="51" spans="1:21">
      <c r="A51">
        <v>2024</v>
      </c>
      <c r="B51">
        <f>B$43+($L10+B$45*$S$31)/B$44</f>
        <v>123.25922330097089</v>
      </c>
      <c r="C51">
        <f t="shared" ref="C51:E51" si="19">C$43+($G10+C$45*$S$31)/C$44</f>
        <v>132.68036474754174</v>
      </c>
      <c r="D51">
        <f>D$43+($G10+D$45*$S$31)/D$44</f>
        <v>186.76284301395458</v>
      </c>
      <c r="E51">
        <f>E$43+(E$45*$S$31)/E$44</f>
        <v>0</v>
      </c>
      <c r="F51">
        <f>F$43+(F$45*$S$31)/F$44</f>
        <v>2.7</v>
      </c>
      <c r="G51">
        <f>G$43+(G$45*$S$31)/G$44</f>
        <v>1.35</v>
      </c>
      <c r="H51">
        <f>H$43+(H$45*$S$31)/H$44</f>
        <v>1.8</v>
      </c>
      <c r="I51">
        <f>I$43+($G10+I$45*$S$31)/I$44</f>
        <v>147.87362735094428</v>
      </c>
      <c r="M51">
        <v>1200</v>
      </c>
      <c r="N51">
        <f t="shared" si="9"/>
        <v>519501.26376748655</v>
      </c>
      <c r="O51">
        <f t="shared" si="10"/>
        <v>269139.59079591662</v>
      </c>
      <c r="P51">
        <f t="shared" si="11"/>
        <v>269603.02414152503</v>
      </c>
      <c r="Q51">
        <f t="shared" si="12"/>
        <v>49113.867432207924</v>
      </c>
      <c r="R51">
        <f t="shared" si="13"/>
        <v>244025.94912758347</v>
      </c>
      <c r="S51">
        <f t="shared" si="14"/>
        <v>140194.7950776217</v>
      </c>
      <c r="T51">
        <f t="shared" si="15"/>
        <v>36058.533435403006</v>
      </c>
      <c r="U51">
        <f t="shared" si="16"/>
        <v>297926.846950709</v>
      </c>
    </row>
    <row r="52" spans="1:21">
      <c r="A52">
        <v>2025</v>
      </c>
      <c r="B52">
        <f>B$43+($L11+B$45*$S$31)/B$44</f>
        <v>123.25922330097089</v>
      </c>
      <c r="C52">
        <f t="shared" ref="C52:E52" si="20">C$43+($G11+C$45*$S$31)/C$44</f>
        <v>133.91424452896266</v>
      </c>
      <c r="D52">
        <f>D$43+($G11+D$45*$S$31)/D$44</f>
        <v>188.51323061085401</v>
      </c>
      <c r="E52">
        <f>E$43+(E$45*$S$31)/E$44</f>
        <v>0</v>
      </c>
      <c r="F52">
        <f>F$43+(F$45*$S$31)/F$44</f>
        <v>2.7</v>
      </c>
      <c r="G52">
        <f>G$43+(G$45*$S$31)/G$44</f>
        <v>1.35</v>
      </c>
      <c r="H52">
        <f>H$43+(H$45*$S$31)/H$44</f>
        <v>1.8</v>
      </c>
      <c r="I52">
        <f>I$43+($G11+I$45*$S$31)/I$44</f>
        <v>149.29375313710798</v>
      </c>
      <c r="M52">
        <v>1500</v>
      </c>
      <c r="N52">
        <f t="shared" si="9"/>
        <v>556479.03075777774</v>
      </c>
      <c r="O52">
        <f t="shared" si="10"/>
        <v>307463.04448247422</v>
      </c>
      <c r="P52">
        <f t="shared" si="11"/>
        <v>323531.4119294323</v>
      </c>
      <c r="Q52">
        <f t="shared" si="12"/>
        <v>49113.867432207924</v>
      </c>
      <c r="R52">
        <f t="shared" si="13"/>
        <v>244835.94912758347</v>
      </c>
      <c r="S52">
        <f t="shared" si="14"/>
        <v>140599.7950776217</v>
      </c>
      <c r="T52">
        <f t="shared" si="15"/>
        <v>36598.533435403006</v>
      </c>
      <c r="U52">
        <f t="shared" si="16"/>
        <v>340584.78421259607</v>
      </c>
    </row>
    <row r="53" spans="1:21">
      <c r="A53">
        <v>2026</v>
      </c>
      <c r="B53">
        <f>B$43+($L12+B$45*$S$31)/B$44</f>
        <v>123.25922330097089</v>
      </c>
      <c r="C53">
        <f t="shared" ref="C53:E53" si="21">C$43+($G12+C$45*$S$31)/C$44</f>
        <v>135.14812431038357</v>
      </c>
      <c r="D53">
        <f>D$43+($G12+D$45*$S$31)/D$44</f>
        <v>190.26361820775347</v>
      </c>
      <c r="E53">
        <f>E$43+(E$45*$S$31)/E$44</f>
        <v>0</v>
      </c>
      <c r="F53">
        <f>F$43+(F$45*$S$31)/F$44</f>
        <v>2.7</v>
      </c>
      <c r="G53">
        <f>G$43+(G$45*$S$31)/G$44</f>
        <v>1.35</v>
      </c>
      <c r="H53">
        <f>H$43+(H$45*$S$31)/H$44</f>
        <v>1.8</v>
      </c>
      <c r="I53">
        <f>I$43+($G12+I$45*$S$31)/I$44</f>
        <v>150.71387892327166</v>
      </c>
      <c r="M53">
        <v>1800</v>
      </c>
      <c r="N53">
        <f t="shared" si="9"/>
        <v>593456.79774806905</v>
      </c>
      <c r="O53">
        <f t="shared" si="10"/>
        <v>345786.49816903187</v>
      </c>
      <c r="P53">
        <f t="shared" si="11"/>
        <v>377459.79971733969</v>
      </c>
      <c r="Q53">
        <f t="shared" si="12"/>
        <v>49113.867432207924</v>
      </c>
      <c r="R53">
        <f t="shared" si="13"/>
        <v>245645.94912758347</v>
      </c>
      <c r="S53">
        <f t="shared" si="14"/>
        <v>141004.7950776217</v>
      </c>
      <c r="T53">
        <f t="shared" si="15"/>
        <v>37138.533435403006</v>
      </c>
      <c r="U53">
        <f t="shared" si="16"/>
        <v>383242.72147448314</v>
      </c>
    </row>
    <row r="54" spans="1:21">
      <c r="A54">
        <v>2027</v>
      </c>
      <c r="B54">
        <f>B$43+($L13+B$45*$S$31)/B$44</f>
        <v>123.25922330097089</v>
      </c>
      <c r="C54">
        <f t="shared" ref="C54:E54" si="22">C$43+($G13+C$45*$S$31)/C$44</f>
        <v>136.38200409180411</v>
      </c>
      <c r="D54">
        <f>D$43+($G13+D$45*$S$31)/D$44</f>
        <v>192.01400580465236</v>
      </c>
      <c r="E54">
        <f>E$43+(E$45*$S$31)/E$44</f>
        <v>0</v>
      </c>
      <c r="F54">
        <f>F$43+(F$45*$S$31)/F$44</f>
        <v>2.7</v>
      </c>
      <c r="G54">
        <f>G$43+(G$45*$S$31)/G$44</f>
        <v>1.35</v>
      </c>
      <c r="H54">
        <f>H$43+(H$45*$S$31)/H$44</f>
        <v>1.8</v>
      </c>
      <c r="I54">
        <f>I$43+($G13+I$45*$S$31)/I$44</f>
        <v>152.13400470943492</v>
      </c>
      <c r="M54">
        <v>2100</v>
      </c>
      <c r="N54">
        <f t="shared" si="9"/>
        <v>630434.56473836035</v>
      </c>
      <c r="O54">
        <f t="shared" si="10"/>
        <v>384109.95185558952</v>
      </c>
      <c r="P54">
        <f t="shared" si="11"/>
        <v>431388.18750524695</v>
      </c>
      <c r="Q54">
        <f t="shared" si="12"/>
        <v>49113.867432207924</v>
      </c>
      <c r="R54">
        <f t="shared" si="13"/>
        <v>246455.94912758347</v>
      </c>
      <c r="S54">
        <f t="shared" si="14"/>
        <v>141409.7950776217</v>
      </c>
      <c r="T54">
        <f t="shared" si="15"/>
        <v>37678.533435403006</v>
      </c>
      <c r="U54">
        <f t="shared" si="16"/>
        <v>425900.65873637021</v>
      </c>
    </row>
    <row r="55" spans="1:21">
      <c r="A55">
        <v>2028</v>
      </c>
      <c r="B55">
        <f>B$43+($L14+B$45*$S$31)/B$44</f>
        <v>123.25922330097089</v>
      </c>
      <c r="C55">
        <f t="shared" ref="C55:E55" si="23">C$43+($G14+C$45*$S$31)/C$44</f>
        <v>137.61588387322502</v>
      </c>
      <c r="D55">
        <f>D$43+($G14+D$45*$S$31)/D$44</f>
        <v>193.76439340155179</v>
      </c>
      <c r="E55">
        <f>E$43+(E$45*$S$31)/E$44</f>
        <v>0</v>
      </c>
      <c r="F55">
        <f>F$43+(F$45*$S$31)/F$44</f>
        <v>2.7</v>
      </c>
      <c r="G55">
        <f>G$43+(G$45*$S$31)/G$44</f>
        <v>1.35</v>
      </c>
      <c r="H55">
        <f>H$43+(H$45*$S$31)/H$44</f>
        <v>1.8</v>
      </c>
      <c r="I55">
        <f>I$43+($G14+I$45*$S$31)/I$44</f>
        <v>153.5541304955986</v>
      </c>
      <c r="M55">
        <v>2400</v>
      </c>
      <c r="N55">
        <f t="shared" si="9"/>
        <v>667412.33172865154</v>
      </c>
      <c r="O55">
        <f t="shared" si="10"/>
        <v>422433.40554214711</v>
      </c>
      <c r="P55">
        <f t="shared" si="11"/>
        <v>485316.57529315422</v>
      </c>
      <c r="Q55">
        <f t="shared" si="12"/>
        <v>49113.867432207924</v>
      </c>
      <c r="R55">
        <f t="shared" si="13"/>
        <v>247265.94912758347</v>
      </c>
      <c r="S55">
        <f t="shared" si="14"/>
        <v>141814.7950776217</v>
      </c>
      <c r="T55">
        <f t="shared" si="15"/>
        <v>38218.533435403006</v>
      </c>
      <c r="U55">
        <f t="shared" si="16"/>
        <v>468558.59599825728</v>
      </c>
    </row>
    <row r="56" spans="1:21">
      <c r="A56">
        <v>2029</v>
      </c>
      <c r="B56">
        <f>B$43+($L15+B$45*$S$31)/B$44</f>
        <v>123.25922330097089</v>
      </c>
      <c r="C56">
        <f t="shared" ref="C56:E56" si="24">C$43+($G15+C$45*$S$31)/C$44</f>
        <v>138.84976365464556</v>
      </c>
      <c r="D56">
        <f>D$43+($G15+D$45*$S$31)/D$44</f>
        <v>195.51478099845068</v>
      </c>
      <c r="E56">
        <f>E$43+(E$45*$S$31)/E$44</f>
        <v>0</v>
      </c>
      <c r="F56">
        <f>F$43+(F$45*$S$31)/F$44</f>
        <v>2.7</v>
      </c>
      <c r="G56">
        <f>G$43+(G$45*$S$31)/G$44</f>
        <v>1.35</v>
      </c>
      <c r="H56">
        <f>H$43+(H$45*$S$31)/H$44</f>
        <v>1.8</v>
      </c>
      <c r="I56">
        <f>I$43+($G15+I$45*$S$31)/I$44</f>
        <v>154.97425628176188</v>
      </c>
      <c r="M56">
        <v>2700</v>
      </c>
      <c r="N56">
        <f t="shared" si="9"/>
        <v>704390.09871894284</v>
      </c>
      <c r="O56">
        <f t="shared" si="10"/>
        <v>460756.85922870471</v>
      </c>
      <c r="P56">
        <f t="shared" si="11"/>
        <v>539244.96308106161</v>
      </c>
      <c r="Q56">
        <f t="shared" si="12"/>
        <v>49113.867432207924</v>
      </c>
      <c r="R56">
        <f t="shared" si="13"/>
        <v>248075.94912758347</v>
      </c>
      <c r="S56">
        <f t="shared" si="14"/>
        <v>142219.7950776217</v>
      </c>
      <c r="T56">
        <f t="shared" si="15"/>
        <v>38758.533435403006</v>
      </c>
      <c r="U56">
        <f t="shared" si="16"/>
        <v>511216.53326014435</v>
      </c>
    </row>
    <row r="57" spans="1:21">
      <c r="A57">
        <v>2030</v>
      </c>
      <c r="B57">
        <f>B$43+($L16+B$45*$S$31)/B$44</f>
        <v>123.25922330097089</v>
      </c>
      <c r="C57">
        <f t="shared" ref="C57:E57" si="25">C$43+($G16+C$45*$S$31)/C$44</f>
        <v>140.08364343606647</v>
      </c>
      <c r="D57">
        <f>D$43+($G16+D$45*$S$31)/D$44</f>
        <v>197.26516859535013</v>
      </c>
      <c r="E57">
        <f>E$43+(E$45*$S$31)/E$44</f>
        <v>0</v>
      </c>
      <c r="F57">
        <f>F$43+(F$45*$S$31)/F$44</f>
        <v>2.7</v>
      </c>
      <c r="G57">
        <f>G$43+(G$45*$S$31)/G$44</f>
        <v>1.35</v>
      </c>
      <c r="H57">
        <f>H$43+(H$45*$S$31)/H$44</f>
        <v>1.8</v>
      </c>
      <c r="I57">
        <f>I$43+($G16+I$45*$S$31)/I$44</f>
        <v>156.39438206792556</v>
      </c>
      <c r="M57">
        <v>3000</v>
      </c>
      <c r="N57">
        <f t="shared" si="9"/>
        <v>741367.86570923415</v>
      </c>
      <c r="O57">
        <f t="shared" si="10"/>
        <v>499080.3129152623</v>
      </c>
      <c r="P57">
        <f t="shared" si="11"/>
        <v>593173.35086896888</v>
      </c>
      <c r="Q57">
        <f t="shared" si="12"/>
        <v>49113.867432207924</v>
      </c>
      <c r="R57">
        <f t="shared" si="13"/>
        <v>248885.94912758347</v>
      </c>
      <c r="S57">
        <f t="shared" si="14"/>
        <v>142624.7950776217</v>
      </c>
      <c r="T57">
        <f t="shared" si="15"/>
        <v>39298.533435403006</v>
      </c>
      <c r="U57">
        <f t="shared" si="16"/>
        <v>553874.47052203142</v>
      </c>
    </row>
    <row r="58" spans="1:21">
      <c r="A58">
        <v>2031</v>
      </c>
      <c r="B58">
        <f>B$43+($L17+B$45*$S$31)/B$44</f>
        <v>123.25922330097089</v>
      </c>
      <c r="C58">
        <f t="shared" ref="C58:E58" si="26">C$43+($G17+C$45*$S$31)/C$44</f>
        <v>141.31752321748738</v>
      </c>
      <c r="D58">
        <f>D$43+($G17+D$45*$S$31)/D$44</f>
        <v>199.01555619224956</v>
      </c>
      <c r="E58">
        <f>E$43+(E$45*$S$31)/E$44</f>
        <v>0</v>
      </c>
      <c r="F58">
        <f>F$43+(F$45*$S$31)/F$44</f>
        <v>2.7</v>
      </c>
      <c r="G58">
        <f>G$43+(G$45*$S$31)/G$44</f>
        <v>1.35</v>
      </c>
      <c r="H58">
        <f>H$43+(H$45*$S$31)/H$44</f>
        <v>1.8</v>
      </c>
      <c r="I58">
        <f>I$43+($G17+I$45*$S$31)/I$44</f>
        <v>157.81450785408924</v>
      </c>
      <c r="M58">
        <v>3300</v>
      </c>
      <c r="N58">
        <f t="shared" si="9"/>
        <v>778345.63269952533</v>
      </c>
      <c r="O58">
        <f t="shared" si="10"/>
        <v>537403.76660182001</v>
      </c>
      <c r="P58">
        <f t="shared" si="11"/>
        <v>647101.73865687614</v>
      </c>
      <c r="Q58">
        <f t="shared" si="12"/>
        <v>49113.867432207924</v>
      </c>
      <c r="R58">
        <f t="shared" si="13"/>
        <v>249695.94912758347</v>
      </c>
      <c r="S58">
        <f t="shared" si="14"/>
        <v>143029.7950776217</v>
      </c>
      <c r="T58">
        <f t="shared" si="15"/>
        <v>39838.533435403006</v>
      </c>
      <c r="U58">
        <f t="shared" si="16"/>
        <v>596532.40778391843</v>
      </c>
    </row>
    <row r="59" spans="1:21">
      <c r="A59">
        <v>2032</v>
      </c>
      <c r="B59">
        <f>B$43+($L18+B$45*$S$31)/B$44</f>
        <v>123.25922330097089</v>
      </c>
      <c r="C59">
        <f t="shared" ref="C59:E59" si="27">C$43+($G18+C$45*$S$31)/C$44</f>
        <v>142.55140299890792</v>
      </c>
      <c r="D59">
        <f>D$43+($G18+D$45*$S$31)/D$44</f>
        <v>200.76594378914845</v>
      </c>
      <c r="E59">
        <f>E$43+(E$45*$S$31)/E$44</f>
        <v>0</v>
      </c>
      <c r="F59">
        <f>F$43+(F$45*$S$31)/F$44</f>
        <v>2.7</v>
      </c>
      <c r="G59">
        <f>G$43+(G$45*$S$31)/G$44</f>
        <v>1.35</v>
      </c>
      <c r="H59">
        <f>H$43+(H$45*$S$31)/H$44</f>
        <v>1.8</v>
      </c>
      <c r="I59">
        <f>I$43+($G18+I$45*$S$31)/I$44</f>
        <v>159.2346336402525</v>
      </c>
      <c r="M59">
        <v>3600</v>
      </c>
      <c r="N59">
        <f t="shared" si="9"/>
        <v>815323.39968981664</v>
      </c>
      <c r="O59">
        <f t="shared" si="10"/>
        <v>575727.2202883776</v>
      </c>
      <c r="P59">
        <f t="shared" si="11"/>
        <v>701030.12644478353</v>
      </c>
      <c r="Q59">
        <f t="shared" si="12"/>
        <v>49113.867432207924</v>
      </c>
      <c r="R59">
        <f t="shared" si="13"/>
        <v>250505.94912758347</v>
      </c>
      <c r="S59">
        <f t="shared" si="14"/>
        <v>143434.7950776217</v>
      </c>
      <c r="T59">
        <f t="shared" si="15"/>
        <v>40378.533435403006</v>
      </c>
      <c r="U59">
        <f t="shared" si="16"/>
        <v>639190.34504580556</v>
      </c>
    </row>
    <row r="60" spans="1:21">
      <c r="A60">
        <v>2033</v>
      </c>
      <c r="B60">
        <f>B$43+($L19+B$45*$S$31)/B$44</f>
        <v>123.25922330097089</v>
      </c>
      <c r="C60">
        <f t="shared" ref="C60:E60" si="28">C$43+($G19+C$45*$S$31)/C$44</f>
        <v>143.78528278032883</v>
      </c>
      <c r="D60">
        <f>D$43+($G19+D$45*$S$31)/D$44</f>
        <v>202.51633138604788</v>
      </c>
      <c r="E60">
        <f>E$43+(E$45*$S$31)/E$44</f>
        <v>0</v>
      </c>
      <c r="F60">
        <f>F$43+(F$45*$S$31)/F$44</f>
        <v>2.7</v>
      </c>
      <c r="G60">
        <f>G$43+(G$45*$S$31)/G$44</f>
        <v>1.35</v>
      </c>
      <c r="H60">
        <f>H$43+(H$45*$S$31)/H$44</f>
        <v>1.8</v>
      </c>
      <c r="I60">
        <f>I$43+($G19+I$45*$S$31)/I$44</f>
        <v>160.65475942641621</v>
      </c>
      <c r="M60">
        <v>3900</v>
      </c>
      <c r="N60">
        <f t="shared" si="9"/>
        <v>852301.16668010794</v>
      </c>
      <c r="O60">
        <f t="shared" si="10"/>
        <v>614050.6739749352</v>
      </c>
      <c r="P60">
        <f t="shared" si="11"/>
        <v>754958.5142326908</v>
      </c>
      <c r="Q60">
        <f t="shared" si="12"/>
        <v>49113.867432207924</v>
      </c>
      <c r="R60">
        <f t="shared" si="13"/>
        <v>251315.94912758347</v>
      </c>
      <c r="S60">
        <f t="shared" si="14"/>
        <v>143839.7950776217</v>
      </c>
      <c r="T60">
        <f t="shared" si="15"/>
        <v>40918.533435403006</v>
      </c>
      <c r="U60">
        <f t="shared" si="16"/>
        <v>681848.28230769269</v>
      </c>
    </row>
    <row r="61" spans="1:21">
      <c r="A61">
        <v>2034</v>
      </c>
      <c r="B61">
        <f>B$43+($L20+B$45*$S$31)/B$44</f>
        <v>123.25922330097089</v>
      </c>
      <c r="C61">
        <f t="shared" ref="C61:E61" si="29">C$43+($G20+C$45*$S$31)/C$44</f>
        <v>145.01916256174937</v>
      </c>
      <c r="D61">
        <f>D$43+($G20+D$45*$S$31)/D$44</f>
        <v>204.26671898294677</v>
      </c>
      <c r="E61">
        <f>E$43+(E$45*$S$31)/E$44</f>
        <v>0</v>
      </c>
      <c r="F61">
        <f>F$43+(F$45*$S$31)/F$44</f>
        <v>2.7</v>
      </c>
      <c r="G61">
        <f>G$43+(G$45*$S$31)/G$44</f>
        <v>1.35</v>
      </c>
      <c r="H61">
        <f>H$43+(H$45*$S$31)/H$44</f>
        <v>1.8</v>
      </c>
      <c r="I61">
        <f>I$43+($G20+I$45*$S$31)/I$44</f>
        <v>162.07488521257946</v>
      </c>
      <c r="M61">
        <v>4200</v>
      </c>
      <c r="N61">
        <f t="shared" si="9"/>
        <v>889278.93367039924</v>
      </c>
      <c r="O61">
        <f t="shared" si="10"/>
        <v>652374.12766149279</v>
      </c>
      <c r="P61">
        <f t="shared" si="11"/>
        <v>808886.90202059818</v>
      </c>
      <c r="Q61">
        <f t="shared" si="12"/>
        <v>49113.867432207924</v>
      </c>
      <c r="R61">
        <f t="shared" si="13"/>
        <v>252125.94912758347</v>
      </c>
      <c r="S61">
        <f t="shared" si="14"/>
        <v>144244.7950776217</v>
      </c>
      <c r="T61">
        <f t="shared" si="15"/>
        <v>41458.533435403006</v>
      </c>
      <c r="U61">
        <f t="shared" si="16"/>
        <v>724506.2195695797</v>
      </c>
    </row>
    <row r="62" spans="1:21">
      <c r="A62">
        <v>2035</v>
      </c>
      <c r="B62">
        <f>B$43+($L21+B$45*$S$31)/B$44</f>
        <v>123.25922330097089</v>
      </c>
      <c r="C62">
        <f t="shared" ref="C62:E62" si="30">C$43+($G21+C$45*$S$31)/C$44</f>
        <v>146.25304234317028</v>
      </c>
      <c r="D62">
        <f>D$43+($G21+D$45*$S$31)/D$44</f>
        <v>206.01710657984623</v>
      </c>
      <c r="E62">
        <f>E$43+(E$45*$S$31)/E$44</f>
        <v>0</v>
      </c>
      <c r="F62">
        <f>F$43+(F$45*$S$31)/F$44</f>
        <v>2.7</v>
      </c>
      <c r="G62">
        <f>G$43+(G$45*$S$31)/G$44</f>
        <v>1.35</v>
      </c>
      <c r="H62">
        <f>H$43+(H$45*$S$31)/H$44</f>
        <v>1.8</v>
      </c>
      <c r="I62">
        <f>I$43+($G21+I$45*$S$31)/I$44</f>
        <v>163.49501099874314</v>
      </c>
      <c r="M62">
        <v>4500</v>
      </c>
      <c r="N62">
        <f t="shared" si="9"/>
        <v>926256.70066069043</v>
      </c>
      <c r="O62">
        <f t="shared" si="10"/>
        <v>690697.58134805039</v>
      </c>
      <c r="P62">
        <f t="shared" si="11"/>
        <v>862815.28980850545</v>
      </c>
      <c r="Q62">
        <f t="shared" si="12"/>
        <v>49113.867432207924</v>
      </c>
      <c r="R62">
        <f t="shared" si="13"/>
        <v>252935.94912758347</v>
      </c>
      <c r="S62">
        <f t="shared" si="14"/>
        <v>144649.7950776217</v>
      </c>
      <c r="T62">
        <f t="shared" si="15"/>
        <v>41998.533435403006</v>
      </c>
      <c r="U62">
        <f t="shared" si="16"/>
        <v>767164.15683146683</v>
      </c>
    </row>
    <row r="63" spans="1:21">
      <c r="A63">
        <v>2036</v>
      </c>
      <c r="B63">
        <f>B$43+($L22+B$45*$S$31)/B$44</f>
        <v>123.25922330097089</v>
      </c>
      <c r="C63">
        <f t="shared" ref="C63:E63" si="31">C$43+($G22+C$45*$S$31)/C$44</f>
        <v>147.48692212459119</v>
      </c>
      <c r="D63">
        <f>D$43+($G22+D$45*$S$31)/D$44</f>
        <v>207.76749417674566</v>
      </c>
      <c r="E63">
        <f>E$43+(E$45*$S$31)/E$44</f>
        <v>0</v>
      </c>
      <c r="F63">
        <f>F$43+(F$45*$S$31)/F$44</f>
        <v>2.7</v>
      </c>
      <c r="G63">
        <f>G$43+(G$45*$S$31)/G$44</f>
        <v>1.35</v>
      </c>
      <c r="H63">
        <f>H$43+(H$45*$S$31)/H$44</f>
        <v>1.8</v>
      </c>
      <c r="I63">
        <f>I$43+($G22+I$45*$S$31)/I$44</f>
        <v>164.91513678490682</v>
      </c>
      <c r="M63">
        <v>4800</v>
      </c>
      <c r="N63">
        <f t="shared" si="9"/>
        <v>963234.46765098174</v>
      </c>
      <c r="O63">
        <f t="shared" si="10"/>
        <v>729021.03503460798</v>
      </c>
      <c r="P63">
        <f t="shared" si="11"/>
        <v>916743.67759641272</v>
      </c>
      <c r="Q63">
        <f t="shared" si="12"/>
        <v>49113.867432207924</v>
      </c>
      <c r="R63">
        <f t="shared" si="13"/>
        <v>253745.94912758347</v>
      </c>
      <c r="S63">
        <f t="shared" si="14"/>
        <v>145054.7950776217</v>
      </c>
      <c r="T63">
        <f t="shared" si="15"/>
        <v>42538.533435403006</v>
      </c>
      <c r="U63">
        <f t="shared" si="16"/>
        <v>809822.09409335384</v>
      </c>
    </row>
    <row r="64" spans="1:21">
      <c r="A64">
        <v>2037</v>
      </c>
      <c r="B64">
        <f>B$43+($L23+B$45*$S$31)/B$44</f>
        <v>123.25922330097089</v>
      </c>
      <c r="C64">
        <f t="shared" ref="C64:E64" si="32">C$43+($G23+C$45*$S$31)/C$44</f>
        <v>148.72080190601173</v>
      </c>
      <c r="D64">
        <f>D$43+($G23+D$45*$S$31)/D$44</f>
        <v>209.51788177364455</v>
      </c>
      <c r="E64">
        <f>E$43+(E$45*$S$31)/E$44</f>
        <v>0</v>
      </c>
      <c r="F64">
        <f>F$43+(F$45*$S$31)/F$44</f>
        <v>2.7</v>
      </c>
      <c r="G64">
        <f>G$43+(G$45*$S$31)/G$44</f>
        <v>1.35</v>
      </c>
      <c r="H64">
        <f>H$43+(H$45*$S$31)/H$44</f>
        <v>1.8</v>
      </c>
      <c r="I64">
        <f>I$43+($G23+I$45*$S$31)/I$44</f>
        <v>166.3352625710701</v>
      </c>
      <c r="M64">
        <v>5100</v>
      </c>
      <c r="N64">
        <f t="shared" si="9"/>
        <v>1000212.234641273</v>
      </c>
      <c r="O64">
        <f t="shared" si="10"/>
        <v>767344.48872116569</v>
      </c>
      <c r="P64">
        <f t="shared" si="11"/>
        <v>970672.0653843201</v>
      </c>
      <c r="Q64">
        <f t="shared" si="12"/>
        <v>49113.867432207924</v>
      </c>
      <c r="R64">
        <f t="shared" si="13"/>
        <v>254555.94912758347</v>
      </c>
      <c r="S64">
        <f t="shared" si="14"/>
        <v>145459.7950776217</v>
      </c>
      <c r="T64">
        <f t="shared" si="15"/>
        <v>43078.533435403006</v>
      </c>
      <c r="U64">
        <f t="shared" si="16"/>
        <v>852480.03135524096</v>
      </c>
    </row>
    <row r="65" spans="1:21">
      <c r="A65">
        <v>2038</v>
      </c>
      <c r="B65">
        <f>B$43+($L24+B$45*$S$31)/B$44</f>
        <v>123.25922330097089</v>
      </c>
      <c r="C65">
        <f t="shared" ref="C65:E65" si="33">C$43+($G24+C$45*$S$31)/C$44</f>
        <v>149.95468168743264</v>
      </c>
      <c r="D65">
        <f>D$43+($G24+D$45*$S$31)/D$44</f>
        <v>211.26826937054398</v>
      </c>
      <c r="E65">
        <f>E$43+(E$45*$S$31)/E$44</f>
        <v>0</v>
      </c>
      <c r="F65">
        <f>F$43+(F$45*$S$31)/F$44</f>
        <v>2.7</v>
      </c>
      <c r="G65">
        <f>G$43+(G$45*$S$31)/G$44</f>
        <v>1.35</v>
      </c>
      <c r="H65">
        <f>H$43+(H$45*$S$31)/H$44</f>
        <v>1.8</v>
      </c>
      <c r="I65">
        <f>I$43+($G24+I$45*$S$31)/I$44</f>
        <v>167.75538835723378</v>
      </c>
      <c r="M65">
        <v>5400</v>
      </c>
      <c r="N65">
        <f t="shared" si="9"/>
        <v>1037190.0016315642</v>
      </c>
      <c r="O65">
        <f t="shared" si="10"/>
        <v>805667.94240772328</v>
      </c>
      <c r="P65">
        <f t="shared" si="11"/>
        <v>1024600.4531722274</v>
      </c>
      <c r="Q65">
        <f t="shared" si="12"/>
        <v>49113.867432207924</v>
      </c>
      <c r="R65">
        <f t="shared" si="13"/>
        <v>255365.94912758347</v>
      </c>
      <c r="S65">
        <f t="shared" si="14"/>
        <v>145864.7950776217</v>
      </c>
      <c r="T65">
        <f t="shared" si="15"/>
        <v>43618.533435403006</v>
      </c>
      <c r="U65">
        <f t="shared" si="16"/>
        <v>895137.96861712798</v>
      </c>
    </row>
    <row r="66" spans="1:21">
      <c r="A66">
        <v>2039</v>
      </c>
      <c r="B66">
        <f>B$43+($L25+B$45*$S$31)/B$44</f>
        <v>123.25922330097089</v>
      </c>
      <c r="C66">
        <f t="shared" ref="C66:E66" si="34">C$43+($G25+C$45*$S$31)/C$44</f>
        <v>151.18856146885318</v>
      </c>
      <c r="D66">
        <f>D$43+($G25+D$45*$S$31)/D$44</f>
        <v>213.01865696744289</v>
      </c>
      <c r="E66">
        <f>E$43+(E$45*$S$31)/E$44</f>
        <v>0</v>
      </c>
      <c r="F66">
        <f>F$43+(F$45*$S$31)/F$44</f>
        <v>2.7</v>
      </c>
      <c r="G66">
        <f>G$43+(G$45*$S$31)/G$44</f>
        <v>1.35</v>
      </c>
      <c r="H66">
        <f>H$43+(H$45*$S$31)/H$44</f>
        <v>1.8</v>
      </c>
      <c r="I66">
        <f>I$43+($G25+I$45*$S$31)/I$44</f>
        <v>169.17551414339704</v>
      </c>
      <c r="M66">
        <v>5700</v>
      </c>
      <c r="N66">
        <f t="shared" si="9"/>
        <v>1074167.7686218554</v>
      </c>
      <c r="O66">
        <f t="shared" si="10"/>
        <v>843991.39609428088</v>
      </c>
      <c r="P66">
        <f t="shared" si="11"/>
        <v>1078528.8409601348</v>
      </c>
      <c r="Q66">
        <f t="shared" si="12"/>
        <v>49113.867432207924</v>
      </c>
      <c r="R66">
        <f t="shared" si="13"/>
        <v>256175.94912758347</v>
      </c>
      <c r="S66">
        <f t="shared" si="14"/>
        <v>146269.7950776217</v>
      </c>
      <c r="T66">
        <f t="shared" si="15"/>
        <v>44158.533435403006</v>
      </c>
      <c r="U66">
        <f t="shared" si="16"/>
        <v>937795.9058790151</v>
      </c>
    </row>
    <row r="67" spans="1:21">
      <c r="A67">
        <v>2040</v>
      </c>
      <c r="B67">
        <f>B$43+($L26+B$45*$S$31)/B$44</f>
        <v>123.25922330097089</v>
      </c>
      <c r="C67">
        <f t="shared" ref="C67:E67" si="35">C$43+($G26+C$45*$S$31)/C$44</f>
        <v>152.42244125027409</v>
      </c>
      <c r="D67">
        <f>D$43+($G26+D$45*$S$31)/D$44</f>
        <v>214.76904456434232</v>
      </c>
      <c r="E67">
        <f>E$43+(E$45*$S$31)/E$44</f>
        <v>0</v>
      </c>
      <c r="F67">
        <f>F$43+(F$45*$S$31)/F$44</f>
        <v>2.7</v>
      </c>
      <c r="G67">
        <f>G$43+(G$45*$S$31)/G$44</f>
        <v>1.35</v>
      </c>
      <c r="H67">
        <f>H$43+(H$45*$S$31)/H$44</f>
        <v>1.8</v>
      </c>
      <c r="I67">
        <f>I$43+($G26+I$45*$S$31)/I$44</f>
        <v>170.59563992956072</v>
      </c>
      <c r="M67">
        <v>6000</v>
      </c>
      <c r="N67">
        <f t="shared" si="9"/>
        <v>1111145.5356121468</v>
      </c>
      <c r="O67">
        <f t="shared" si="10"/>
        <v>882314.84978083847</v>
      </c>
      <c r="P67">
        <f t="shared" si="11"/>
        <v>1132457.2287480421</v>
      </c>
      <c r="Q67">
        <f t="shared" si="12"/>
        <v>49113.867432207924</v>
      </c>
      <c r="R67">
        <f t="shared" si="13"/>
        <v>256985.94912758347</v>
      </c>
      <c r="S67">
        <f t="shared" si="14"/>
        <v>146674.7950776217</v>
      </c>
      <c r="T67">
        <f t="shared" si="15"/>
        <v>44698.533435403006</v>
      </c>
      <c r="U67">
        <f t="shared" si="16"/>
        <v>980453.84314090211</v>
      </c>
    </row>
    <row r="68" spans="1:21">
      <c r="A68">
        <v>2041</v>
      </c>
      <c r="B68">
        <f>B$43+($L27+B$45*$S$31)/B$44</f>
        <v>123.25922330097089</v>
      </c>
      <c r="C68">
        <f t="shared" ref="C68:E68" si="36">C$43+($G27+C$45*$S$31)/C$44</f>
        <v>153.656321031695</v>
      </c>
      <c r="D68">
        <f>D$43+($G27+D$45*$S$31)/D$44</f>
        <v>216.51943216124175</v>
      </c>
      <c r="E68">
        <f>E$43+(E$45*$S$31)/E$44</f>
        <v>0</v>
      </c>
      <c r="F68">
        <f>F$43+(F$45*$S$31)/F$44</f>
        <v>2.7</v>
      </c>
      <c r="G68">
        <f>G$43+(G$45*$S$31)/G$44</f>
        <v>1.35</v>
      </c>
      <c r="H68">
        <f>H$43+(H$45*$S$31)/H$44</f>
        <v>1.8</v>
      </c>
      <c r="I68">
        <f>I$43+($G27+I$45*$S$31)/I$44</f>
        <v>172.01576571572443</v>
      </c>
      <c r="M68">
        <v>6300</v>
      </c>
      <c r="N68">
        <f t="shared" si="9"/>
        <v>1148123.302602438</v>
      </c>
      <c r="O68">
        <f t="shared" si="10"/>
        <v>920638.30346739618</v>
      </c>
      <c r="P68">
        <f t="shared" si="11"/>
        <v>1186385.6165359495</v>
      </c>
      <c r="Q68">
        <f t="shared" si="12"/>
        <v>49113.867432207924</v>
      </c>
      <c r="R68">
        <f t="shared" si="13"/>
        <v>257795.94912758347</v>
      </c>
      <c r="S68">
        <f t="shared" si="14"/>
        <v>147079.7950776217</v>
      </c>
      <c r="T68">
        <f t="shared" si="15"/>
        <v>45238.533435403006</v>
      </c>
      <c r="U68">
        <f t="shared" si="16"/>
        <v>1023111.7804027892</v>
      </c>
    </row>
    <row r="69" spans="1:21">
      <c r="A69">
        <v>2042</v>
      </c>
      <c r="B69">
        <f>B$43+($L28+B$45*$S$31)/B$44</f>
        <v>123.25922330097089</v>
      </c>
      <c r="C69">
        <f t="shared" ref="C69:E69" si="37">C$43+($G28+C$45*$S$31)/C$44</f>
        <v>154.89020081311551</v>
      </c>
      <c r="D69">
        <f>D$43+($G28+D$45*$S$31)/D$44</f>
        <v>218.26981975814064</v>
      </c>
      <c r="E69">
        <f>E$43+(E$45*$S$31)/E$44</f>
        <v>0</v>
      </c>
      <c r="F69">
        <f>F$43+(F$45*$S$31)/F$44</f>
        <v>2.7</v>
      </c>
      <c r="G69">
        <f>G$43+(G$45*$S$31)/G$44</f>
        <v>1.35</v>
      </c>
      <c r="H69">
        <f>H$43+(H$45*$S$31)/H$44</f>
        <v>1.8</v>
      </c>
      <c r="I69">
        <f>I$43+($G28+I$45*$S$31)/I$44</f>
        <v>173.43589150188768</v>
      </c>
      <c r="M69">
        <v>6600</v>
      </c>
      <c r="N69">
        <f t="shared" si="9"/>
        <v>1185101.0695927292</v>
      </c>
      <c r="O69">
        <f t="shared" si="10"/>
        <v>958961.75715395377</v>
      </c>
      <c r="P69">
        <f t="shared" si="11"/>
        <v>1240314.0043238567</v>
      </c>
      <c r="Q69">
        <f t="shared" si="12"/>
        <v>49113.867432207924</v>
      </c>
      <c r="R69">
        <f t="shared" si="13"/>
        <v>258605.94912758347</v>
      </c>
      <c r="S69">
        <f t="shared" si="14"/>
        <v>147484.7950776217</v>
      </c>
      <c r="T69">
        <f t="shared" si="15"/>
        <v>45778.533435403006</v>
      </c>
      <c r="U69">
        <f t="shared" si="16"/>
        <v>1065769.7176646763</v>
      </c>
    </row>
    <row r="70" spans="1:21">
      <c r="A70">
        <v>2043</v>
      </c>
      <c r="B70">
        <f>B$43+($L29+B$45*$S$31)/B$44</f>
        <v>123.25922330097089</v>
      </c>
      <c r="C70">
        <f t="shared" ref="C70:E70" si="38">C$43+($G29+C$45*$S$31)/C$44</f>
        <v>156.12408059453642</v>
      </c>
      <c r="D70">
        <f>D$43+($G29+D$45*$S$31)/D$44</f>
        <v>220.02020735504007</v>
      </c>
      <c r="E70">
        <f>E$43+(E$45*$S$31)/E$44</f>
        <v>0</v>
      </c>
      <c r="F70">
        <f>F$43+(F$45*$S$31)/F$44</f>
        <v>2.7</v>
      </c>
      <c r="G70">
        <f>G$43+(G$45*$S$31)/G$44</f>
        <v>1.35</v>
      </c>
      <c r="H70">
        <f>H$43+(H$45*$S$31)/H$44</f>
        <v>1.8</v>
      </c>
      <c r="I70">
        <f>I$43+($G29+I$45*$S$31)/I$44</f>
        <v>174.85601728805136</v>
      </c>
      <c r="M70">
        <v>6900</v>
      </c>
      <c r="N70">
        <f t="shared" si="9"/>
        <v>1222078.8365830206</v>
      </c>
      <c r="O70">
        <f t="shared" si="10"/>
        <v>997285.21084051137</v>
      </c>
      <c r="P70">
        <f t="shared" si="11"/>
        <v>1294242.3921117641</v>
      </c>
      <c r="Q70">
        <f t="shared" si="12"/>
        <v>49113.867432207924</v>
      </c>
      <c r="R70">
        <f t="shared" si="13"/>
        <v>259415.94912758347</v>
      </c>
      <c r="S70">
        <f t="shared" si="14"/>
        <v>147889.7950776217</v>
      </c>
      <c r="T70">
        <f t="shared" si="15"/>
        <v>46318.533435403006</v>
      </c>
      <c r="U70">
        <f t="shared" si="16"/>
        <v>1108427.6549265634</v>
      </c>
    </row>
    <row r="71" spans="1:21">
      <c r="A71">
        <v>2044</v>
      </c>
      <c r="B71">
        <f>B$43+($L30+B$45*$S$31)/B$44</f>
        <v>123.25922330097089</v>
      </c>
      <c r="C71">
        <f t="shared" ref="C71:E71" si="39">C$43+($G30+C$45*$S$31)/C$44</f>
        <v>157.35796037595733</v>
      </c>
      <c r="D71">
        <f>D$43+($G30+D$45*$S$31)/D$44</f>
        <v>221.7705949519395</v>
      </c>
      <c r="E71">
        <f>E$43+(E$45*$S$31)/E$44</f>
        <v>0</v>
      </c>
      <c r="F71">
        <f>F$43+(F$45*$S$31)/F$44</f>
        <v>2.7</v>
      </c>
      <c r="G71">
        <f>G$43+(G$45*$S$31)/G$44</f>
        <v>1.35</v>
      </c>
      <c r="H71">
        <f>H$43+(H$45*$S$31)/H$44</f>
        <v>1.8</v>
      </c>
      <c r="I71">
        <f>I$43+($G30+I$45*$S$31)/I$44</f>
        <v>176.27614307421507</v>
      </c>
      <c r="M71">
        <v>7200</v>
      </c>
      <c r="N71">
        <f t="shared" si="9"/>
        <v>1259056.6035733118</v>
      </c>
      <c r="O71">
        <f t="shared" si="10"/>
        <v>1035608.664527069</v>
      </c>
      <c r="P71">
        <f t="shared" si="11"/>
        <v>1348170.7798996714</v>
      </c>
      <c r="Q71">
        <f t="shared" si="12"/>
        <v>49113.867432207924</v>
      </c>
      <c r="R71">
        <f t="shared" si="13"/>
        <v>260225.94912758347</v>
      </c>
      <c r="S71">
        <f t="shared" si="14"/>
        <v>148294.7950776217</v>
      </c>
      <c r="T71">
        <f t="shared" si="15"/>
        <v>46858.533435403006</v>
      </c>
      <c r="U71">
        <f t="shared" si="16"/>
        <v>1151085.5921884503</v>
      </c>
    </row>
    <row r="72" spans="1:21">
      <c r="A72">
        <v>2045</v>
      </c>
      <c r="B72">
        <f>B$43+($L31+B$45*$S$31)/B$44</f>
        <v>123.25922330097089</v>
      </c>
      <c r="C72">
        <f>C$43+($G31+C$45*$S$31)/C$44</f>
        <v>158.59184015737787</v>
      </c>
      <c r="D72">
        <f>D$43+($G31+D$45*$S$31)/D$44</f>
        <v>223.52098254883842</v>
      </c>
      <c r="E72">
        <f>E$43+(E$45*$S$31)/E$44</f>
        <v>0</v>
      </c>
      <c r="F72">
        <f>F$43+(F$45*$S$31)/F$44</f>
        <v>2.7</v>
      </c>
      <c r="G72">
        <f>G$43+(G$45*$S$31)/G$44</f>
        <v>1.35</v>
      </c>
      <c r="H72">
        <f>H$43+(H$45*$S$31)/H$44</f>
        <v>1.8</v>
      </c>
      <c r="I72">
        <f>I$43+($G31+I$45*$S$31)/I$44</f>
        <v>177.69626886037832</v>
      </c>
      <c r="M72">
        <v>7500</v>
      </c>
      <c r="N72">
        <f t="shared" si="9"/>
        <v>1296034.370563603</v>
      </c>
      <c r="O72">
        <f t="shared" si="10"/>
        <v>1073932.1182136266</v>
      </c>
      <c r="P72">
        <f t="shared" si="11"/>
        <v>1402099.1676875788</v>
      </c>
      <c r="Q72">
        <f t="shared" si="12"/>
        <v>49113.867432207924</v>
      </c>
      <c r="R72">
        <f t="shared" si="13"/>
        <v>261035.94912758347</v>
      </c>
      <c r="S72">
        <f t="shared" si="14"/>
        <v>148699.7950776217</v>
      </c>
      <c r="T72">
        <f t="shared" si="15"/>
        <v>47398.533435403006</v>
      </c>
      <c r="U72">
        <f t="shared" si="16"/>
        <v>1193743.5294503374</v>
      </c>
    </row>
    <row r="73" spans="1:21">
      <c r="A73">
        <v>2046</v>
      </c>
      <c r="B73">
        <f>B$43+($L32+B$45*$S$31)/B$44</f>
        <v>123.25922330097089</v>
      </c>
      <c r="C73">
        <f t="shared" ref="C73:E73" si="40">C$43+($G32+C$45*$S$31)/C$44</f>
        <v>159.82571993879878</v>
      </c>
      <c r="D73">
        <f>D$43+($G32+D$45*$S$31)/D$44</f>
        <v>225.27137014573785</v>
      </c>
      <c r="E73">
        <f>E$43+(E$45*$S$31)/E$44</f>
        <v>0</v>
      </c>
      <c r="F73">
        <f>F$43+(F$45*$S$31)/F$44</f>
        <v>2.7</v>
      </c>
      <c r="G73">
        <f>G$43+(G$45*$S$31)/G$44</f>
        <v>1.35</v>
      </c>
      <c r="H73">
        <f>H$43+(H$45*$S$31)/H$44</f>
        <v>1.8</v>
      </c>
      <c r="I73">
        <f>I$43+($G32+I$45*$S$31)/I$44</f>
        <v>179.11639464654201</v>
      </c>
      <c r="M73">
        <v>7800</v>
      </c>
      <c r="N73">
        <f t="shared" si="9"/>
        <v>1333012.1375538944</v>
      </c>
      <c r="O73">
        <f t="shared" si="10"/>
        <v>1112255.5719001843</v>
      </c>
      <c r="P73">
        <f t="shared" si="11"/>
        <v>1456027.555475486</v>
      </c>
      <c r="Q73">
        <f t="shared" si="12"/>
        <v>49113.867432207924</v>
      </c>
      <c r="R73">
        <f t="shared" si="13"/>
        <v>261845.94912758347</v>
      </c>
      <c r="S73">
        <f t="shared" si="14"/>
        <v>149104.7950776217</v>
      </c>
      <c r="T73">
        <f t="shared" si="15"/>
        <v>47938.533435403006</v>
      </c>
      <c r="U73">
        <f t="shared" si="16"/>
        <v>1236401.4667122245</v>
      </c>
    </row>
    <row r="74" spans="1:21">
      <c r="A74">
        <v>2047</v>
      </c>
      <c r="B74">
        <f>B$43+($L33+B$45*$S$31)/B$44</f>
        <v>123.25922330097089</v>
      </c>
      <c r="C74">
        <f t="shared" ref="C74:E74" si="41">C$43+($G33+C$45*$S$31)/C$44</f>
        <v>161.05959972021932</v>
      </c>
      <c r="D74">
        <f>D$43+($G33+D$45*$S$31)/D$44</f>
        <v>227.02175774263674</v>
      </c>
      <c r="E74">
        <f>E$43+(E$45*$S$31)/E$44</f>
        <v>0</v>
      </c>
      <c r="F74">
        <f>F$43+(F$45*$S$31)/F$44</f>
        <v>2.7</v>
      </c>
      <c r="G74">
        <f>G$43+(G$45*$S$31)/G$44</f>
        <v>1.35</v>
      </c>
      <c r="H74">
        <f>H$43+(H$45*$S$31)/H$44</f>
        <v>1.8</v>
      </c>
      <c r="I74">
        <f>I$43+($G33+I$45*$S$31)/I$44</f>
        <v>180.53652043270526</v>
      </c>
      <c r="M74">
        <v>8100</v>
      </c>
      <c r="N74">
        <f t="shared" si="9"/>
        <v>1369989.9045441856</v>
      </c>
      <c r="O74">
        <f t="shared" si="10"/>
        <v>1150579.025586742</v>
      </c>
      <c r="P74">
        <f t="shared" si="11"/>
        <v>1509955.9432633934</v>
      </c>
      <c r="Q74">
        <f t="shared" si="12"/>
        <v>49113.867432207924</v>
      </c>
      <c r="R74">
        <f t="shared" si="13"/>
        <v>262655.94912758347</v>
      </c>
      <c r="S74">
        <f t="shared" si="14"/>
        <v>149509.7950776217</v>
      </c>
      <c r="T74">
        <f t="shared" si="15"/>
        <v>48478.533435403006</v>
      </c>
      <c r="U74">
        <f t="shared" si="16"/>
        <v>1279059.4039741114</v>
      </c>
    </row>
    <row r="75" spans="1:21">
      <c r="A75">
        <v>2048</v>
      </c>
      <c r="B75">
        <f>B$43+($L34+B$45*$S$31)/B$44</f>
        <v>123.25922330097089</v>
      </c>
      <c r="C75">
        <f t="shared" ref="C75:E75" si="42">C$43+($G34+C$45*$S$31)/C$44</f>
        <v>162.29347950164023</v>
      </c>
      <c r="D75">
        <f>D$43+($G34+D$45*$S$31)/D$44</f>
        <v>228.77214533953617</v>
      </c>
      <c r="E75">
        <f>E$43+(E$45*$S$31)/E$44</f>
        <v>0</v>
      </c>
      <c r="F75">
        <f>F$43+(F$45*$S$31)/F$44</f>
        <v>2.7</v>
      </c>
      <c r="G75">
        <f>G$43+(G$45*$S$31)/G$44</f>
        <v>1.35</v>
      </c>
      <c r="H75">
        <f>H$43+(H$45*$S$31)/H$44</f>
        <v>1.8</v>
      </c>
      <c r="I75">
        <f>I$43+($G34+I$45*$S$31)/I$44</f>
        <v>181.95664621886897</v>
      </c>
      <c r="M75">
        <v>8400</v>
      </c>
      <c r="N75">
        <f t="shared" si="9"/>
        <v>1406967.671534477</v>
      </c>
      <c r="O75">
        <f t="shared" si="10"/>
        <v>1188902.4792732995</v>
      </c>
      <c r="P75">
        <f t="shared" si="11"/>
        <v>1563884.3310513007</v>
      </c>
      <c r="Q75">
        <f t="shared" si="12"/>
        <v>49113.867432207924</v>
      </c>
      <c r="R75">
        <f t="shared" si="13"/>
        <v>263465.94912758347</v>
      </c>
      <c r="S75">
        <f t="shared" si="14"/>
        <v>149914.7950776217</v>
      </c>
      <c r="T75">
        <f t="shared" si="15"/>
        <v>49018.533435403006</v>
      </c>
      <c r="U75">
        <f t="shared" si="16"/>
        <v>1321717.3412359986</v>
      </c>
    </row>
    <row r="76" spans="1:21">
      <c r="A76">
        <v>2049</v>
      </c>
      <c r="B76">
        <f>B$43+($L35+B$45*$S$31)/B$44</f>
        <v>123.25922330097089</v>
      </c>
      <c r="C76">
        <f t="shared" ref="C76:E76" si="43">C$43+($G35+C$45*$S$31)/C$44</f>
        <v>163.52735928306114</v>
      </c>
      <c r="D76">
        <f>D$43+($G35+D$45*$S$31)/D$44</f>
        <v>230.5225329364356</v>
      </c>
      <c r="E76">
        <f>E$43+(E$45*$S$31)/E$44</f>
        <v>0</v>
      </c>
      <c r="F76">
        <f>F$43+(F$45*$S$31)/F$44</f>
        <v>2.7</v>
      </c>
      <c r="G76">
        <f>G$43+(G$45*$S$31)/G$44</f>
        <v>1.35</v>
      </c>
      <c r="H76">
        <f>H$43+(H$45*$S$31)/H$44</f>
        <v>1.8</v>
      </c>
      <c r="I76">
        <f>I$43+($G35+I$45*$S$31)/I$44</f>
        <v>183.37677200503265</v>
      </c>
      <c r="M76">
        <v>8700</v>
      </c>
      <c r="N76">
        <f t="shared" si="9"/>
        <v>1443945.4385247682</v>
      </c>
      <c r="O76">
        <f t="shared" si="10"/>
        <v>1227225.9329598572</v>
      </c>
      <c r="P76">
        <f t="shared" si="11"/>
        <v>1617812.7188392079</v>
      </c>
      <c r="Q76">
        <f t="shared" si="12"/>
        <v>49113.867432207924</v>
      </c>
      <c r="R76">
        <f t="shared" si="13"/>
        <v>264275.94912758347</v>
      </c>
      <c r="S76">
        <f t="shared" si="14"/>
        <v>150319.7950776217</v>
      </c>
      <c r="T76">
        <f t="shared" si="15"/>
        <v>49558.533435403006</v>
      </c>
      <c r="U76">
        <f t="shared" si="16"/>
        <v>1364375.2784978857</v>
      </c>
    </row>
    <row r="77" spans="1:21">
      <c r="A77">
        <v>2050</v>
      </c>
      <c r="B77">
        <f>B$43+($L36+B$45*$S$31)/B$44</f>
        <v>123.25922330097089</v>
      </c>
      <c r="C77">
        <f t="shared" ref="C77:E77" si="44">C$43+($G36+C$45*$S$31)/C$44</f>
        <v>164.76123906448166</v>
      </c>
      <c r="D77">
        <f>D$43+($G36+D$45*$S$31)/D$44</f>
        <v>232.27292053333446</v>
      </c>
      <c r="E77">
        <f>E$43+(E$45*$S$31)/E$44</f>
        <v>0</v>
      </c>
      <c r="F77">
        <f>F$43+(F$45*$S$31)/F$44</f>
        <v>2.7</v>
      </c>
      <c r="G77">
        <f>G$43+(G$45*$S$31)/G$44</f>
        <v>1.35</v>
      </c>
      <c r="H77">
        <f>H$43+(H$45*$S$31)/H$44</f>
        <v>1.8</v>
      </c>
      <c r="I77">
        <f>I$43+($G36+I$45*$S$31)/I$44</f>
        <v>184.79689779119587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G37" sqref="G37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10" t="s">
        <v>169</v>
      </c>
      <c r="J1" s="10" t="s">
        <v>170</v>
      </c>
      <c r="K1" s="10" t="s">
        <v>171</v>
      </c>
      <c r="L1" s="10" t="s">
        <v>172</v>
      </c>
      <c r="P1" t="s">
        <v>173</v>
      </c>
    </row>
    <row r="2" spans="1:16">
      <c r="A2" t="s">
        <v>174</v>
      </c>
      <c r="B2">
        <v>3845510</v>
      </c>
      <c r="C2" s="11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2" t="s">
        <v>176</v>
      </c>
    </row>
    <row r="3" spans="1:16">
      <c r="A3" t="s">
        <v>177</v>
      </c>
      <c r="B3">
        <v>3845510</v>
      </c>
      <c r="C3" s="11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2" t="s">
        <v>176</v>
      </c>
    </row>
    <row r="4" spans="1:16">
      <c r="A4" t="s">
        <v>178</v>
      </c>
      <c r="B4">
        <v>343000</v>
      </c>
      <c r="C4" s="11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2" t="s">
        <v>176</v>
      </c>
    </row>
    <row r="5" spans="1:16">
      <c r="A5" t="s">
        <v>13</v>
      </c>
      <c r="B5">
        <v>7940450</v>
      </c>
      <c r="C5" s="11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2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28" t="s">
        <v>26</v>
      </c>
      <c r="B7" s="27">
        <f>VLOOKUP($A7,'unit2030-none'!$A$1:$M$53,3,FALSE)</f>
        <v>2400000</v>
      </c>
      <c r="C7" s="27">
        <f>VLOOKUP($A7,'unit2030-none'!$A$1:$M$53,2,FALSE)</f>
        <v>117000</v>
      </c>
      <c r="D7" s="27">
        <f>VLOOKUP($A7,'unit2030-none'!$A$1:$M$53,4,FALSE)</f>
        <v>1.9</v>
      </c>
      <c r="E7" s="34">
        <f>VLOOKUP($A7,'unit2030-none'!$A$1:$M$53,6,FALSE)</f>
        <v>0.309</v>
      </c>
      <c r="F7" s="11"/>
      <c r="G7" s="11"/>
      <c r="H7" s="11"/>
      <c r="I7" s="11"/>
      <c r="J7" s="11"/>
      <c r="K7" s="11"/>
      <c r="L7" s="11"/>
    </row>
    <row r="8" spans="1:16">
      <c r="A8" s="28" t="s">
        <v>32</v>
      </c>
      <c r="B8" s="27">
        <f>VLOOKUP($A8,'unit2030-none'!$A$1:$M$53,3,FALSE)</f>
        <v>830000</v>
      </c>
      <c r="C8" s="27">
        <f>VLOOKUP($A8,'unit2030-none'!$A$1:$M$53,2,FALSE)</f>
        <v>27800</v>
      </c>
      <c r="D8" s="27">
        <f>VLOOKUP($A8,'unit2030-none'!$A$1:$M$53,4,FALSE)</f>
        <v>4.2</v>
      </c>
      <c r="E8" s="34">
        <f>VLOOKUP($A8,'unit2030-none'!$A$1:$M$53,6,FALSE)</f>
        <v>0.61</v>
      </c>
      <c r="F8" s="11"/>
      <c r="G8" s="11"/>
      <c r="H8" s="11"/>
      <c r="I8" s="11"/>
      <c r="J8" s="11"/>
      <c r="K8" s="11"/>
      <c r="L8" s="11"/>
    </row>
    <row r="9" spans="1:16">
      <c r="A9" s="28" t="s">
        <v>42</v>
      </c>
      <c r="B9" s="27">
        <f>VLOOKUP($A9,'unit2030-none'!$A$1:$M$53,3,FALSE)</f>
        <v>2690000</v>
      </c>
      <c r="C9" s="27">
        <f>VLOOKUP($A9,'unit2030-none'!$A$1:$M$53,2,FALSE)</f>
        <v>13450</v>
      </c>
      <c r="D9" s="27">
        <f>VLOOKUP($A9,'unit2030-none'!$A$1:$M$53,4,FALSE)</f>
        <v>0</v>
      </c>
      <c r="E9" s="34">
        <f>VLOOKUP($A9,'unit2030-none'!$A$1:$M$53,6,FALSE)</f>
        <v>0</v>
      </c>
      <c r="F9" s="11"/>
      <c r="G9" s="11"/>
      <c r="H9" s="11"/>
      <c r="I9" s="11"/>
      <c r="J9" s="11"/>
      <c r="K9" s="11"/>
      <c r="L9" s="11"/>
      <c r="N9" t="s">
        <v>205</v>
      </c>
      <c r="O9" t="s">
        <v>204</v>
      </c>
    </row>
    <row r="10" spans="1:16">
      <c r="A10" s="28" t="s">
        <v>64</v>
      </c>
      <c r="B10" s="27">
        <f>VLOOKUP($A10,'unit2030-none'!$A$1:$M$53,3,FALSE)</f>
        <v>435000</v>
      </c>
      <c r="C10" s="27">
        <f>VLOOKUP($A10,'unit2030-none'!$A$1:$M$53,2,FALSE)</f>
        <v>7745</v>
      </c>
      <c r="D10" s="27">
        <f>VLOOKUP($A10,'unit2030-none'!$A$1:$M$53,4,FALSE)</f>
        <v>4.5</v>
      </c>
      <c r="E10" s="34">
        <f>VLOOKUP($A10,'unit2030-none'!$A$1:$M$53,6,FALSE)</f>
        <v>0.43</v>
      </c>
      <c r="F10" s="11"/>
      <c r="G10" s="11"/>
      <c r="H10" s="11"/>
      <c r="I10" s="11"/>
      <c r="J10" s="11"/>
      <c r="K10" s="11"/>
      <c r="L10" s="11"/>
    </row>
    <row r="11" spans="1:16">
      <c r="A11" s="28" t="s">
        <v>69</v>
      </c>
      <c r="B11" s="27">
        <f>VLOOKUP($A11,'unit2030-none'!$A$1:$M$53,3,FALSE)</f>
        <v>380000</v>
      </c>
      <c r="C11" s="27">
        <f>VLOOKUP($A11,'unit2030-none'!$A$1:$M$53,2,FALSE)</f>
        <v>7250</v>
      </c>
      <c r="D11" s="27">
        <f>VLOOKUP($A11,'unit2030-none'!$A$1:$M$53,4,FALSE)</f>
        <v>0</v>
      </c>
      <c r="E11" s="34">
        <f>VLOOKUP($A11,'unit2030-none'!$A$1:$M$53,6,FALSE)</f>
        <v>1</v>
      </c>
      <c r="F11" s="11"/>
      <c r="G11" s="11"/>
      <c r="H11" s="11"/>
      <c r="I11" s="11"/>
      <c r="J11" s="11"/>
      <c r="K11" s="11"/>
      <c r="L11" s="11"/>
    </row>
    <row r="12" spans="1:16">
      <c r="A12" s="28" t="s">
        <v>73</v>
      </c>
      <c r="B12" s="27">
        <f>VLOOKUP($A12,'unit2030-none'!$A$1:$M$53,3,FALSE)</f>
        <v>1930000</v>
      </c>
      <c r="C12" s="27">
        <f>VLOOKUP($A12,'unit2030-none'!$A$1:$M$53,2,FALSE)</f>
        <v>36053</v>
      </c>
      <c r="D12" s="27">
        <f>VLOOKUP($A12,'unit2030-none'!$A$1:$M$53,4,FALSE)</f>
        <v>2.7</v>
      </c>
      <c r="E12" s="34">
        <f>VLOOKUP($A12,'unit2030-none'!$A$1:$M$53,6,FALSE)</f>
        <v>1</v>
      </c>
      <c r="F12" s="11"/>
      <c r="G12" s="11"/>
      <c r="H12" s="11"/>
      <c r="I12" s="11"/>
      <c r="J12" s="11"/>
      <c r="K12" s="11"/>
      <c r="L12" s="11"/>
    </row>
    <row r="13" spans="1:16">
      <c r="A13" s="28" t="s">
        <v>74</v>
      </c>
      <c r="B13" s="27">
        <f>VLOOKUP($A13,'unit2030-none'!$A$1:$M$53,3,FALSE)</f>
        <v>1040000</v>
      </c>
      <c r="C13" s="27">
        <v>24000</v>
      </c>
      <c r="D13" s="27">
        <f>VLOOKUP($A13,'unit2030-none'!$A$1:$M$53,4,FALSE)</f>
        <v>1.35</v>
      </c>
      <c r="E13" s="34">
        <f>VLOOKUP($A13,'unit2030-none'!$A$1:$M$53,6,FALSE)</f>
        <v>1</v>
      </c>
      <c r="F13" s="11"/>
      <c r="G13" s="11"/>
      <c r="H13" s="11"/>
      <c r="I13" s="11"/>
      <c r="J13" s="11"/>
      <c r="K13" s="11"/>
      <c r="L13" s="11"/>
    </row>
    <row r="14" spans="1:16">
      <c r="A14" s="28" t="s">
        <v>180</v>
      </c>
      <c r="B14" s="27">
        <f>VLOOKUP($A14,'unit2030-none'!$A$1:$M$53,3,FALSE)</f>
        <v>284000</v>
      </c>
      <c r="C14" s="27">
        <f>VLOOKUP($A14,'unit2030-none'!$A$1:$M$53,2,FALSE)</f>
        <v>540</v>
      </c>
      <c r="D14" s="27">
        <f>VLOOKUP($A14,'unit2030-none'!$A$1:$M$53,4,FALSE)</f>
        <v>1.8</v>
      </c>
      <c r="E14" s="34">
        <f>VLOOKUP($A14,'unit2030-none'!$A$1:$M$53,6,FALSE)</f>
        <v>0.9</v>
      </c>
      <c r="F14" s="11"/>
      <c r="G14" s="11"/>
      <c r="H14" s="11"/>
      <c r="I14" s="11"/>
      <c r="J14" s="11"/>
      <c r="K14" s="11"/>
      <c r="L14" s="11"/>
    </row>
    <row r="15" spans="1:16">
      <c r="A15" s="28" t="s">
        <v>33</v>
      </c>
      <c r="B15" s="27">
        <f>VLOOKUP($A15,'unit2030-none'!$A$1:$M$53,3,FALSE)</f>
        <v>1200000</v>
      </c>
      <c r="C15" s="20"/>
      <c r="D15" s="20"/>
      <c r="E15" s="34">
        <f>VLOOKUP($A15,'unit2030-none'!$A$1:$M$53,6,FALSE)</f>
        <v>0.53</v>
      </c>
    </row>
    <row r="16" spans="1:16">
      <c r="A16" s="28" t="s">
        <v>44</v>
      </c>
      <c r="B16" s="27">
        <f>VLOOKUP($A16,'unit2030-none'!$A$1:$M$53,3,FALSE)</f>
        <v>2990000</v>
      </c>
      <c r="C16" s="20"/>
      <c r="D16" s="20"/>
      <c r="E16" s="34">
        <f>VLOOKUP($A16,'unit2030-none'!$A$1:$M$53,6,FALSE)</f>
        <v>0</v>
      </c>
    </row>
    <row r="17" spans="5:18">
      <c r="E17" s="33"/>
    </row>
    <row r="19" spans="5:18">
      <c r="R19" t="s">
        <v>168</v>
      </c>
    </row>
    <row r="24" spans="5:18">
      <c r="H24" s="11"/>
      <c r="I24" s="11"/>
    </row>
    <row r="25" spans="5:18">
      <c r="H25" s="11"/>
      <c r="I25" s="11"/>
    </row>
    <row r="26" spans="5:18">
      <c r="H26" s="11"/>
      <c r="I26" s="11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2022-11-30T15:54:48Z</dcterms:modified>
</cp:coreProperties>
</file>