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0A8EF0C1-925D-4114-ADB9-B5BBB1A99963}" xr6:coauthVersionLast="47" xr6:coauthVersionMax="47" xr10:uidLastSave="{00000000-0000-0000-0000-000000000000}"/>
  <bookViews>
    <workbookView xWindow="-120" yWindow="-120" windowWidth="29040" windowHeight="17640" tabRatio="998" firstSheet="13" activeTab="21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peakLoad" sheetId="67" r:id="rId8"/>
    <sheet name="Fuels" sheetId="29" r:id="rId9"/>
    <sheet name="FuelPriceTrends" sheetId="30" r:id="rId10"/>
    <sheet name="CandidatePowerPlants" sheetId="45" r:id="rId11"/>
    <sheet name="TechnologiesEmlab" sheetId="33" r:id="rId12"/>
    <sheet name="derating" sheetId="74" r:id="rId13"/>
    <sheet name="TechnologyTrends" sheetId="63" r:id="rId14"/>
    <sheet name="EnergyProducers" sheetId="17" r:id="rId15"/>
    <sheet name="LoadShifterCap" sheetId="64" r:id="rId16"/>
    <sheet name="CapacitySubscriptionConsumer" sheetId="70" r:id="rId17"/>
    <sheet name="CS_subscribed" sheetId="76" r:id="rId18"/>
    <sheet name="LoadShedders" sheetId="65" r:id="rId19"/>
    <sheet name="LSyearly" sheetId="69" r:id="rId20"/>
    <sheet name="Dismantled" sheetId="49" r:id="rId21"/>
    <sheet name="weatherYears40" sheetId="61" r:id="rId22"/>
    <sheet name="LS_NL" sheetId="72" r:id="rId23"/>
    <sheet name="LoadShedders_feb24" sheetId="73" r:id="rId24"/>
    <sheet name="LoadShedders (2)" sheetId="75" r:id="rId25"/>
    <sheet name="LoadShedders2" sheetId="68" r:id="rId26"/>
    <sheet name="LoadShedders_copy" sheetId="71" r:id="rId27"/>
    <sheet name="dictvariables" sheetId="43" r:id="rId28"/>
    <sheet name="StepTrends" sheetId="18" r:id="rId29"/>
    <sheet name="EnergyConsumers" sheetId="16" r:id="rId30"/>
    <sheet name="yearlytechnologyPotentials2" sheetId="58" r:id="rId31"/>
    <sheet name="graphs" sheetId="56" r:id="rId32"/>
    <sheet name="CO2DE" sheetId="44" r:id="rId33"/>
    <sheet name="backup" sheetId="50" r:id="rId34"/>
    <sheet name="weatherYearsOLD" sheetId="66" r:id="rId35"/>
    <sheet name="sources" sheetId="54" r:id="rId36"/>
    <sheet name="NewTechnologies" sheetId="35" r:id="rId37"/>
  </sheets>
  <externalReferences>
    <externalReference r:id="rId38"/>
  </externalReferences>
  <definedNames>
    <definedName name="_xlnm._FilterDatabase" localSheetId="10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2" hidden="1">LS_NL!$A$1:$D$1</definedName>
    <definedName name="_xlnm._FilterDatabase" localSheetId="36" hidden="1">NewTechnologies!$A$1:$I$11</definedName>
    <definedName name="_xlnm._FilterDatabase" localSheetId="11" hidden="1">TechnologiesEmlab!$A$1:$I$1</definedName>
    <definedName name="ExternalData_19" localSheetId="8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76" l="1"/>
  <c r="B4" i="76"/>
  <c r="B5" i="76"/>
  <c r="B6" i="76"/>
  <c r="A89" i="63"/>
  <c r="A67" i="63"/>
  <c r="A45" i="63"/>
  <c r="A24" i="63"/>
  <c r="A23" i="63"/>
  <c r="D2" i="69" l="1"/>
  <c r="C3" i="76"/>
  <c r="C4" i="76"/>
  <c r="C5" i="76"/>
  <c r="C6" i="76"/>
  <c r="H13" i="76"/>
  <c r="C2" i="76"/>
  <c r="G13" i="76"/>
  <c r="B2" i="76"/>
  <c r="E7" i="70"/>
  <c r="E7" i="76"/>
  <c r="J2" i="76" s="1"/>
  <c r="E9" i="76"/>
  <c r="E3" i="76"/>
  <c r="E4" i="76"/>
  <c r="E5" i="76"/>
  <c r="E6" i="76"/>
  <c r="E2" i="76"/>
  <c r="D11" i="65"/>
  <c r="C11" i="65"/>
  <c r="L3" i="72"/>
  <c r="L4" i="72"/>
  <c r="L5" i="72"/>
  <c r="L6" i="72"/>
  <c r="L2" i="72"/>
  <c r="D5" i="65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B3" i="64"/>
  <c r="D2" i="64" s="1"/>
  <c r="B2" i="69" l="1"/>
  <c r="C2" i="69" s="1"/>
  <c r="D1" i="64"/>
  <c r="J48" i="72"/>
  <c r="J51" i="72"/>
  <c r="J52" i="72"/>
  <c r="J54" i="72"/>
  <c r="J47" i="72"/>
  <c r="I49" i="72"/>
  <c r="I50" i="72"/>
  <c r="I48" i="72"/>
  <c r="V3" i="72"/>
  <c r="V4" i="72"/>
  <c r="V6" i="72"/>
  <c r="V5" i="72"/>
  <c r="Y15" i="72"/>
  <c r="E2" i="72"/>
  <c r="E11" i="72"/>
  <c r="F50" i="72"/>
  <c r="F49" i="72"/>
  <c r="F48" i="72"/>
  <c r="F47" i="72"/>
  <c r="F46" i="72"/>
  <c r="F40" i="72"/>
  <c r="F43" i="72"/>
  <c r="F39" i="72"/>
  <c r="D40" i="72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G2" i="69" l="1"/>
  <c r="M2" i="72"/>
  <c r="J49" i="72"/>
  <c r="J53" i="72"/>
  <c r="J6" i="72"/>
  <c r="J7" i="72"/>
  <c r="J8" i="72"/>
  <c r="J5" i="72"/>
  <c r="I6" i="72"/>
  <c r="I52" i="72" s="1"/>
  <c r="I7" i="72"/>
  <c r="I53" i="72" s="1"/>
  <c r="I8" i="72"/>
  <c r="I54" i="72" s="1"/>
  <c r="I5" i="72"/>
  <c r="I51" i="72" s="1"/>
  <c r="J50" i="72"/>
  <c r="J3" i="72"/>
  <c r="J4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3" i="63"/>
  <c r="A44" i="63"/>
  <c r="A66" i="63"/>
  <c r="A88" i="63"/>
  <c r="A87" i="63"/>
  <c r="A65" i="63"/>
  <c r="A21" i="63"/>
  <c r="P2" i="72" l="1"/>
  <c r="M48" i="72" s="1"/>
  <c r="N2" i="72"/>
  <c r="K48" i="72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8" i="63" l="1"/>
  <c r="A46" i="63" l="1"/>
  <c r="D3" i="67" l="1"/>
  <c r="C4" i="65"/>
  <c r="B4" i="65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T22" i="33"/>
  <c r="T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T14" i="33"/>
  <c r="T15" i="33"/>
  <c r="T16" i="33"/>
  <c r="T17" i="33"/>
  <c r="T18" i="33"/>
  <c r="T2" i="33"/>
  <c r="T3" i="33"/>
  <c r="T6" i="33"/>
  <c r="T7" i="33"/>
  <c r="T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U18" i="33"/>
  <c r="U2" i="33"/>
  <c r="U19" i="33"/>
  <c r="U3" i="33"/>
  <c r="U14" i="33"/>
  <c r="U22" i="33"/>
  <c r="U23" i="33"/>
  <c r="U8" i="33"/>
  <c r="U16" i="33"/>
  <c r="U17" i="33"/>
  <c r="U15" i="33"/>
  <c r="U4" i="33"/>
  <c r="C3" i="18"/>
  <c r="Q20" i="33"/>
  <c r="U20" i="33" s="1"/>
  <c r="R20" i="33"/>
  <c r="S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T4" i="33"/>
  <c r="T19" i="33" l="1"/>
  <c r="T8" i="33"/>
  <c r="T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L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M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<sst xmlns="http://schemas.openxmlformats.org/spreadsheetml/2006/main" count="1033" uniqueCount="501">
  <si>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</si>
  <si>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</si>
  <si>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</si>
  <si>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</si>
  <si>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</si>
  <si>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</si>
  <si>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</si>
  <si>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</si>
  <si>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</si>
  <si>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</si>
  <si>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</si>
  <si>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</si>
  <si>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</si>
  <si>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</si>
  <si>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</si>
  <si>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</si>
  <si>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</si>
  <si>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</si>
  <si>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</si>
  <si>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</si>
  <si>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</si>
  <si>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</si>
  <si>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</si>
  <si>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</si>
  <si>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</si>
  <si>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</si>
  <si>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</si>
  <si>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</si>
  <si>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</si>
  <si>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</si>
  <si>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</si>
  <si>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</si>
  <si>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</si>
  <si>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</si>
  <si>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</si>
  <si>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</si>
  <si>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</si>
  <si>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</si>
  <si>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</si>
  <si>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</si>
  <si>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</si>
  <si>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</si>
  <si>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</si>
  <si>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</si>
  <si>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</si>
  <si>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</si>
  <si>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</si>
  <si>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</si>
  <si>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</si>
  <si>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</si>
  <si>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</si>
  <si>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</si>
  <si>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</si>
  <si>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</si>
  <si>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</si>
  <si>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</si>
  <si>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</si>
  <si>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</si>
  <si>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</si>
  <si>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</si>
  <si>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</si>
  <si>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</si>
  <si>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</si>
  <si>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</si>
  <si>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</si>
  <si>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</si>
  <si>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</si>
  <si>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</si>
  <si>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</si>
  <si>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</si>
  <si>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</si>
  <si>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</si>
  <si>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</si>
  <si>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</si>
  <si>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</si>
  <si>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</si>
  <si>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</si>
  <si>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</si>
  <si>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</si>
  <si>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</si>
  <si>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</si>
  <si>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</si>
  <si>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</si>
  <si>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</si>
  <si>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</si>
  <si>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</si>
  <si>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</si>
  <si>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</si>
  <si>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</si>
  <si>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</si>
  <si>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</si>
  <si>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</si>
  <si>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</si>
  <si>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</si>
  <si>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</si>
  <si>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</si>
  <si>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</si>
  <si>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</si>
  <si>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</si>
  <si>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</si>
  <si>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</si>
  <si>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</si>
  <si>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</si>
  <si>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</si>
  <si>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</si>
  <si>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</si>
  <si>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</si>
  <si>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</si>
  <si>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</si>
  <si>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</si>
  <si>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</si>
  <si>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</si>
  <si>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</si>
  <si>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</si>
  <si>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</si>
  <si>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</si>
  <si>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</si>
  <si>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</si>
  <si>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</si>
  <si>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</si>
  <si>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</si>
  <si>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</si>
  <si>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</si>
  <si>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</si>
  <si>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</si>
  <si>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</si>
  <si>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</si>
  <si>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</si>
  <si>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</si>
  <si>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</si>
  <si>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</si>
  <si>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</si>
  <si>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</si>
  <si>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</si>
  <si>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</si>
  <si>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</si>
  <si>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</si>
  <si>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</si>
  <si>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</si>
  <si>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</si>
  <si>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</si>
  <si>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</si>
  <si>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</si>
  <si>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</si>
  <si>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</si>
  <si>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</si>
  <si>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</si>
  <si>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</si>
  <si>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</si>
  <si>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</si>
  <si>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</si>
  <si>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</si>
  <si>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</si>
  <si>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</si>
  <si>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</si>
  <si>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</si>
  <si>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</si>
  <si>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</si>
  <si>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</si>
  <si>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</si>
  <si>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</si>
  <si>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</si>
  <si>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</si>
  <si>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</si>
  <si>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</si>
  <si>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</si>
  <si>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</si>
  <si>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</si>
  <si>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</si>
  <si>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</si>
  <si>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</si>
  <si>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</si>
  <si>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</si>
  <si>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</si>
  <si>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</si>
  <si>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</si>
  <si>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</si>
  <si>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</si>
  <si>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</si>
  <si>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</si>
  <si>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</si>
  <si>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</si>
  <si>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</si>
  <si>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</si>
  <si>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</si>
  <si>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</si>
  <si>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</si>
  <si>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</si>
  <si>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</si>
  <si>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</si>
  <si>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</si>
  <si>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</si>
  <si>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</si>
  <si>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</si>
  <si>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</si>
  <si>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</si>
  <si>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</si>
  <si>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</si>
  <si>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</si>
  <si>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</si>
  <si>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</si>
  <si>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</si>
  <si>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</si>
  <si>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</si>
  <si>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</si>
  <si>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</si>
  <si>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</si>
  <si>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</si>
  <si>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</si>
  <si>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</si>
  <si>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</si>
  <si>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</si>
  <si>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</si>
  <si>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</si>
  <si>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</si>
  <si>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</si>
  <si>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</si>
  <si>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</si>
  <si>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</si>
  <si>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</si>
  <si>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</si>
  <si>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</si>
  <si>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</si>
  <si>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</si>
  <si>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</si>
  <si>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</si>
  <si>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</si>
  <si>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</si>
  <si>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</si>
  <si>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</si>
  <si>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</si>
  <si>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</si>
  <si>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</si>
  <si>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</si>
  <si>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</si>
  <si>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</si>
  <si>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</si>
  <si>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</si>
  <si>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</si>
  <si>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</si>
  <si>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</si>
  <si>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</si>
  <si>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</si>
  <si>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</si>
  <si>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</si>
  <si>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</si>
  <si>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</si>
  <si>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</si>
  <si>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</si>
  <si>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</si>
  <si>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</si>
  <si>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</si>
  <si>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</si>
  <si>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</si>
  <si>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</si>
  <si>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</si>
  <si>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</si>
  <si>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</si>
  <si>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</si>
  <si>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</si>
  <si>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</si>
  <si>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</si>
  <si>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</si>
  <si>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</si>
  <si>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</si>
  <si>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</si>
  <si>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</si>
  <si>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</si>
  <si>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</si>
  <si>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</si>
  <si>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</si>
  <si>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</si>
  <si>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</si>
  <si>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</si>
  <si>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</si>
  <si>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</si>
  <si>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</si>
  <si>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</si>
  <si>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</si>
  <si>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</si>
  <si>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</si>
  <si>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</si>
  <si>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</si>
  <si>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</si>
  <si>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</si>
  <si>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</si>
  <si>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</si>
  <si>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</si>
  <si>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</si>
  <si>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</si>
  <si>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</si>
  <si>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</si>
  <si>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</si>
  <si>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</si>
  <si>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</si>
  <si>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</si>
  <si>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</si>
  <si>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</si>
  <si>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</si>
  <si>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</si>
  <si>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</si>
  <si>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</si>
  <si>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</si>
  <si>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</si>
  <si>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</si>
  <si>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</si>
  <si>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</si>
  <si>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</si>
  <si>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</si>
  <si>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</si>
  <si>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</si>
  <si>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</si>
  <si>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</si>
  <si>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</si>
  <si>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</si>
  <si>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</si>
  <si>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</si>
  <si>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</si>
  <si>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</si>
  <si>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</si>
  <si>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</si>
  <si>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</si>
  <si>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</si>
  <si>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</si>
  <si>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</si>
  <si>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</si>
  <si>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</si>
  <si>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</si>
  <si>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</si>
  <si>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</si>
  <si>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</si>
  <si>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</si>
  <si>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</si>
  <si>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</si>
  <si>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</si>
  <si>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</si>
  <si>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</si>
  <si>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</si>
  <si>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</si>
  <si>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</si>
  <si>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</si>
  <si>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</si>
  <si>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</si>
  <si>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</si>
  <si>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</si>
  <si>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</si>
  <si>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</si>
  <si>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</si>
  <si>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</si>
  <si>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</si>
  <si>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</si>
  <si>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</si>
  <si>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</si>
  <si>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</si>
  <si>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</si>
  <si>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</si>
  <si>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</si>
  <si>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</si>
  <si>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</si>
  <si>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</si>
  <si>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</si>
  <si>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</si>
  <si>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</si>
  <si>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</si>
  <si>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</si>
  <si>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</si>
  <si>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</si>
  <si>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</si>
  <si>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</si>
  <si>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</si>
  <si>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</si>
  <si>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</si>
  <si>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</si>
  <si>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</si>
  <si>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</si>
  <si>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</si>
  <si>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</si>
  <si>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</si>
  <si>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</si>
  <si>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</si>
  <si>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</si>
  <si>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</si>
  <si>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</si>
  <si>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</si>
  <si>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</si>
  <si>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</si>
  <si>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</si>
  <si>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</si>
  <si>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</si>
  <si>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</si>
  <si>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</si>
  <si>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</si>
  <si>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</si>
  <si>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</si>
  <si>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</si>
  <si>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</si>
  <si>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</si>
  <si>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</si>
  <si>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</si>
  <si>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</si>
  <si>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</si>
  <si>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</si>
  <si>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</si>
  <si>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</si>
  <si>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</si>
  <si>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</si>
  <si>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</si>
  <si>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</si>
  <si>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</si>
  <si>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</si>
  <si>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</si>
  <si>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</si>
  <si>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</si>
  <si>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</si>
  <si>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</si>
  <si>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</si>
  <si>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</si>
  <si>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</si>
  <si>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</si>
  <si>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</si>
  <si>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</si>
  <si>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</si>
  <si>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</si>
  <si>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</si>
  <si>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</si>
  <si>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</si>
  <si>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</si>
  <si>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</si>
  <si>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</si>
  <si>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</si>
  <si>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</si>
  <si>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</si>
  <si>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</si>
  <si>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</si>
  <si>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</si>
  <si>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</si>
  <si>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</si>
  <si>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</si>
  <si>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</si>
  <si>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</si>
  <si>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</si>
  <si>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</si>
  <si>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</si>
  <si>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</si>
  <si>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</si>
  <si>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</si>
  <si>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</si>
  <si>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</si>
  <si>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</si>
  <si>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</si>
  <si>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</si>
  <si>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>allowed_technologies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</si>
  <si>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</si>
  <si>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</si>
  <si>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</si>
  <si>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</si>
  <si>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</si>
  <si>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</si>
  <si>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</si>
  <si>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</si>
  <si>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</si>
  <si>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</si>
  <si>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</si>
  <si>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</si>
  <si>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</si>
  <si>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</si>
  <si>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</si>
  <si>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</si>
  <si>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</si>
  <si>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</si>
  <si>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</si>
  <si>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</si>
  <si>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</si>
  <si>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</si>
  <si>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</si>
  <si>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</si>
  <si>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</si>
  <si>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</si>
  <si>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</si>
  <si>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</si>
  <si>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</si>
  <si>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</si>
  <si>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</si>
  <si>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</si>
  <si>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</si>
  <si>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</si>
  <si>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</si>
  <si>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</si>
  <si>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</si>
  <si>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</si>
  <si>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</si>
  <si>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</si>
  <si>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</si>
  <si>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</si>
  <si>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</si>
  <si>
    <t xml:space="preserve">don’t change this </t>
  </si>
  <si>
    <t>1 - 3 -4-5…</t>
  </si>
  <si>
    <t>Eur/MWh</t>
  </si>
  <si>
    <t>hydrogen CCGT</t>
  </si>
  <si>
    <t>Lithium ion battery 4</t>
  </si>
  <si>
    <t>hydrogen turbine,hydrogen OCGT,Lithium ion battery, Lithium ion battery 4, hydrogen CCGT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</si>
</sst>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0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81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0" fontId="17" fillId="0" borderId="0" xfId="0" applyFont="1" applyAlignment="1">
      <alignment horizontal="center" wrapText="1"/>
    </xf>
    <xf numFmtId="0" fontId="0" fillId="0" borderId="2" xfId="0" applyFill="1" applyBorder="1"/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10/relationships/person" Target="persons/person.xml"/><Relationship Id="rId48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LS_NL!$P$14:$P$17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28575</xdr:rowOff>
    </xdr:from>
    <xdr:to>
      <xdr:col>26</xdr:col>
      <xdr:colOff>457201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L1" dT="2022-06-08T21:52:01.09" personId="{9E95C7A5-7FDF-48FF-95DD-9C4C7D0F3D8F}" id="{81BA12EC-87B6-4F63-88B8-8B70CD12E2EF}">
    <text>must be  at least 1, later change downpayment to</text>
  </threadedComment>
  <threadedComment ref="M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B55" sqref="B5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411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403</v>
      </c>
      <c r="D12" s="13"/>
      <c r="E12" s="13"/>
    </row>
    <row r="13" spans="1:5">
      <c r="A13" s="13"/>
      <c r="B13" s="6" t="s">
        <v>162</v>
      </c>
      <c r="C13" s="13" t="s">
        <v>403</v>
      </c>
      <c r="D13" s="13"/>
    </row>
    <row r="14" spans="1:5">
      <c r="A14" s="13"/>
      <c r="B14" s="6" t="s">
        <v>163</v>
      </c>
      <c r="C14" s="13" t="s">
        <v>403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417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416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425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D7" sqref="D7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387</v>
      </c>
      <c r="C2" s="13" t="b">
        <v>1</v>
      </c>
      <c r="D2" s="13">
        <v>400</v>
      </c>
    </row>
    <row r="3" spans="1:8">
      <c r="A3" s="13">
        <v>2</v>
      </c>
      <c r="B3" s="13" t="s">
        <v>386</v>
      </c>
      <c r="C3" s="13" t="b">
        <v>1</v>
      </c>
      <c r="D3" s="13">
        <v>500</v>
      </c>
    </row>
    <row r="4" spans="1:8">
      <c r="A4" s="13">
        <v>3</v>
      </c>
      <c r="B4" s="13" t="s">
        <v>498</v>
      </c>
      <c r="C4" s="13" t="b">
        <v>1</v>
      </c>
      <c r="D4" s="13">
        <v>500</v>
      </c>
    </row>
    <row r="5" spans="1:8">
      <c r="A5" s="13">
        <v>4</v>
      </c>
      <c r="B5" s="13" t="s">
        <v>383</v>
      </c>
      <c r="C5" s="13" t="b">
        <v>1</v>
      </c>
      <c r="D5" s="13">
        <v>400</v>
      </c>
    </row>
    <row r="6" spans="1:8">
      <c r="A6" s="13">
        <v>5</v>
      </c>
      <c r="B6" s="13" t="s">
        <v>385</v>
      </c>
      <c r="C6" s="13" t="b">
        <v>1</v>
      </c>
      <c r="D6" s="13">
        <v>500</v>
      </c>
    </row>
    <row r="7" spans="1:8">
      <c r="A7" s="13">
        <v>6</v>
      </c>
      <c r="B7" s="13" t="s">
        <v>382</v>
      </c>
      <c r="C7" s="13" t="b">
        <v>1</v>
      </c>
      <c r="D7" s="13">
        <v>300</v>
      </c>
    </row>
    <row r="8" spans="1:8">
      <c r="A8" s="13">
        <v>7</v>
      </c>
      <c r="B8" s="13" t="s">
        <v>450</v>
      </c>
      <c r="C8" s="13" t="b">
        <v>1</v>
      </c>
      <c r="D8" s="13">
        <v>500</v>
      </c>
    </row>
    <row r="9" spans="1:8">
      <c r="A9" s="13">
        <v>8</v>
      </c>
      <c r="B9" s="13" t="s">
        <v>499</v>
      </c>
      <c r="C9" s="13" t="b">
        <v>1</v>
      </c>
      <c r="D9" s="13">
        <v>400</v>
      </c>
    </row>
    <row r="10" spans="1:8">
      <c r="A10" s="13"/>
      <c r="B10" s="13"/>
      <c r="C10" s="13"/>
      <c r="D10" s="13"/>
    </row>
    <row r="11" spans="1:8">
      <c r="A11" s="13">
        <v>9</v>
      </c>
      <c r="B11" s="13" t="s">
        <v>384</v>
      </c>
      <c r="C11" s="13" t="b">
        <v>1</v>
      </c>
      <c r="D11" s="13">
        <v>300</v>
      </c>
    </row>
    <row r="12" spans="1:8">
      <c r="A12" s="13">
        <v>10</v>
      </c>
      <c r="B12" s="13" t="s">
        <v>67</v>
      </c>
      <c r="C12" s="13" t="b">
        <v>1</v>
      </c>
      <c r="D12" s="13">
        <v>300</v>
      </c>
    </row>
    <row r="13" spans="1:8">
      <c r="A13" s="13">
        <v>11</v>
      </c>
      <c r="B13" s="13" t="s">
        <v>154</v>
      </c>
      <c r="C13" s="13" t="b">
        <v>1</v>
      </c>
      <c r="D13" s="13">
        <v>100</v>
      </c>
    </row>
    <row r="14" spans="1:8">
      <c r="A14" s="13">
        <v>12</v>
      </c>
      <c r="B14" s="13" t="s">
        <v>389</v>
      </c>
      <c r="C14" s="13" t="b">
        <v>1</v>
      </c>
      <c r="D14" s="13">
        <v>300</v>
      </c>
      <c r="H14" t="s">
        <v>410</v>
      </c>
    </row>
    <row r="15" spans="1:8">
      <c r="A15" s="13">
        <v>13</v>
      </c>
      <c r="B15" s="13" t="s">
        <v>390</v>
      </c>
      <c r="C15" s="13" t="b">
        <v>1</v>
      </c>
      <c r="D15" s="13">
        <v>500</v>
      </c>
    </row>
    <row r="16" spans="1:8">
      <c r="A16" s="13">
        <v>14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M25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8" sqref="I28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3" width="14" customWidth="1"/>
    <col min="14" max="16" width="33.85546875" customWidth="1"/>
    <col min="17" max="17" width="18.42578125" customWidth="1"/>
    <col min="18" max="18" width="15.140625" customWidth="1"/>
    <col min="19" max="19" width="6.42578125" customWidth="1"/>
    <col min="20" max="20" width="15.140625" customWidth="1"/>
    <col min="21" max="21" width="11.140625" customWidth="1"/>
    <col min="22" max="22" width="15.140625" customWidth="1"/>
    <col min="23" max="25" width="10.140625" customWidth="1"/>
    <col min="26" max="28" width="8.42578125" customWidth="1"/>
    <col min="32" max="32" width="11.140625" customWidth="1"/>
    <col min="33" max="33" width="19.28515625" customWidth="1"/>
  </cols>
  <sheetData>
    <row r="1" spans="1:39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480</v>
      </c>
      <c r="H1" s="38" t="s">
        <v>127</v>
      </c>
      <c r="I1" s="38" t="s">
        <v>392</v>
      </c>
      <c r="L1" s="55" t="s">
        <v>51</v>
      </c>
      <c r="M1" s="55" t="s">
        <v>52</v>
      </c>
      <c r="N1" s="55" t="s">
        <v>316</v>
      </c>
      <c r="O1" t="s">
        <v>394</v>
      </c>
      <c r="P1" t="s">
        <v>211</v>
      </c>
      <c r="Q1" s="5" t="s">
        <v>109</v>
      </c>
      <c r="R1" s="5" t="s">
        <v>110</v>
      </c>
      <c r="S1" s="5" t="s">
        <v>111</v>
      </c>
      <c r="T1" t="s">
        <v>121</v>
      </c>
      <c r="U1" t="s">
        <v>217</v>
      </c>
      <c r="V1" s="2" t="s">
        <v>128</v>
      </c>
      <c r="W1" t="s">
        <v>113</v>
      </c>
      <c r="X1" s="2" t="s">
        <v>115</v>
      </c>
      <c r="Y1" s="2" t="s">
        <v>115</v>
      </c>
      <c r="Z1" t="s">
        <v>61</v>
      </c>
      <c r="AA1" t="s">
        <v>62</v>
      </c>
      <c r="AB1" t="s">
        <v>47</v>
      </c>
      <c r="AC1" t="s">
        <v>48</v>
      </c>
      <c r="AD1" t="s">
        <v>49</v>
      </c>
      <c r="AE1" t="s">
        <v>50</v>
      </c>
      <c r="AG1" s="9" t="s">
        <v>350</v>
      </c>
      <c r="AH1" s="9"/>
    </row>
    <row r="2" spans="1:39">
      <c r="A2" s="13" t="s">
        <v>450</v>
      </c>
      <c r="B2" s="13" t="s">
        <v>119</v>
      </c>
      <c r="C2" s="13">
        <v>2</v>
      </c>
      <c r="D2" s="13">
        <v>2</v>
      </c>
      <c r="E2" s="13" t="b">
        <v>0</v>
      </c>
      <c r="F2" s="13">
        <v>5</v>
      </c>
      <c r="G2" s="65">
        <v>0.92</v>
      </c>
      <c r="H2" s="13" t="s">
        <v>103</v>
      </c>
      <c r="I2" s="63">
        <v>0.08</v>
      </c>
      <c r="L2" s="13">
        <v>2</v>
      </c>
      <c r="M2" s="13">
        <v>2</v>
      </c>
      <c r="N2" s="13">
        <v>5</v>
      </c>
      <c r="O2" s="64" t="s">
        <v>452</v>
      </c>
      <c r="P2" s="64">
        <v>0.92</v>
      </c>
      <c r="Q2" s="9" t="b">
        <v>1</v>
      </c>
      <c r="R2" s="9">
        <v>1</v>
      </c>
      <c r="S2" s="9">
        <v>1</v>
      </c>
      <c r="T2">
        <f>D2+C2</f>
        <v>4</v>
      </c>
      <c r="U2" s="9">
        <f>IF(Q2&lt;&gt;"",1,0)</f>
        <v>1</v>
      </c>
      <c r="V2" s="9" t="s">
        <v>125</v>
      </c>
      <c r="W2" s="27" t="s">
        <v>117</v>
      </c>
      <c r="X2" s="9">
        <v>600</v>
      </c>
      <c r="Y2" s="9"/>
      <c r="Z2" s="9" t="s">
        <v>73</v>
      </c>
      <c r="AA2" s="9" t="s">
        <v>74</v>
      </c>
      <c r="AB2" s="9">
        <v>0</v>
      </c>
      <c r="AC2" s="9">
        <v>1.5</v>
      </c>
      <c r="AD2" s="9">
        <v>33.9</v>
      </c>
      <c r="AE2" s="9">
        <v>0</v>
      </c>
      <c r="AF2" s="9"/>
      <c r="AG2" s="9"/>
      <c r="AH2" s="9"/>
      <c r="AI2" s="9"/>
      <c r="AJ2" s="9"/>
      <c r="AK2" s="9"/>
      <c r="AL2" s="9"/>
      <c r="AM2" s="9"/>
    </row>
    <row r="3" spans="1:39" s="9" customFormat="1">
      <c r="A3" s="13" t="s">
        <v>498</v>
      </c>
      <c r="B3" s="13" t="s">
        <v>119</v>
      </c>
      <c r="C3" s="13">
        <v>2</v>
      </c>
      <c r="D3" s="13">
        <v>2</v>
      </c>
      <c r="E3" s="13" t="b">
        <v>0</v>
      </c>
      <c r="F3" s="13">
        <v>5</v>
      </c>
      <c r="G3" s="65">
        <v>0.91</v>
      </c>
      <c r="H3" s="13" t="s">
        <v>103</v>
      </c>
      <c r="I3" s="63">
        <v>0.08</v>
      </c>
      <c r="J3"/>
      <c r="K3"/>
      <c r="L3" s="13">
        <v>2</v>
      </c>
      <c r="M3" s="13">
        <v>2</v>
      </c>
      <c r="N3" s="13">
        <v>3</v>
      </c>
      <c r="O3" s="64" t="s">
        <v>67</v>
      </c>
      <c r="P3" s="64">
        <v>0.91</v>
      </c>
      <c r="Q3" s="9" t="b">
        <v>1</v>
      </c>
      <c r="R3" s="9">
        <v>1</v>
      </c>
      <c r="S3" s="9">
        <v>1</v>
      </c>
      <c r="T3">
        <f>D3+C3</f>
        <v>4</v>
      </c>
      <c r="U3" s="9">
        <f>IF(Q3&lt;&gt;"",1,0)</f>
        <v>1</v>
      </c>
      <c r="V3" s="9" t="s">
        <v>125</v>
      </c>
      <c r="W3" s="27" t="s">
        <v>116</v>
      </c>
      <c r="X3" s="9">
        <v>500</v>
      </c>
      <c r="Z3" s="9" t="s">
        <v>71</v>
      </c>
      <c r="AA3" s="9" t="s">
        <v>72</v>
      </c>
      <c r="AB3" s="9">
        <v>0</v>
      </c>
      <c r="AC3" s="9">
        <v>0</v>
      </c>
      <c r="AD3" s="9">
        <v>6.3</v>
      </c>
      <c r="AE3" s="9">
        <v>0</v>
      </c>
      <c r="AF3"/>
      <c r="AI3"/>
    </row>
    <row r="4" spans="1:39" s="9" customFormat="1">
      <c r="A4" s="13" t="s">
        <v>382</v>
      </c>
      <c r="B4" s="13" t="s">
        <v>119</v>
      </c>
      <c r="C4" s="13">
        <v>1</v>
      </c>
      <c r="D4" s="13">
        <v>3</v>
      </c>
      <c r="E4" s="13" t="b">
        <v>0</v>
      </c>
      <c r="F4" s="13">
        <v>5</v>
      </c>
      <c r="G4" s="65">
        <v>0.93</v>
      </c>
      <c r="H4" s="13" t="s">
        <v>101</v>
      </c>
      <c r="I4" s="63">
        <v>0.05</v>
      </c>
      <c r="J4"/>
      <c r="K4"/>
      <c r="L4" s="13">
        <v>1</v>
      </c>
      <c r="M4" s="13">
        <v>3</v>
      </c>
      <c r="N4" s="13">
        <v>5</v>
      </c>
      <c r="O4" s="64"/>
      <c r="P4" s="64">
        <v>0.93</v>
      </c>
      <c r="Q4" s="9" t="b">
        <v>1</v>
      </c>
      <c r="R4" s="9">
        <v>1</v>
      </c>
      <c r="S4" s="9">
        <v>1</v>
      </c>
      <c r="T4" s="9">
        <f>D4+C4</f>
        <v>4</v>
      </c>
      <c r="U4" s="9">
        <f t="shared" ref="U4" si="0">IF(Q4&lt;&gt;"",1,0)</f>
        <v>1</v>
      </c>
      <c r="W4" s="9" t="s">
        <v>114</v>
      </c>
      <c r="X4" s="9">
        <v>500</v>
      </c>
      <c r="Y4" s="9">
        <v>500</v>
      </c>
      <c r="Z4" s="9" t="s">
        <v>63</v>
      </c>
      <c r="AA4" s="9" t="s">
        <v>64</v>
      </c>
      <c r="AB4" s="9">
        <v>0</v>
      </c>
      <c r="AC4" s="9">
        <v>2.2999999999999998</v>
      </c>
      <c r="AD4" s="9">
        <v>69.542579720367115</v>
      </c>
      <c r="AE4" s="9">
        <v>0</v>
      </c>
    </row>
    <row r="5" spans="1:39">
      <c r="A5" s="13" t="s">
        <v>499</v>
      </c>
      <c r="B5" s="13" t="s">
        <v>146</v>
      </c>
      <c r="C5" s="57">
        <v>0</v>
      </c>
      <c r="D5" s="57">
        <v>1</v>
      </c>
      <c r="E5" s="13" t="b">
        <v>0</v>
      </c>
      <c r="F5" s="80">
        <v>1</v>
      </c>
      <c r="G5" s="65">
        <v>0.16</v>
      </c>
      <c r="H5" s="13"/>
      <c r="I5" s="63">
        <v>0.05</v>
      </c>
    </row>
    <row r="6" spans="1:39" s="9" customFormat="1">
      <c r="A6" s="13" t="s">
        <v>387</v>
      </c>
      <c r="B6" s="13" t="s">
        <v>146</v>
      </c>
      <c r="C6" s="57">
        <v>0</v>
      </c>
      <c r="D6" s="57">
        <v>1</v>
      </c>
      <c r="E6" s="13" t="b">
        <v>0</v>
      </c>
      <c r="F6" s="13">
        <v>1</v>
      </c>
      <c r="G6" s="65">
        <v>0.16</v>
      </c>
      <c r="H6" s="13"/>
      <c r="I6" s="63">
        <v>0.05</v>
      </c>
      <c r="J6"/>
      <c r="K6"/>
      <c r="L6" s="57">
        <v>0</v>
      </c>
      <c r="M6" s="57">
        <v>1</v>
      </c>
      <c r="N6" s="13">
        <v>0</v>
      </c>
      <c r="O6" s="65">
        <v>0.79</v>
      </c>
      <c r="P6" s="67">
        <v>0.56000000000000005</v>
      </c>
      <c r="Q6"/>
      <c r="R6"/>
      <c r="S6"/>
      <c r="T6">
        <f t="shared" ref="T6:T7" si="1">D6+C6</f>
        <v>1</v>
      </c>
      <c r="U6"/>
      <c r="V6"/>
      <c r="W6"/>
      <c r="X6"/>
      <c r="Y6"/>
      <c r="Z6"/>
      <c r="AA6"/>
      <c r="AB6"/>
      <c r="AC6"/>
      <c r="AD6"/>
      <c r="AE6"/>
      <c r="AF6"/>
      <c r="AI6"/>
    </row>
    <row r="7" spans="1:39">
      <c r="A7" s="13" t="s">
        <v>41</v>
      </c>
      <c r="B7" s="13" t="s">
        <v>119</v>
      </c>
      <c r="C7" s="13">
        <v>2</v>
      </c>
      <c r="D7" s="13">
        <v>5</v>
      </c>
      <c r="E7" s="13" t="b">
        <v>0</v>
      </c>
      <c r="F7" s="13">
        <v>30</v>
      </c>
      <c r="G7" s="65">
        <v>0.8</v>
      </c>
      <c r="H7" s="13" t="s">
        <v>106</v>
      </c>
      <c r="I7" s="63">
        <v>0.08</v>
      </c>
      <c r="L7" s="13">
        <v>2</v>
      </c>
      <c r="M7" s="13">
        <v>5</v>
      </c>
      <c r="N7" s="13">
        <v>10</v>
      </c>
      <c r="O7" s="64"/>
      <c r="P7" s="64">
        <v>0.8</v>
      </c>
      <c r="T7">
        <f t="shared" si="1"/>
        <v>7</v>
      </c>
      <c r="AG7" s="9"/>
      <c r="AH7" s="9"/>
    </row>
    <row r="8" spans="1:39">
      <c r="A8" s="13" t="s">
        <v>383</v>
      </c>
      <c r="B8" s="13" t="s">
        <v>120</v>
      </c>
      <c r="C8" s="13">
        <v>1</v>
      </c>
      <c r="D8" s="13">
        <v>1</v>
      </c>
      <c r="E8" s="13" t="b">
        <v>1</v>
      </c>
      <c r="F8" s="13">
        <v>3</v>
      </c>
      <c r="G8" s="65">
        <v>0.01</v>
      </c>
      <c r="H8" s="13"/>
      <c r="I8" s="63">
        <v>0.05</v>
      </c>
      <c r="L8" s="13">
        <v>1</v>
      </c>
      <c r="M8" s="13">
        <v>1</v>
      </c>
      <c r="N8" s="13">
        <v>1</v>
      </c>
      <c r="O8" s="64"/>
      <c r="P8" s="64">
        <v>0.01</v>
      </c>
      <c r="T8" t="e">
        <f>#REF!+#REF!</f>
        <v>#REF!</v>
      </c>
      <c r="U8">
        <f>IF(Q8&lt;&gt;"",1,0)</f>
        <v>0</v>
      </c>
      <c r="V8" t="s">
        <v>126</v>
      </c>
      <c r="Z8" t="s">
        <v>66</v>
      </c>
      <c r="AA8" t="s">
        <v>68</v>
      </c>
      <c r="AB8">
        <v>8.52</v>
      </c>
      <c r="AC8">
        <v>6.11</v>
      </c>
      <c r="AD8">
        <v>32</v>
      </c>
      <c r="AE8">
        <v>14</v>
      </c>
    </row>
    <row r="9" spans="1:39">
      <c r="A9" s="13" t="s">
        <v>384</v>
      </c>
      <c r="B9" s="13" t="s">
        <v>120</v>
      </c>
      <c r="C9" s="13">
        <v>1</v>
      </c>
      <c r="D9" s="13">
        <v>1</v>
      </c>
      <c r="E9" s="13" t="b">
        <v>1</v>
      </c>
      <c r="F9" s="13">
        <v>3</v>
      </c>
      <c r="G9" s="65">
        <v>0.01</v>
      </c>
      <c r="H9" s="13"/>
      <c r="I9" s="63">
        <v>0.05</v>
      </c>
      <c r="L9" s="13">
        <v>1</v>
      </c>
      <c r="M9" s="13">
        <v>1</v>
      </c>
      <c r="N9" s="13">
        <v>1</v>
      </c>
      <c r="O9" s="64"/>
      <c r="P9" s="64">
        <v>0.01</v>
      </c>
    </row>
    <row r="10" spans="1:39">
      <c r="A10" s="13" t="s">
        <v>386</v>
      </c>
      <c r="B10" s="13" t="s">
        <v>120</v>
      </c>
      <c r="C10" s="13">
        <v>1</v>
      </c>
      <c r="D10" s="13">
        <v>2</v>
      </c>
      <c r="E10" s="13" t="b">
        <v>1</v>
      </c>
      <c r="F10" s="13">
        <v>5</v>
      </c>
      <c r="G10" s="65">
        <v>7.0000000000000007E-2</v>
      </c>
      <c r="H10" s="13"/>
      <c r="I10" s="63">
        <v>0.05</v>
      </c>
      <c r="L10" s="13">
        <v>1</v>
      </c>
      <c r="M10" s="13">
        <v>2</v>
      </c>
      <c r="N10" s="13">
        <v>3</v>
      </c>
      <c r="O10" s="64"/>
      <c r="P10" s="64">
        <v>0.13</v>
      </c>
    </row>
    <row r="11" spans="1:39">
      <c r="A11" s="13" t="s">
        <v>385</v>
      </c>
      <c r="B11" s="13" t="s">
        <v>120</v>
      </c>
      <c r="C11" s="13">
        <v>1</v>
      </c>
      <c r="D11" s="13">
        <v>2</v>
      </c>
      <c r="E11" s="13" t="b">
        <v>1</v>
      </c>
      <c r="F11" s="13">
        <v>4</v>
      </c>
      <c r="G11" s="65">
        <v>0.12</v>
      </c>
      <c r="H11" s="13"/>
      <c r="I11" s="63">
        <v>0.05</v>
      </c>
      <c r="L11" s="13">
        <v>1</v>
      </c>
      <c r="M11" s="13">
        <v>2</v>
      </c>
      <c r="N11" s="13">
        <v>2</v>
      </c>
      <c r="O11" s="64"/>
      <c r="P11" s="64">
        <v>0.09</v>
      </c>
    </row>
    <row r="12" spans="1:39">
      <c r="A12" s="13" t="s">
        <v>293</v>
      </c>
      <c r="B12" s="13" t="s">
        <v>119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J12" s="64"/>
      <c r="K12" s="64"/>
      <c r="L12" s="13">
        <v>0</v>
      </c>
      <c r="M12" s="13">
        <v>0</v>
      </c>
      <c r="N12" s="13">
        <v>0</v>
      </c>
      <c r="O12" s="64"/>
      <c r="P12" s="64">
        <v>0</v>
      </c>
    </row>
    <row r="13" spans="1:39">
      <c r="A13" s="13" t="s">
        <v>426</v>
      </c>
      <c r="B13" s="13" t="s">
        <v>119</v>
      </c>
      <c r="C13" s="13">
        <v>0</v>
      </c>
      <c r="D13" s="13">
        <v>0</v>
      </c>
      <c r="E13" s="13" t="b">
        <v>0</v>
      </c>
      <c r="F13" s="13">
        <v>0</v>
      </c>
      <c r="G13" s="65">
        <v>0</v>
      </c>
      <c r="H13" s="13" t="s">
        <v>105</v>
      </c>
      <c r="I13" s="63">
        <v>7.0000000000000007E-2</v>
      </c>
      <c r="J13" s="64"/>
      <c r="K13" s="64"/>
      <c r="L13" s="13">
        <v>0</v>
      </c>
      <c r="M13" s="13">
        <v>0</v>
      </c>
      <c r="N13" s="13">
        <v>0</v>
      </c>
      <c r="O13" t="s">
        <v>427</v>
      </c>
      <c r="P13">
        <v>0</v>
      </c>
      <c r="Q13" s="9"/>
      <c r="R13" s="9"/>
      <c r="S13" s="9"/>
    </row>
    <row r="14" spans="1:39">
      <c r="A14" s="13" t="s">
        <v>67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65">
        <v>0.92</v>
      </c>
      <c r="H14" s="13" t="s">
        <v>105</v>
      </c>
      <c r="I14" s="13">
        <v>7.0000000000000007E-2</v>
      </c>
      <c r="L14" s="13">
        <v>1</v>
      </c>
      <c r="M14" s="13">
        <v>2</v>
      </c>
      <c r="N14" s="13">
        <v>5</v>
      </c>
      <c r="O14" s="64"/>
      <c r="P14" s="64">
        <v>0.92</v>
      </c>
      <c r="Q14" s="9" t="b">
        <v>1</v>
      </c>
      <c r="R14" s="9">
        <v>1</v>
      </c>
      <c r="S14" s="9">
        <v>1</v>
      </c>
      <c r="T14">
        <f t="shared" ref="T14:T23" si="2">D14+C14</f>
        <v>3</v>
      </c>
      <c r="U14" s="9">
        <f t="shared" ref="U14:U19" si="3">IF(Q14&lt;&gt;"",1,0)</f>
        <v>1</v>
      </c>
      <c r="V14" s="9"/>
      <c r="W14" s="9" t="s">
        <v>67</v>
      </c>
      <c r="X14" s="9">
        <v>775</v>
      </c>
      <c r="Y14" s="9">
        <v>775</v>
      </c>
      <c r="Z14" s="9" t="s">
        <v>66</v>
      </c>
      <c r="AA14" s="9" t="s">
        <v>67</v>
      </c>
      <c r="AB14" s="9">
        <v>56.8</v>
      </c>
      <c r="AC14" s="9">
        <v>1.5</v>
      </c>
      <c r="AD14" s="9">
        <v>10.473234339905167</v>
      </c>
      <c r="AE14" s="9">
        <v>0</v>
      </c>
      <c r="AF14" s="9"/>
      <c r="AG14" s="9"/>
      <c r="AH14" s="9"/>
      <c r="AI14" s="9"/>
    </row>
    <row r="15" spans="1:39">
      <c r="A15" s="62" t="s">
        <v>424</v>
      </c>
      <c r="B15" s="13" t="s">
        <v>119</v>
      </c>
      <c r="C15" s="13">
        <v>1</v>
      </c>
      <c r="D15" s="13">
        <v>2</v>
      </c>
      <c r="E15" s="13" t="b">
        <v>0</v>
      </c>
      <c r="F15" s="13">
        <v>5</v>
      </c>
      <c r="G15" s="65">
        <v>0.9</v>
      </c>
      <c r="H15" s="13" t="s">
        <v>105</v>
      </c>
      <c r="I15" s="13">
        <v>7.0000000000000007E-2</v>
      </c>
      <c r="L15" s="13">
        <v>1</v>
      </c>
      <c r="M15" s="13">
        <v>2</v>
      </c>
      <c r="N15" s="13">
        <v>5</v>
      </c>
      <c r="O15" s="64"/>
      <c r="P15" s="64">
        <v>0.9</v>
      </c>
      <c r="Q15" s="9" t="b">
        <v>1</v>
      </c>
      <c r="R15" s="9">
        <v>1</v>
      </c>
      <c r="S15" s="9">
        <v>1</v>
      </c>
      <c r="T15">
        <f t="shared" si="2"/>
        <v>3</v>
      </c>
      <c r="U15" s="9">
        <f t="shared" si="3"/>
        <v>1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G15" s="9"/>
      <c r="AH15" s="9"/>
    </row>
    <row r="16" spans="1:39">
      <c r="A16" s="13" t="s">
        <v>421</v>
      </c>
      <c r="B16" s="13" t="s">
        <v>119</v>
      </c>
      <c r="C16" s="13">
        <v>1</v>
      </c>
      <c r="D16" s="13">
        <v>4</v>
      </c>
      <c r="E16" s="13" t="b">
        <v>0</v>
      </c>
      <c r="F16" s="13">
        <v>10</v>
      </c>
      <c r="G16" s="65">
        <v>0.9</v>
      </c>
      <c r="H16" s="13" t="s">
        <v>102</v>
      </c>
      <c r="I16" s="13">
        <v>7.0000000000000007E-2</v>
      </c>
      <c r="L16" s="13">
        <v>1</v>
      </c>
      <c r="M16" s="13">
        <v>4</v>
      </c>
      <c r="N16" s="13">
        <v>5</v>
      </c>
      <c r="O16" s="64"/>
      <c r="P16" s="64">
        <v>0.9</v>
      </c>
      <c r="Q16" s="28" t="b">
        <v>0</v>
      </c>
      <c r="R16" s="28">
        <v>1</v>
      </c>
      <c r="S16" s="28">
        <v>1</v>
      </c>
      <c r="T16">
        <f t="shared" si="2"/>
        <v>5</v>
      </c>
      <c r="U16" s="9">
        <f t="shared" si="3"/>
        <v>1</v>
      </c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spans="1:39">
      <c r="A17" s="13" t="s">
        <v>418</v>
      </c>
      <c r="B17" s="13" t="s">
        <v>120</v>
      </c>
      <c r="C17" s="13">
        <v>5</v>
      </c>
      <c r="D17" s="13">
        <v>5</v>
      </c>
      <c r="E17" s="13" t="b">
        <v>0</v>
      </c>
      <c r="F17" s="13">
        <v>20</v>
      </c>
      <c r="G17" s="65">
        <v>0.9</v>
      </c>
      <c r="H17" s="13"/>
      <c r="I17" s="13">
        <v>7.0000000000000007E-2</v>
      </c>
      <c r="L17" s="13">
        <v>5</v>
      </c>
      <c r="M17" s="13">
        <v>5</v>
      </c>
      <c r="N17" s="13">
        <v>20</v>
      </c>
      <c r="O17" s="64"/>
      <c r="P17" s="64">
        <v>0.9</v>
      </c>
      <c r="Q17" s="28" t="b">
        <v>0</v>
      </c>
      <c r="R17" s="28">
        <v>1</v>
      </c>
      <c r="S17" s="28">
        <v>1</v>
      </c>
      <c r="T17">
        <f t="shared" si="2"/>
        <v>10</v>
      </c>
      <c r="U17" s="9">
        <f t="shared" si="3"/>
        <v>1</v>
      </c>
      <c r="V17" s="9"/>
      <c r="W17" s="9"/>
      <c r="X17" s="9"/>
      <c r="Y17" s="9"/>
      <c r="Z17" s="9"/>
      <c r="AA17" s="9"/>
      <c r="AB17" s="9"/>
      <c r="AC17" s="9"/>
      <c r="AD17" s="9"/>
      <c r="AE17" s="9"/>
      <c r="AG17" s="9"/>
      <c r="AH17" s="9"/>
      <c r="AJ17" s="9"/>
      <c r="AK17" s="9"/>
      <c r="AL17" s="9"/>
      <c r="AM17" s="9"/>
    </row>
    <row r="18" spans="1:39">
      <c r="A18" s="13" t="s">
        <v>389</v>
      </c>
      <c r="B18" s="13" t="s">
        <v>119</v>
      </c>
      <c r="C18" s="13">
        <v>2</v>
      </c>
      <c r="D18" s="13">
        <v>2</v>
      </c>
      <c r="E18" s="13" t="b">
        <v>0</v>
      </c>
      <c r="F18" s="13">
        <v>5</v>
      </c>
      <c r="G18" s="65">
        <v>0.92</v>
      </c>
      <c r="H18" s="13" t="s">
        <v>103</v>
      </c>
      <c r="I18" s="13">
        <v>7.0000000000000007E-2</v>
      </c>
      <c r="L18" s="13">
        <v>2</v>
      </c>
      <c r="M18" s="13">
        <v>2</v>
      </c>
      <c r="N18" s="13">
        <v>5</v>
      </c>
      <c r="O18" s="64"/>
      <c r="P18" s="64">
        <v>0.92</v>
      </c>
      <c r="Q18" s="9" t="b">
        <v>1</v>
      </c>
      <c r="R18" s="9">
        <v>1</v>
      </c>
      <c r="S18" s="9">
        <v>1</v>
      </c>
      <c r="T18">
        <f t="shared" si="2"/>
        <v>4</v>
      </c>
      <c r="U18" s="9">
        <f t="shared" si="3"/>
        <v>1</v>
      </c>
      <c r="V18" s="9" t="s">
        <v>125</v>
      </c>
      <c r="W18" s="27" t="s">
        <v>118</v>
      </c>
      <c r="X18" s="9">
        <v>600</v>
      </c>
      <c r="Y18" s="9"/>
      <c r="Z18" s="9" t="s">
        <v>73</v>
      </c>
      <c r="AA18" s="9" t="s">
        <v>75</v>
      </c>
      <c r="AB18" s="9">
        <v>0</v>
      </c>
      <c r="AC18" s="9">
        <v>2</v>
      </c>
      <c r="AD18" s="9">
        <v>47.8</v>
      </c>
      <c r="AE18" s="9">
        <v>0</v>
      </c>
      <c r="AF18" s="9"/>
      <c r="AG18" s="9"/>
      <c r="AH18" s="9"/>
      <c r="AI18" s="9"/>
    </row>
    <row r="19" spans="1:39">
      <c r="A19" s="60" t="s">
        <v>419</v>
      </c>
      <c r="B19" s="13" t="s">
        <v>120</v>
      </c>
      <c r="C19" s="13">
        <v>5</v>
      </c>
      <c r="D19" s="13">
        <v>5</v>
      </c>
      <c r="E19" s="13" t="b">
        <v>0</v>
      </c>
      <c r="F19" s="13">
        <v>20</v>
      </c>
      <c r="G19" s="65">
        <v>0.41</v>
      </c>
      <c r="H19" s="13"/>
      <c r="I19" s="13">
        <v>0.05</v>
      </c>
      <c r="L19" s="13">
        <v>5</v>
      </c>
      <c r="M19" s="13">
        <v>5</v>
      </c>
      <c r="N19" s="13">
        <v>20</v>
      </c>
      <c r="O19" s="64"/>
      <c r="P19" s="64">
        <v>0.41</v>
      </c>
      <c r="T19">
        <f t="shared" si="2"/>
        <v>10</v>
      </c>
      <c r="U19">
        <f t="shared" si="3"/>
        <v>0</v>
      </c>
      <c r="V19" t="s">
        <v>125</v>
      </c>
      <c r="W19" s="27"/>
      <c r="X19" s="9"/>
      <c r="Y19" s="9"/>
      <c r="Z19" s="9"/>
      <c r="AA19" s="9"/>
      <c r="AB19" s="9"/>
      <c r="AC19" s="9"/>
      <c r="AD19" s="9"/>
      <c r="AE19" s="9"/>
      <c r="AG19" s="9"/>
      <c r="AH19" s="9"/>
    </row>
    <row r="20" spans="1:39" s="9" customFormat="1">
      <c r="A20" s="13" t="s">
        <v>423</v>
      </c>
      <c r="B20" s="13" t="s">
        <v>119</v>
      </c>
      <c r="C20" s="13">
        <v>1</v>
      </c>
      <c r="D20" s="13">
        <v>5</v>
      </c>
      <c r="E20" s="13" t="b">
        <v>0</v>
      </c>
      <c r="F20" s="13">
        <v>5</v>
      </c>
      <c r="G20" s="65">
        <v>0.9</v>
      </c>
      <c r="H20" s="13" t="s">
        <v>104</v>
      </c>
      <c r="I20" s="13">
        <v>7.0000000000000007E-2</v>
      </c>
      <c r="J20"/>
      <c r="K20"/>
      <c r="L20" s="13">
        <v>1</v>
      </c>
      <c r="M20" s="13">
        <v>5</v>
      </c>
      <c r="N20" s="13">
        <v>5</v>
      </c>
      <c r="O20" s="64"/>
      <c r="P20" s="64">
        <v>0.9</v>
      </c>
      <c r="Q20" s="9" t="e">
        <f>#REF!</f>
        <v>#REF!</v>
      </c>
      <c r="R20" s="9" t="e">
        <f>#REF!</f>
        <v>#REF!</v>
      </c>
      <c r="S20" s="9" t="e">
        <f>#REF!</f>
        <v>#REF!</v>
      </c>
      <c r="T20">
        <f t="shared" si="2"/>
        <v>6</v>
      </c>
      <c r="U20" s="9" t="e">
        <f t="shared" ref="U20" si="4">IF(Q20&lt;&gt;"",1,0)</f>
        <v>#REF!</v>
      </c>
      <c r="V20" s="9" t="s">
        <v>103</v>
      </c>
      <c r="AJ20"/>
      <c r="AK20"/>
      <c r="AL20"/>
      <c r="AM20"/>
    </row>
    <row r="21" spans="1:39">
      <c r="A21" s="13" t="s">
        <v>89</v>
      </c>
      <c r="B21" s="13" t="s">
        <v>119</v>
      </c>
      <c r="C21" s="13">
        <v>1</v>
      </c>
      <c r="D21" s="13">
        <v>2</v>
      </c>
      <c r="E21" s="13" t="b">
        <v>0</v>
      </c>
      <c r="F21" s="13">
        <v>5</v>
      </c>
      <c r="G21" s="65">
        <v>0.91</v>
      </c>
      <c r="H21" s="13" t="s">
        <v>105</v>
      </c>
      <c r="I21" s="13">
        <v>7.0000000000000007E-2</v>
      </c>
      <c r="L21" s="13">
        <v>1</v>
      </c>
      <c r="M21" s="13">
        <v>2</v>
      </c>
      <c r="N21" s="13">
        <v>5</v>
      </c>
      <c r="O21" s="64"/>
      <c r="P21" s="64">
        <v>0.91</v>
      </c>
      <c r="T21">
        <f t="shared" si="2"/>
        <v>3</v>
      </c>
      <c r="AG21" s="9"/>
      <c r="AH21" s="9"/>
    </row>
    <row r="22" spans="1:39" s="9" customFormat="1">
      <c r="A22" s="60" t="s">
        <v>422</v>
      </c>
      <c r="B22" s="13" t="s">
        <v>119</v>
      </c>
      <c r="C22" s="13">
        <v>1</v>
      </c>
      <c r="D22" s="13">
        <v>1</v>
      </c>
      <c r="E22" s="13" t="b">
        <v>0</v>
      </c>
      <c r="F22" s="13">
        <v>5</v>
      </c>
      <c r="G22" s="65">
        <v>0.95</v>
      </c>
      <c r="H22" s="13" t="s">
        <v>415</v>
      </c>
      <c r="I22" s="13">
        <v>7.0000000000000007E-2</v>
      </c>
      <c r="J22"/>
      <c r="K22"/>
      <c r="L22" s="13">
        <v>1</v>
      </c>
      <c r="M22" s="13">
        <v>1</v>
      </c>
      <c r="N22" s="13">
        <v>5</v>
      </c>
      <c r="O22" s="64"/>
      <c r="P22" s="64">
        <v>0.95</v>
      </c>
      <c r="Q22" s="9" t="b">
        <v>1</v>
      </c>
      <c r="R22" s="9">
        <v>1</v>
      </c>
      <c r="S22" s="9">
        <v>1</v>
      </c>
      <c r="T22">
        <f t="shared" si="2"/>
        <v>2</v>
      </c>
      <c r="U22" s="9">
        <f>IF(Q22&lt;&gt;"",1,0)</f>
        <v>1</v>
      </c>
      <c r="AI22"/>
      <c r="AJ22"/>
      <c r="AK22"/>
      <c r="AL22"/>
      <c r="AM22"/>
    </row>
    <row r="23" spans="1:39">
      <c r="A23" s="61" t="s">
        <v>420</v>
      </c>
      <c r="B23" s="13" t="s">
        <v>146</v>
      </c>
      <c r="C23" s="57">
        <v>3</v>
      </c>
      <c r="D23" s="57">
        <v>4</v>
      </c>
      <c r="E23" s="13" t="b">
        <v>0</v>
      </c>
      <c r="F23" s="13">
        <v>20</v>
      </c>
      <c r="G23" s="65">
        <v>0.9</v>
      </c>
      <c r="H23" s="13"/>
      <c r="I23" s="13">
        <v>0.05</v>
      </c>
      <c r="L23" s="57">
        <v>3</v>
      </c>
      <c r="M23" s="57">
        <v>4</v>
      </c>
      <c r="N23" s="13">
        <v>20</v>
      </c>
      <c r="O23" s="64"/>
      <c r="P23" s="64">
        <v>0.9</v>
      </c>
      <c r="Q23" t="b">
        <v>1</v>
      </c>
      <c r="R23">
        <v>1</v>
      </c>
      <c r="S23">
        <v>1</v>
      </c>
      <c r="T23">
        <f t="shared" si="2"/>
        <v>7</v>
      </c>
      <c r="U23">
        <f>IF(Q23&lt;&gt;"",1,0)</f>
        <v>1</v>
      </c>
      <c r="AH23" s="9"/>
    </row>
    <row r="24" spans="1:39" s="9" customFormat="1">
      <c r="A24"/>
      <c r="B24"/>
      <c r="C24"/>
      <c r="D24"/>
      <c r="E24"/>
      <c r="F24"/>
      <c r="G24"/>
      <c r="H24"/>
      <c r="I24"/>
      <c r="J24"/>
      <c r="K24"/>
      <c r="L24"/>
      <c r="M24"/>
      <c r="W24"/>
      <c r="X24"/>
      <c r="Y24"/>
      <c r="Z24"/>
      <c r="AA24"/>
      <c r="AB24"/>
      <c r="AC24"/>
      <c r="AD24"/>
      <c r="AE24"/>
      <c r="AG24"/>
      <c r="AH24"/>
    </row>
    <row r="25" spans="1:39">
      <c r="C25" s="8"/>
      <c r="D25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481</v>
      </c>
      <c r="C1" t="s">
        <v>482</v>
      </c>
    </row>
    <row r="2" spans="1:3">
      <c r="A2" t="s">
        <v>383</v>
      </c>
      <c r="B2">
        <v>0.01</v>
      </c>
      <c r="C2">
        <v>0.01</v>
      </c>
    </row>
    <row r="3" spans="1:3">
      <c r="A3" t="s">
        <v>384</v>
      </c>
      <c r="B3">
        <v>0.01</v>
      </c>
      <c r="C3">
        <v>0.01</v>
      </c>
    </row>
    <row r="4" spans="1:3">
      <c r="A4" t="s">
        <v>386</v>
      </c>
      <c r="B4">
        <v>7.0000000000000007E-2</v>
      </c>
      <c r="C4">
        <v>0.13</v>
      </c>
    </row>
    <row r="5" spans="1:3">
      <c r="A5" t="s">
        <v>385</v>
      </c>
      <c r="B5">
        <v>0.12</v>
      </c>
      <c r="C5">
        <v>0.09</v>
      </c>
    </row>
    <row r="6" spans="1:3">
      <c r="A6" t="s">
        <v>387</v>
      </c>
      <c r="B6">
        <v>0.09</v>
      </c>
      <c r="C6">
        <v>0.56000000000000005</v>
      </c>
    </row>
    <row r="7" spans="1:3">
      <c r="A7" t="s">
        <v>389</v>
      </c>
      <c r="B7">
        <v>0.92</v>
      </c>
      <c r="C7">
        <v>0.92</v>
      </c>
    </row>
    <row r="8" spans="1:3">
      <c r="A8" t="s">
        <v>450</v>
      </c>
      <c r="B8">
        <v>0.92</v>
      </c>
      <c r="C8">
        <v>0.92</v>
      </c>
    </row>
    <row r="9" spans="1:3">
      <c r="A9" t="s">
        <v>388</v>
      </c>
      <c r="B9">
        <v>0.91</v>
      </c>
      <c r="C9">
        <v>0.91</v>
      </c>
    </row>
    <row r="10" spans="1:3">
      <c r="A10" t="s">
        <v>419</v>
      </c>
      <c r="B10">
        <v>0.41</v>
      </c>
      <c r="C10">
        <v>0.41</v>
      </c>
    </row>
    <row r="11" spans="1:3">
      <c r="A11" t="s">
        <v>423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422</v>
      </c>
      <c r="B14">
        <v>0.95</v>
      </c>
      <c r="C14">
        <v>0.95</v>
      </c>
    </row>
    <row r="15" spans="1:3">
      <c r="A15" t="s">
        <v>420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426</v>
      </c>
      <c r="B17">
        <v>0</v>
      </c>
      <c r="C17">
        <v>0</v>
      </c>
    </row>
    <row r="18" spans="1:3">
      <c r="A18" t="s">
        <v>382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424</v>
      </c>
      <c r="B20">
        <v>0.9</v>
      </c>
      <c r="C20">
        <v>0.9</v>
      </c>
    </row>
    <row r="21" spans="1:3">
      <c r="A21" t="s">
        <v>421</v>
      </c>
      <c r="B21">
        <v>0.9</v>
      </c>
      <c r="C21">
        <v>0.9</v>
      </c>
    </row>
    <row r="22" spans="1:3">
      <c r="A22" t="s">
        <v>418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15" zoomScaleNormal="100" workbookViewId="0">
      <selection activeCell="A38" sqref="A38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_xlfn.CONCAT(TechnologiesEmlab!A4,"FixedOperatingCostTimeSeries")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_xlfn.CONCAT(TechnologiesEmlab!A14,"FixedOperatingCostTimeSeries")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ACTIVE</v>
      </c>
      <c r="L3" s="39"/>
    </row>
    <row r="4" spans="1:13">
      <c r="A4" s="13" t="str">
        <f>_xlfn.CONCAT(TechnologiesEmlab!A15,"FixedOperatingCostTimeSeries")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_xlfn.CONCAT(TechnologiesEmlab!A16,"FixedOperatingCostTimeSeries")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_xlfn.CONCAT(TechnologiesEmlab!A17,"FixedOperatingCostTimeSeries")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_xlfn.CONCAT(TechnologiesEmlab!A18,"FixedOperatingCostTimeSeries")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_xlfn.CONCAT(TechnologiesEmlab!A2,"FixedOperatingCostTimeSeries")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_xlfn.CONCAT(TechnologiesEmlab!A3,"FixedOperatingCostTimeSeries")</f>
        <v>hydrogen CCGTFixedOperatingCostTimeSeries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_xlfn.CONCAT(TechnologiesEmlab!A19,"FixedOperatingCostTimeSeries")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_xlfn.CONCAT(TechnologiesEmlab!A20,"FixedOperatingCostTimeSeries")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_xlfn.CONCAT(TechnologiesEmlab!A6,"FixedOperatingCostTimeSeries")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_xlfn.CONCAT(TechnologiesEmlab!A7,"FixedOperatingCostTimeSeries")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_xlfn.CONCAT(TechnologiesEmlab!A21,"FixedOperatingCostTimeSeries")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_xlfn.CONCAT(TechnologiesEmlab!A22,"FixedOperatingCostTimeSeries")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_xlfn.CONCAT(TechnologiesEmlab!A23,"FixedOperatingCostTimeSeries")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_xlfn.CONCAT(TechnologiesEmlab!A8,"FixedOperatingCostTimeSeries")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_xlfn.CONCAT(TechnologiesEmlab!A9,"FixedOperatingCostTimeSeries")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_xlfn.CONCAT(TechnologiesEmlab!A10,"FixedOperatingCostTimeSeries")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ACTIVE</v>
      </c>
    </row>
    <row r="20" spans="1:14">
      <c r="A20" s="13" t="str">
        <f>_xlfn.CONCAT(TechnologiesEmlab!A11,"FixedOperatingCostTimeSeries")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ACTIVE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_xlfn.CONCAT(TechnologiesEmlab!A12,"FixedOperatingCostTimeSeries")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_xlfn.CONCAT(TechnologiesEmlab!A13,"FixedOperatingCostTimeSeries")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ACTIVE</v>
      </c>
      <c r="J22">
        <v>1</v>
      </c>
      <c r="K22">
        <f>$K$21*(1+$B$74)^J22</f>
        <v>4.5</v>
      </c>
      <c r="L22">
        <f>$L$21*(1+$B$107)^J22</f>
        <v>0.43</v>
      </c>
    </row>
    <row r="23" spans="1:14">
      <c r="A23" s="13" t="str">
        <f>_xlfn.CONCAT(TechnologiesEmlab!A5,"FixedOperatingCostTimeSeries")</f>
        <v>Lithium ion battery 4FixedOperatingCostTimeSeries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ACTIVE</v>
      </c>
      <c r="J23">
        <v>2</v>
      </c>
      <c r="K23">
        <f>$K$21*(1+$B$74)^J23</f>
        <v>4.5</v>
      </c>
      <c r="L23">
        <f>$L$21*(1+$B$107)^J23</f>
        <v>0.43</v>
      </c>
    </row>
    <row r="24" spans="1:14">
      <c r="A24" s="58" t="str">
        <f>_xlfn.CONCAT(TechnologiesEmlab!A4,"InvestmentCostTimeSeries")</f>
        <v>BiofuelInvestmentCostTimeSeries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$K$21*(1+$B$74)^J24</f>
        <v>4.5</v>
      </c>
      <c r="L24">
        <f>$L$21*(1+$B$107)^J24</f>
        <v>0.43</v>
      </c>
    </row>
    <row r="25" spans="1:14">
      <c r="A25" s="58" t="str">
        <f>_xlfn.CONCAT(TechnologiesEmlab!A14,"InvestmentCostTimeSeries")</f>
        <v>CCGTInvestmentCostTimeSeries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$K$21*(1+$B$74)^J25</f>
        <v>4.5</v>
      </c>
      <c r="L25">
        <f>$L$21*(1+$B$107)^J25</f>
        <v>0.43</v>
      </c>
    </row>
    <row r="26" spans="1:14">
      <c r="A26" s="58" t="str">
        <f>_xlfn.CONCAT(TechnologiesEmlab!A15,"InvestmentCostTimeSeries")</f>
        <v>CCS gasInvestmentCostTimeSeries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$K$21*(1+$B$74)^J26</f>
        <v>4.5</v>
      </c>
      <c r="L26">
        <f>$L$21*(1+$B$107)^J26</f>
        <v>0.43</v>
      </c>
    </row>
    <row r="27" spans="1:14">
      <c r="A27" s="58" t="str">
        <f>_xlfn.CONCAT(TechnologiesEmlab!A16,"InvestmentCostTimeSeries")</f>
        <v>Hard CoalInvestmentCostTimeSeries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_xlfn.CONCAT(TechnologiesEmlab!A17,"InvestmentCostTimeSeries")</f>
        <v>Hydro ReservoirInvestmentCostTimeSeries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72</v>
      </c>
      <c r="K28" t="s">
        <v>337</v>
      </c>
    </row>
    <row r="29" spans="1:14">
      <c r="A29" s="58" t="str">
        <f>_xlfn.CONCAT(TechnologiesEmlab!A18,"InvestmentCostTimeSeries")</f>
        <v>hydrogen CHPInvestmentCostTimeSeries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_xlfn.CONCAT(TechnologiesEmlab!A2,"InvestmentCostTimeSeries")</f>
        <v>hydrogen OCGTInvestmentCostTimeSeries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$K$29*(1+$B$82)^J30</f>
        <v>3</v>
      </c>
    </row>
    <row r="31" spans="1:14">
      <c r="A31" s="58" t="str">
        <f>_xlfn.CONCAT(TechnologiesEmlab!A3,"InvestmentCostTimeSeries")</f>
        <v>hydrogen CCGTInvestmentCostTimeSeries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$K$29*(1+$B$82)^J31</f>
        <v>3</v>
      </c>
    </row>
    <row r="32" spans="1:14">
      <c r="A32" s="58" t="str">
        <f>_xlfn.CONCAT(TechnologiesEmlab!A19,"InvestmentCostTimeSeries")</f>
        <v>Hydropower RORInvestmentCostTimeSeries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$K$29*(1+$B$82)^J32</f>
        <v>3</v>
      </c>
      <c r="N32">
        <f>K32/K29</f>
        <v>1</v>
      </c>
    </row>
    <row r="33" spans="1:10">
      <c r="A33" s="58" t="str">
        <f>_xlfn.CONCAT(TechnologiesEmlab!A20,"InvestmentCostTimeSeries")</f>
        <v>LigniteInvestmentCostTimeSeries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_xlfn.CONCAT(TechnologiesEmlab!A6,"InvestmentCostTimeSeries")</f>
        <v>Lithium ion batteryInvestmentCostTimeSeries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325</v>
      </c>
    </row>
    <row r="35" spans="1:10">
      <c r="A35" s="58" t="str">
        <f>_xlfn.CONCAT(TechnologiesEmlab!A7,"InvestmentCostTimeSeries")</f>
        <v>NuclearInvestmentCostTimeSeries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326</v>
      </c>
    </row>
    <row r="36" spans="1:10">
      <c r="A36" s="58" t="str">
        <f>_xlfn.CONCAT(TechnologiesEmlab!A21,"InvestmentCostTimeSeries")</f>
        <v>OCGTInvestmentCostTimeSeries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351</v>
      </c>
    </row>
    <row r="37" spans="1:10">
      <c r="A37" s="58" t="str">
        <f>_xlfn.CONCAT(TechnologiesEmlab!A22,"InvestmentCostTimeSeries")</f>
        <v>OilInvestmentCostTimeSeries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_xlfn.CONCAT(TechnologiesEmlab!A23,"InvestmentCostTimeSeries")</f>
        <v>PHS DischargeInvestmentCostTimeSeries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_xlfn.CONCAT(TechnologiesEmlab!A8,"InvestmentCostTimeSeries")</f>
        <v>Solar PV largeInvestmentCostTimeSeries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_xlfn.CONCAT(TechnologiesEmlab!A9,"InvestmentCostTimeSeries")</f>
        <v>Solar PV rooftopInvestmentCostTimeSeries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_xlfn.CONCAT(TechnologiesEmlab!A10,"InvestmentCostTimeSeries")</f>
        <v>Wind OffshoreInvestmentCostTimeSeries</v>
      </c>
      <c r="B41" s="46">
        <v>0</v>
      </c>
      <c r="C41" s="9"/>
      <c r="D41" s="40"/>
    </row>
    <row r="42" spans="1:10">
      <c r="A42" s="58" t="str">
        <f>_xlfn.CONCAT(TechnologiesEmlab!A11,"InvestmentCostTimeSeries")</f>
        <v>Wind OnshoreInvestmentCostTimeSeries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_xlfn.CONCAT(TechnologiesEmlab!A12,"InvestmentCostTimeSeries")</f>
        <v>electrolyzerInvestmentCostTimeSeries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_xlfn.CONCAT(TechnologiesEmlab!A13,"InvestmentCostTimeSeries")</f>
        <v>central gas boilerInvestmentCostTimeSeries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_xlfn.CONCAT(TechnologiesEmlab!A5,"InvestmentCostTimeSeries")</f>
        <v>Lithium ion battery 4InvestmentCostTimeSeries</v>
      </c>
      <c r="B45" s="46">
        <v>0</v>
      </c>
      <c r="C45" s="9"/>
      <c r="D45" s="40">
        <v>0</v>
      </c>
    </row>
    <row r="46" spans="1:10">
      <c r="A46" s="13" t="str">
        <f>_xlfn.CONCAT(TechnologiesEmlab!A4,"VariableCostTimeSeries")</f>
        <v>BiofuelVariableCostTimeSeries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_xlfn.CONCAT(TechnologiesEmlab!A14,"VariableCostTimeSeries")</f>
        <v>CCGTVariableCostTimeSeries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_xlfn.CONCAT(TechnologiesEmlab!A15,"VariableCostTimeSeries")</f>
        <v>CCS gasVariableCostTimeSeries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_xlfn.CONCAT(TechnologiesEmlab!A16,"VariableCostTimeSeries")</f>
        <v>Hard CoalVariableCostTimeSeries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_xlfn.CONCAT(TechnologiesEmlab!A17,"VariableCostTimeSeries")</f>
        <v>Hydro ReservoirVariableCostTimeSeries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_xlfn.CONCAT(TechnologiesEmlab!A18,"VariableCostTimeSeries")</f>
        <v>hydrogen CHPVariableCostTimeSeries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_xlfn.CONCAT(TechnologiesEmlab!A2,"VariableCostTimeSeries")</f>
        <v>hydrogen OCGTVariableCostTimeSeries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_xlfn.CONCAT(TechnologiesEmlab!A3,"VariableCostTimeSeries")</f>
        <v>hydrogen CCGTVariableCostTimeSeries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_xlfn.CONCAT(TechnologiesEmlab!A19,"VariableCostTimeSeries")</f>
        <v>Hydropower RORVariableCostTimeSeries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_xlfn.CONCAT(TechnologiesEmlab!A20,"VariableCostTimeSeries")</f>
        <v>LigniteVariableCostTimeSeries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_xlfn.CONCAT(TechnologiesEmlab!A6,"VariableCostTimeSeries")</f>
        <v>Lithium ion batteryVariableCostTimeSeries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_xlfn.CONCAT(TechnologiesEmlab!A7,"VariableCostTimeSeries")</f>
        <v>NuclearVariableCostTimeSeries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_xlfn.CONCAT(TechnologiesEmlab!A21,"VariableCostTimeSeries")</f>
        <v>OCGTVariableCostTimeSeries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_xlfn.CONCAT(TechnologiesEmlab!A22,"VariableCostTimeSeries")</f>
        <v>OilVariableCostTimeSeries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_xlfn.CONCAT(TechnologiesEmlab!A23,"VariableCostTimeSeries")</f>
        <v>PHS DischargeVariableCostTimeSeries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_xlfn.CONCAT(TechnologiesEmlab!A8,"VariableCostTimeSeries")</f>
        <v>Solar PV largeVariableCostTimeSeries</v>
      </c>
      <c r="B61" s="46">
        <v>5.0000000000000001E-3</v>
      </c>
      <c r="C61" s="9"/>
      <c r="D61" s="40"/>
    </row>
    <row r="62" spans="1:4">
      <c r="A62" s="13" t="str">
        <f>_xlfn.CONCAT(TechnologiesEmlab!A9,"VariableCostTimeSeries")</f>
        <v>Solar PV rooftopVariableCostTimeSeries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_xlfn.CONCAT(TechnologiesEmlab!A10,"VariableCostTimeSeries")</f>
        <v>Wind OffshoreVariableCostTimeSeries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_xlfn.CONCAT(TechnologiesEmlab!A11,"VariableCostTimeSeries")</f>
        <v>Wind OnshoreVariableCostTimeSeries</v>
      </c>
      <c r="B64" s="46">
        <v>5.0000000000000001E-3</v>
      </c>
      <c r="C64" s="9"/>
      <c r="D64" s="40">
        <v>0</v>
      </c>
    </row>
    <row r="65" spans="1:5">
      <c r="A65" s="13" t="str">
        <f>_xlfn.CONCAT(TechnologiesEmlab!A12,"VariableCostTimeSeries")</f>
        <v>electrolyzerVariableCostTimeSeries</v>
      </c>
      <c r="B65" s="46">
        <v>5.0000000000000001E-3</v>
      </c>
      <c r="C65" s="9"/>
      <c r="D65" s="40">
        <v>-5.0000000000000001E-3</v>
      </c>
      <c r="E65" t="s">
        <v>335</v>
      </c>
    </row>
    <row r="66" spans="1:5">
      <c r="A66" s="13" t="str">
        <f>_xlfn.CONCAT(TechnologiesEmlab!A13,"VariableCostTimeSeries")</f>
        <v>central gas boilerVariableCostTimeSeries</v>
      </c>
      <c r="B66" s="46">
        <v>5.0000000000000001E-3</v>
      </c>
      <c r="C66" s="9"/>
      <c r="D66" s="40">
        <v>-5.0000000000000001E-3</v>
      </c>
    </row>
    <row r="67" spans="1:5">
      <c r="A67" s="13" t="str">
        <f>_xlfn.CONCAT(TechnologiesEmlab!A5,"VariableCostTimeSeries")</f>
        <v>Lithium ion battery 4VariableCostTimeSeries</v>
      </c>
      <c r="B67" s="46">
        <v>5.0000000000000001E-3</v>
      </c>
      <c r="C67" s="9"/>
      <c r="D67" s="40">
        <v>-5.0000000000000001E-3</v>
      </c>
    </row>
    <row r="68" spans="1:5">
      <c r="A68" s="58" t="str">
        <f>_xlfn.CONCAT(TechnologiesEmlab!A4,"EfficiencyTimeSeries")</f>
        <v>BiofuelEfficiencyTimeSeries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_xlfn.CONCAT(TechnologiesEmlab!A14,"EfficiencyTimeSeries")</f>
        <v>CCGTEfficiencyTimeSeries</v>
      </c>
      <c r="B69" s="46">
        <v>0</v>
      </c>
      <c r="C69" s="9"/>
      <c r="D69" s="9"/>
    </row>
    <row r="70" spans="1:5">
      <c r="A70" s="58" t="str">
        <f>_xlfn.CONCAT(TechnologiesEmlab!A15,"EfficiencyTimeSeries")</f>
        <v>CCS gasEfficiencyTimeSeries</v>
      </c>
      <c r="B70" s="46">
        <v>0</v>
      </c>
      <c r="C70" s="9"/>
      <c r="D70" s="9"/>
    </row>
    <row r="71" spans="1:5">
      <c r="A71" s="58" t="str">
        <f>_xlfn.CONCAT(TechnologiesEmlab!A16,"EfficiencyTimeSeries")</f>
        <v>Hard CoalEfficiencyTimeSeries</v>
      </c>
      <c r="B71" s="46">
        <v>0</v>
      </c>
      <c r="C71" s="9"/>
      <c r="D71" s="9"/>
    </row>
    <row r="72" spans="1:5">
      <c r="A72" s="58" t="str">
        <f>_xlfn.CONCAT(TechnologiesEmlab!A17,"EfficiencyTimeSeries")</f>
        <v>Hydro ReservoirEfficiencyTimeSeries</v>
      </c>
      <c r="B72" s="46">
        <v>0</v>
      </c>
      <c r="C72" s="9"/>
      <c r="D72" s="9"/>
    </row>
    <row r="73" spans="1:5">
      <c r="A73" s="58" t="str">
        <f>_xlfn.CONCAT(TechnologiesEmlab!A18,"EfficiencyTimeSeries")</f>
        <v>hydrogen CHPEfficiencyTimeSeries</v>
      </c>
      <c r="B73" s="46">
        <v>0</v>
      </c>
      <c r="C73" s="9"/>
      <c r="D73" s="9"/>
    </row>
    <row r="74" spans="1:5">
      <c r="A74" s="58" t="str">
        <f>_xlfn.CONCAT(TechnologiesEmlab!A2,"EfficiencyTimeSeries")</f>
        <v>hydrogen OCGTEfficiencyTimeSeries</v>
      </c>
      <c r="B74" s="46">
        <v>0</v>
      </c>
      <c r="C74" s="9"/>
      <c r="D74" s="9"/>
    </row>
    <row r="75" spans="1:5">
      <c r="A75" s="58" t="str">
        <f>_xlfn.CONCAT(TechnologiesEmlab!A3,"EfficiencyTimeSeries")</f>
        <v>hydrogen CCGTEfficiencyTimeSeries</v>
      </c>
      <c r="B75" s="46">
        <v>0</v>
      </c>
      <c r="C75" s="9"/>
      <c r="D75" s="9"/>
    </row>
    <row r="76" spans="1:5">
      <c r="A76" s="58" t="str">
        <f>_xlfn.CONCAT(TechnologiesEmlab!A19,"EfficiencyTimeSeries")</f>
        <v>Hydropower ROREfficiencyTimeSeries</v>
      </c>
      <c r="B76" s="46">
        <v>0</v>
      </c>
      <c r="C76" s="9"/>
      <c r="D76" s="9"/>
    </row>
    <row r="77" spans="1:5">
      <c r="A77" s="58" t="str">
        <f>_xlfn.CONCAT(TechnologiesEmlab!A20,"EfficiencyTimeSeries")</f>
        <v>LigniteEfficiencyTimeSeries</v>
      </c>
      <c r="B77" s="46">
        <v>0</v>
      </c>
      <c r="C77" s="9"/>
      <c r="D77" s="9"/>
    </row>
    <row r="78" spans="1:5">
      <c r="A78" s="58" t="str">
        <f>_xlfn.CONCAT(TechnologiesEmlab!A6,"EfficiencyTimeSeries")</f>
        <v>Lithium ion batteryEfficiencyTimeSeries</v>
      </c>
      <c r="B78" s="46">
        <v>0</v>
      </c>
      <c r="C78" s="9"/>
      <c r="D78" s="9"/>
    </row>
    <row r="79" spans="1:5">
      <c r="A79" s="58" t="str">
        <f>_xlfn.CONCAT(TechnologiesEmlab!A7,"EfficiencyTimeSeries")</f>
        <v>NuclearEfficiencyTimeSeries</v>
      </c>
      <c r="B79" s="46">
        <v>0</v>
      </c>
      <c r="C79" s="9"/>
      <c r="D79" s="9"/>
    </row>
    <row r="80" spans="1:5">
      <c r="A80" s="58" t="str">
        <f>_xlfn.CONCAT(TechnologiesEmlab!A21,"EfficiencyTimeSeries")</f>
        <v>OCGTEfficiencyTimeSeries</v>
      </c>
      <c r="B80" s="46">
        <v>0</v>
      </c>
      <c r="C80" s="9"/>
      <c r="D80" s="9"/>
    </row>
    <row r="81" spans="1:4">
      <c r="A81" s="58" t="str">
        <f>_xlfn.CONCAT(TechnologiesEmlab!A22,"EfficiencyTimeSeries")</f>
        <v>OilEfficiencyTimeSeries</v>
      </c>
      <c r="B81" s="46">
        <v>0</v>
      </c>
      <c r="C81" s="9"/>
      <c r="D81" s="9"/>
    </row>
    <row r="82" spans="1:4">
      <c r="A82" s="58" t="str">
        <f>_xlfn.CONCAT(TechnologiesEmlab!A23,"EfficiencyTimeSeries")</f>
        <v>PHS DischargeEfficiencyTimeSeries</v>
      </c>
      <c r="B82" s="46">
        <v>0</v>
      </c>
      <c r="C82" s="9"/>
      <c r="D82" s="9"/>
    </row>
    <row r="83" spans="1:4">
      <c r="A83" s="58" t="str">
        <f>_xlfn.CONCAT(TechnologiesEmlab!A8,"EfficiencyTimeSeries")</f>
        <v>Solar PV largeEfficiencyTimeSeries</v>
      </c>
      <c r="B83" s="46">
        <v>0</v>
      </c>
      <c r="C83" s="9"/>
      <c r="D83" s="9"/>
    </row>
    <row r="84" spans="1:4">
      <c r="A84" s="58" t="str">
        <f>_xlfn.CONCAT(TechnologiesEmlab!A9,"EfficiencyTimeSeries")</f>
        <v>Solar PV rooftopEfficiencyTimeSeries</v>
      </c>
      <c r="B84" s="46">
        <v>0</v>
      </c>
      <c r="C84" s="9"/>
      <c r="D84" s="9"/>
    </row>
    <row r="85" spans="1:4">
      <c r="A85" s="58" t="str">
        <f>_xlfn.CONCAT(TechnologiesEmlab!A10,"EfficiencyTimeSeries")</f>
        <v>Wind OffshoreEfficiencyTimeSeries</v>
      </c>
      <c r="B85" s="46">
        <v>0</v>
      </c>
      <c r="C85" s="9"/>
      <c r="D85" s="9"/>
    </row>
    <row r="86" spans="1:4">
      <c r="A86" s="58" t="str">
        <f>_xlfn.CONCAT(TechnologiesEmlab!A11,"EfficiencyTimeSeries")</f>
        <v>Wind OnshoreEfficiencyTimeSeries</v>
      </c>
      <c r="B86" s="46">
        <v>0</v>
      </c>
      <c r="C86" s="9"/>
      <c r="D86" s="9"/>
    </row>
    <row r="87" spans="1:4">
      <c r="A87" s="58" t="str">
        <f>_xlfn.CONCAT(TechnologiesEmlab!A12,"EfficiencyTimeSeries")</f>
        <v>electrolyzerEfficiencyTimeSeries</v>
      </c>
      <c r="B87" s="46">
        <v>0</v>
      </c>
      <c r="C87" s="9"/>
      <c r="D87" s="9"/>
    </row>
    <row r="88" spans="1:4">
      <c r="A88" s="58" t="str">
        <f>_xlfn.CONCAT(TechnologiesEmlab!A13,"EfficiencyTimeSeries")</f>
        <v>central gas boilerEfficiencyTimeSeries</v>
      </c>
      <c r="B88" s="46">
        <v>0</v>
      </c>
      <c r="C88" s="9"/>
      <c r="D88" s="9"/>
    </row>
    <row r="89" spans="1:4">
      <c r="A89" s="58" t="str">
        <f>_xlfn.CONCAT(TechnologiesEmlab!A5,"EfficiencyTimeSeries")</f>
        <v>Lithium ion battery 4EfficiencyTimeSeries</v>
      </c>
      <c r="B89" s="46">
        <v>1</v>
      </c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opLeftCell="B1" zoomScale="115" zoomScaleNormal="115" workbookViewId="0">
      <selection activeCell="F7" sqref="F7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0.8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0.8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6"/>
  <sheetViews>
    <sheetView zoomScale="115" zoomScaleNormal="115" workbookViewId="0">
      <selection activeCell="H27" sqref="H27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486</v>
      </c>
      <c r="L2" t="s">
        <v>485</v>
      </c>
    </row>
    <row r="3" spans="1:14">
      <c r="A3" s="13" t="s">
        <v>340</v>
      </c>
      <c r="B3" s="34">
        <f>K3/12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J4" s="1" t="s">
        <v>487</v>
      </c>
      <c r="K4">
        <v>6155</v>
      </c>
    </row>
    <row r="6" spans="1:14">
      <c r="J6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I9"/>
  <sheetViews>
    <sheetView zoomScale="85" zoomScaleNormal="85" workbookViewId="0">
      <selection activeCell="C2" sqref="C2:C6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7" width="17.85546875" customWidth="1"/>
  </cols>
  <sheetData>
    <row r="1" spans="1:9">
      <c r="A1" s="13" t="s">
        <v>0</v>
      </c>
      <c r="B1" s="73" t="s">
        <v>489</v>
      </c>
      <c r="C1" s="13" t="s">
        <v>490</v>
      </c>
    </row>
    <row r="2" spans="1:9">
      <c r="A2" s="13" t="s">
        <v>440</v>
      </c>
      <c r="B2" s="77">
        <v>102043.30769230769</v>
      </c>
      <c r="C2" s="13">
        <v>0.13</v>
      </c>
    </row>
    <row r="3" spans="1:9">
      <c r="A3" s="13" t="s">
        <v>435</v>
      </c>
      <c r="B3" s="77">
        <v>84942</v>
      </c>
      <c r="C3" s="13">
        <v>0.13</v>
      </c>
    </row>
    <row r="4" spans="1:9">
      <c r="A4" s="13" t="s">
        <v>441</v>
      </c>
      <c r="B4" s="77">
        <v>63489.515151515152</v>
      </c>
      <c r="C4" s="13">
        <v>0.33</v>
      </c>
    </row>
    <row r="5" spans="1:9">
      <c r="A5" s="13" t="s">
        <v>432</v>
      </c>
      <c r="B5" s="77">
        <v>42700</v>
      </c>
      <c r="C5" s="13">
        <v>0.09</v>
      </c>
    </row>
    <row r="6" spans="1:9">
      <c r="A6" s="13" t="s">
        <v>430</v>
      </c>
      <c r="B6" s="77">
        <v>32723</v>
      </c>
      <c r="C6" s="13">
        <v>0.21</v>
      </c>
      <c r="E6" t="s">
        <v>494</v>
      </c>
    </row>
    <row r="7" spans="1:9">
      <c r="A7" s="13"/>
      <c r="B7" s="34"/>
      <c r="C7" s="13"/>
      <c r="E7">
        <f>SUM(C2:C8)</f>
        <v>0.89</v>
      </c>
      <c r="G7" s="13" t="s">
        <v>431</v>
      </c>
      <c r="H7" s="34">
        <v>30429</v>
      </c>
      <c r="I7" s="13">
        <v>0.08</v>
      </c>
    </row>
    <row r="8" spans="1:9">
      <c r="A8" s="13"/>
      <c r="B8" s="34"/>
      <c r="C8" s="13"/>
      <c r="G8" s="13" t="s">
        <v>429</v>
      </c>
      <c r="H8" s="34">
        <v>19785</v>
      </c>
      <c r="I8" s="13">
        <v>0.03</v>
      </c>
    </row>
    <row r="9" spans="1:9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K15"/>
  <sheetViews>
    <sheetView zoomScale="85" zoomScaleNormal="85" workbookViewId="0">
      <selection activeCell="E23" sqref="E23"/>
    </sheetView>
  </sheetViews>
  <sheetFormatPr defaultRowHeight="15"/>
  <cols>
    <col min="1" max="1" width="36.140625" customWidth="1"/>
    <col min="2" max="3" width="17.85546875" style="76" customWidth="1"/>
    <col min="4" max="4" width="18.7109375" customWidth="1"/>
    <col min="5" max="7" width="17.85546875" customWidth="1"/>
  </cols>
  <sheetData>
    <row r="1" spans="1:11">
      <c r="A1" s="13" t="s">
        <v>0</v>
      </c>
      <c r="B1" s="75" t="s">
        <v>492</v>
      </c>
      <c r="C1" s="75" t="s">
        <v>493</v>
      </c>
      <c r="E1" t="s">
        <v>491</v>
      </c>
    </row>
    <row r="2" spans="1:11">
      <c r="A2" s="13" t="s">
        <v>440</v>
      </c>
      <c r="B2" s="13">
        <f>CapacitySubscriptionConsumer!C2-0.04</f>
        <v>0.09</v>
      </c>
      <c r="C2" s="78">
        <f>CapacitySubscriptionConsumer!B2</f>
        <v>102043.30769230769</v>
      </c>
      <c r="E2" s="13">
        <f>F2/100</f>
        <v>0.13</v>
      </c>
      <c r="F2">
        <v>13</v>
      </c>
      <c r="I2" s="13" t="s">
        <v>431</v>
      </c>
      <c r="J2" s="13">
        <f>E7-0.05</f>
        <v>0.03</v>
      </c>
      <c r="K2" s="75">
        <v>0</v>
      </c>
    </row>
    <row r="3" spans="1:11">
      <c r="A3" s="13" t="s">
        <v>435</v>
      </c>
      <c r="B3" s="13">
        <f>CapacitySubscriptionConsumer!C3-0.04</f>
        <v>0.09</v>
      </c>
      <c r="C3" s="78">
        <f>CapacitySubscriptionConsumer!B3</f>
        <v>84942</v>
      </c>
      <c r="E3" s="13">
        <f t="shared" ref="E3:E6" si="0">F3/100</f>
        <v>0.13</v>
      </c>
      <c r="F3">
        <v>13</v>
      </c>
      <c r="I3" s="13" t="s">
        <v>429</v>
      </c>
      <c r="J3" s="13">
        <v>0</v>
      </c>
      <c r="K3" s="75">
        <v>0</v>
      </c>
    </row>
    <row r="4" spans="1:11">
      <c r="A4" s="13" t="s">
        <v>441</v>
      </c>
      <c r="B4" s="13">
        <f>CapacitySubscriptionConsumer!C4-0.04</f>
        <v>0.29000000000000004</v>
      </c>
      <c r="C4" s="78">
        <f>CapacitySubscriptionConsumer!B4</f>
        <v>63489.515151515152</v>
      </c>
      <c r="E4" s="13">
        <f t="shared" si="0"/>
        <v>0.33</v>
      </c>
      <c r="F4">
        <v>33</v>
      </c>
    </row>
    <row r="5" spans="1:11">
      <c r="A5" s="13" t="s">
        <v>432</v>
      </c>
      <c r="B5" s="13">
        <f>CapacitySubscriptionConsumer!C5-0.04</f>
        <v>4.9999999999999996E-2</v>
      </c>
      <c r="C5" s="78">
        <f>CapacitySubscriptionConsumer!B5</f>
        <v>42700</v>
      </c>
      <c r="E5" s="13">
        <f t="shared" si="0"/>
        <v>0.09</v>
      </c>
      <c r="F5">
        <v>9</v>
      </c>
    </row>
    <row r="6" spans="1:11">
      <c r="A6" s="13" t="s">
        <v>430</v>
      </c>
      <c r="B6" s="13">
        <f>CapacitySubscriptionConsumer!C6-0.04</f>
        <v>0.16999999999999998</v>
      </c>
      <c r="C6" s="78">
        <f>CapacitySubscriptionConsumer!B6</f>
        <v>32723</v>
      </c>
      <c r="E6" s="13">
        <f t="shared" si="0"/>
        <v>0.21</v>
      </c>
      <c r="F6">
        <v>21</v>
      </c>
    </row>
    <row r="7" spans="1:11">
      <c r="A7" s="13"/>
      <c r="B7" s="13"/>
      <c r="C7" s="78"/>
      <c r="E7" s="13">
        <f>F7/100</f>
        <v>0.08</v>
      </c>
      <c r="F7">
        <v>8</v>
      </c>
    </row>
    <row r="9" spans="1:11">
      <c r="E9" s="13">
        <f>F9/100</f>
        <v>0.03</v>
      </c>
      <c r="F9">
        <v>3</v>
      </c>
    </row>
    <row r="13" spans="1:11">
      <c r="F13" s="13" t="s">
        <v>431</v>
      </c>
      <c r="G13" s="13">
        <f>CapacitySubscriptionConsumer!C8-0.04</f>
        <v>-0.04</v>
      </c>
      <c r="H13" s="78">
        <f>CapacitySubscriptionConsumer!B8</f>
        <v>0</v>
      </c>
    </row>
    <row r="14" spans="1:11">
      <c r="F14" s="13" t="s">
        <v>429</v>
      </c>
      <c r="G14" s="13">
        <v>0.03</v>
      </c>
      <c r="H14" s="75">
        <v>0</v>
      </c>
    </row>
    <row r="15" spans="1:11">
      <c r="G15" s="76"/>
      <c r="H15" s="7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3"/>
  <sheetViews>
    <sheetView zoomScale="85" zoomScaleNormal="85" workbookViewId="0">
      <selection activeCell="M38" sqref="M38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G2">
        <v>0.16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4000</v>
      </c>
      <c r="G3">
        <v>0.73</v>
      </c>
      <c r="H3" s="16"/>
      <c r="I3" s="16"/>
      <c r="K3" s="44"/>
      <c r="L3" s="53"/>
      <c r="M3" s="44"/>
    </row>
    <row r="4" spans="1:13">
      <c r="A4" s="13">
        <v>3</v>
      </c>
      <c r="B4" s="13" t="str">
        <f>CONCATENATE("amiris-config/data/LS_",A4,".csv")</f>
        <v>amiris-config/data/LS_3.csv</v>
      </c>
      <c r="C4" s="13" t="str">
        <f>CONCATENATE("amiris-config/data/future_LS_",A4,".csv")</f>
        <v>amiris-config/data/future_LS_3.csv</v>
      </c>
      <c r="D4" s="13" t="s">
        <v>69</v>
      </c>
      <c r="E4" s="34">
        <v>1500</v>
      </c>
      <c r="F4" s="16"/>
    </row>
    <row r="5" spans="1:13">
      <c r="A5" s="13" t="s">
        <v>103</v>
      </c>
      <c r="B5" s="13" t="s">
        <v>370</v>
      </c>
      <c r="C5" s="13" t="s">
        <v>376</v>
      </c>
      <c r="D5" s="13">
        <f>37450</f>
        <v>37450</v>
      </c>
      <c r="E5" s="13"/>
    </row>
    <row r="6" spans="1:13">
      <c r="K6" s="44"/>
      <c r="L6" s="54"/>
      <c r="M6" s="54"/>
    </row>
    <row r="7" spans="1:13">
      <c r="K7" s="44"/>
      <c r="L7" s="54"/>
      <c r="M7" s="54"/>
    </row>
    <row r="8" spans="1:13">
      <c r="G8">
        <v>0.05</v>
      </c>
      <c r="K8" s="44"/>
      <c r="L8" s="44"/>
      <c r="M8" s="44"/>
    </row>
    <row r="9" spans="1:13">
      <c r="G9">
        <v>0.06</v>
      </c>
      <c r="K9" s="44"/>
      <c r="L9" s="44"/>
      <c r="M9" s="44"/>
    </row>
    <row r="10" spans="1:13" ht="17.45" customHeight="1">
      <c r="F10" s="16"/>
      <c r="H10" s="16"/>
      <c r="I10" s="16"/>
      <c r="K10" s="44"/>
      <c r="L10" s="53"/>
      <c r="M10" s="44"/>
    </row>
    <row r="11" spans="1:13" ht="17.45" customHeight="1">
      <c r="B11" s="18">
        <v>4</v>
      </c>
      <c r="C11" s="13" t="str">
        <f t="shared" ref="C11" si="2">CONCATENATE("amiris-config/data/LS_",B11,".csv")</f>
        <v>amiris-config/data/LS_4.csv</v>
      </c>
      <c r="D11" s="13" t="str">
        <f t="shared" ref="D11" si="3">CONCATENATE("amiris-config/data/future_LS_",B11,".csv")</f>
        <v>amiris-config/data/future_LS_4.csv</v>
      </c>
      <c r="E11" s="13" t="s">
        <v>69</v>
      </c>
      <c r="F11" s="34">
        <v>800</v>
      </c>
      <c r="H11" s="16"/>
      <c r="I11" s="16"/>
      <c r="K11" s="44"/>
      <c r="L11" s="53"/>
      <c r="M11" s="44"/>
    </row>
    <row r="12" spans="1:13">
      <c r="K12" s="44"/>
      <c r="L12" s="44"/>
      <c r="M12" s="44"/>
    </row>
    <row r="13" spans="1:13">
      <c r="K13" s="44"/>
      <c r="L13" s="44"/>
      <c r="M13" s="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D35" sqref="D35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382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404</v>
      </c>
    </row>
    <row r="4" spans="1:7">
      <c r="A4" s="62" t="s">
        <v>424</v>
      </c>
      <c r="B4" s="13" t="s">
        <v>208</v>
      </c>
      <c r="C4" s="13">
        <v>3</v>
      </c>
    </row>
    <row r="5" spans="1:7">
      <c r="A5" s="62" t="s">
        <v>421</v>
      </c>
      <c r="B5" s="13" t="s">
        <v>208</v>
      </c>
      <c r="C5" s="13">
        <v>4</v>
      </c>
    </row>
    <row r="6" spans="1:7">
      <c r="A6" s="62" t="s">
        <v>418</v>
      </c>
      <c r="B6" s="13" t="s">
        <v>195</v>
      </c>
      <c r="C6" s="13">
        <v>5</v>
      </c>
    </row>
    <row r="7" spans="1:7">
      <c r="A7" s="62" t="s">
        <v>389</v>
      </c>
      <c r="B7" s="13" t="s">
        <v>208</v>
      </c>
      <c r="C7" s="13">
        <v>6</v>
      </c>
      <c r="G7" s="9"/>
    </row>
    <row r="8" spans="1:7">
      <c r="A8" s="62" t="s">
        <v>450</v>
      </c>
      <c r="B8" s="13" t="s">
        <v>208</v>
      </c>
      <c r="C8" s="13">
        <v>7</v>
      </c>
      <c r="G8" s="9"/>
    </row>
    <row r="9" spans="1:7">
      <c r="A9" s="62" t="s">
        <v>498</v>
      </c>
      <c r="B9" s="13" t="s">
        <v>208</v>
      </c>
      <c r="C9" s="13">
        <v>8</v>
      </c>
      <c r="G9" s="9"/>
    </row>
    <row r="10" spans="1:7">
      <c r="A10" s="62" t="s">
        <v>419</v>
      </c>
      <c r="B10" s="13" t="s">
        <v>195</v>
      </c>
      <c r="C10" s="13">
        <v>9</v>
      </c>
      <c r="G10" s="9"/>
    </row>
    <row r="11" spans="1:7">
      <c r="A11" s="62" t="s">
        <v>423</v>
      </c>
      <c r="B11" s="13" t="s">
        <v>208</v>
      </c>
      <c r="C11" s="13">
        <v>10</v>
      </c>
      <c r="G11" s="9"/>
    </row>
    <row r="12" spans="1:7">
      <c r="A12" s="62" t="s">
        <v>387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422</v>
      </c>
      <c r="B15" s="13" t="s">
        <v>208</v>
      </c>
      <c r="C15" s="13">
        <v>14</v>
      </c>
    </row>
    <row r="16" spans="1:7">
      <c r="A16" s="62" t="s">
        <v>420</v>
      </c>
      <c r="B16" s="13" t="s">
        <v>208</v>
      </c>
      <c r="C16" s="13">
        <v>15</v>
      </c>
    </row>
    <row r="17" spans="1:7">
      <c r="A17" s="62" t="s">
        <v>383</v>
      </c>
      <c r="B17" s="13" t="s">
        <v>196</v>
      </c>
      <c r="C17" s="13">
        <v>16</v>
      </c>
    </row>
    <row r="18" spans="1:7">
      <c r="A18" s="62" t="s">
        <v>384</v>
      </c>
      <c r="B18" s="13" t="s">
        <v>192</v>
      </c>
      <c r="C18" s="13">
        <v>17</v>
      </c>
    </row>
    <row r="19" spans="1:7">
      <c r="A19" s="62" t="s">
        <v>386</v>
      </c>
      <c r="B19" s="13" t="s">
        <v>194</v>
      </c>
      <c r="C19" s="13">
        <v>18</v>
      </c>
    </row>
    <row r="20" spans="1:7">
      <c r="A20" s="62" t="s">
        <v>385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2" spans="1:7">
      <c r="A22" s="62" t="s">
        <v>499</v>
      </c>
      <c r="B22" s="13" t="s">
        <v>208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G6"/>
  <sheetViews>
    <sheetView workbookViewId="0">
      <selection activeCell="Q37" sqref="Q37"/>
    </sheetView>
  </sheetViews>
  <sheetFormatPr defaultRowHeight="15"/>
  <cols>
    <col min="1" max="1" width="34.5703125" customWidth="1"/>
    <col min="2" max="2" width="16.7109375" customWidth="1"/>
  </cols>
  <sheetData>
    <row r="1" spans="1:7">
      <c r="A1" s="13" t="s">
        <v>359</v>
      </c>
      <c r="B1" s="13">
        <v>1</v>
      </c>
      <c r="C1" s="13">
        <v>2</v>
      </c>
      <c r="D1" s="13">
        <v>3</v>
      </c>
      <c r="E1" s="13" t="s">
        <v>103</v>
      </c>
    </row>
    <row r="2" spans="1:7">
      <c r="A2" s="13">
        <v>2050</v>
      </c>
      <c r="B2" s="13">
        <f>SUM(CS_subscribed!B:B)</f>
        <v>0.69</v>
      </c>
      <c r="C2" s="13">
        <f>1-B2-D2</f>
        <v>0.20000000000000007</v>
      </c>
      <c r="D2" s="13">
        <f>1-SUM(CapacitySubscriptionConsumer!C:C)</f>
        <v>0.10999999999999999</v>
      </c>
      <c r="E2" s="13" t="s">
        <v>69</v>
      </c>
      <c r="G2">
        <f>SUM(B2:D2)</f>
        <v>1</v>
      </c>
    </row>
    <row r="4" spans="1:7">
      <c r="B4" t="s">
        <v>495</v>
      </c>
      <c r="C4" t="s">
        <v>496</v>
      </c>
    </row>
    <row r="5" spans="1:7">
      <c r="E5" s="13">
        <v>4</v>
      </c>
    </row>
    <row r="6" spans="1:7">
      <c r="E6" s="13">
        <v>0.03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tabSelected="1" workbookViewId="0">
      <selection activeCell="H34" sqref="H34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412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Y54"/>
  <sheetViews>
    <sheetView workbookViewId="0">
      <selection activeCell="I37" sqref="I37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5" max="25" width="11" bestFit="1" customWidth="1"/>
  </cols>
  <sheetData>
    <row r="1" spans="1:25" ht="15.75" thickBot="1">
      <c r="B1" t="s">
        <v>439</v>
      </c>
      <c r="C1" t="s">
        <v>442</v>
      </c>
      <c r="D1" t="s">
        <v>438</v>
      </c>
      <c r="E1" t="s">
        <v>447</v>
      </c>
      <c r="I1" s="13"/>
      <c r="J1" s="13" t="s">
        <v>443</v>
      </c>
      <c r="K1" s="13" t="s">
        <v>448</v>
      </c>
      <c r="L1" s="70" t="s">
        <v>488</v>
      </c>
      <c r="M1" s="13" t="s">
        <v>439</v>
      </c>
      <c r="N1" s="13" t="s">
        <v>449</v>
      </c>
      <c r="P1" s="13" t="s">
        <v>455</v>
      </c>
      <c r="T1" t="s">
        <v>472</v>
      </c>
      <c r="V1" t="s">
        <v>473</v>
      </c>
    </row>
    <row r="2" spans="1:25" ht="15.75" thickBot="1">
      <c r="A2" t="s">
        <v>437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440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</row>
    <row r="3" spans="1:25" ht="15.75" thickBot="1">
      <c r="A3" t="s">
        <v>436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435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476</v>
      </c>
      <c r="U3">
        <v>33500</v>
      </c>
      <c r="V3">
        <f t="shared" ref="V3:V4" si="5">U3*1.5</f>
        <v>50250</v>
      </c>
    </row>
    <row r="4" spans="1:25" ht="15.75" thickBot="1">
      <c r="A4" t="s">
        <v>435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441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474</v>
      </c>
      <c r="U4">
        <v>18700</v>
      </c>
      <c r="V4">
        <f t="shared" si="5"/>
        <v>28050</v>
      </c>
    </row>
    <row r="5" spans="1:25" ht="15.75" thickBot="1">
      <c r="A5" t="s">
        <v>434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 t="shared" ref="J5:J7" si="7"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354</v>
      </c>
      <c r="U5">
        <v>16380</v>
      </c>
      <c r="V5">
        <f>U5*1.5</f>
        <v>24570</v>
      </c>
    </row>
    <row r="6" spans="1:25" ht="15.75" thickBot="1">
      <c r="A6" t="s">
        <v>433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T6" t="s">
        <v>475</v>
      </c>
      <c r="U6">
        <v>12420</v>
      </c>
      <c r="V6">
        <f>U6*1.5</f>
        <v>18630</v>
      </c>
    </row>
    <row r="7" spans="1:25">
      <c r="A7" t="s">
        <v>432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25" ht="15.75" thickBot="1">
      <c r="A8" t="s">
        <v>430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25">
      <c r="A9" t="s">
        <v>431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470</v>
      </c>
      <c r="P9" t="s">
        <v>454</v>
      </c>
    </row>
    <row r="10" spans="1:25">
      <c r="A10" t="s">
        <v>429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</row>
    <row r="11" spans="1:25">
      <c r="E11" s="16">
        <f>SUM(E2:E10)</f>
        <v>59002.330000000009</v>
      </c>
      <c r="F11" s="16"/>
      <c r="G11" s="16"/>
      <c r="J11" t="s">
        <v>471</v>
      </c>
    </row>
    <row r="13" spans="1:25">
      <c r="Q13" t="s">
        <v>453</v>
      </c>
    </row>
    <row r="14" spans="1:25">
      <c r="A14" t="s">
        <v>446</v>
      </c>
      <c r="O14" s="16">
        <v>80</v>
      </c>
      <c r="P14" s="16">
        <f>O14</f>
        <v>80</v>
      </c>
      <c r="Q14">
        <v>4000</v>
      </c>
    </row>
    <row r="15" spans="1:25">
      <c r="O15" s="16">
        <v>10</v>
      </c>
      <c r="P15" s="16">
        <f>O15+P14</f>
        <v>90</v>
      </c>
      <c r="Q15">
        <v>1500</v>
      </c>
      <c r="Y15">
        <f>1.023^17</f>
        <v>1.4719253099280327</v>
      </c>
    </row>
    <row r="16" spans="1:25">
      <c r="A16" t="s">
        <v>445</v>
      </c>
      <c r="O16" s="16">
        <v>5</v>
      </c>
      <c r="P16" s="16">
        <f t="shared" ref="P16:P17" si="10">O16+P15</f>
        <v>95</v>
      </c>
      <c r="Q16">
        <v>500</v>
      </c>
    </row>
    <row r="17" spans="15:18">
      <c r="O17" s="16">
        <v>5</v>
      </c>
      <c r="P17" s="16">
        <f t="shared" si="10"/>
        <v>100</v>
      </c>
      <c r="Q17">
        <v>250</v>
      </c>
    </row>
    <row r="29" spans="15:18">
      <c r="P29">
        <v>0</v>
      </c>
      <c r="Q29">
        <v>4000</v>
      </c>
    </row>
    <row r="30" spans="15:18">
      <c r="O30" s="16">
        <v>80</v>
      </c>
      <c r="P30" s="16">
        <f>O30</f>
        <v>80</v>
      </c>
      <c r="Q30">
        <v>4000</v>
      </c>
      <c r="R30" t="s">
        <v>456</v>
      </c>
    </row>
    <row r="31" spans="15:18">
      <c r="P31">
        <v>80</v>
      </c>
      <c r="Q31">
        <v>1500</v>
      </c>
    </row>
    <row r="32" spans="15:18">
      <c r="O32" s="16">
        <v>20</v>
      </c>
      <c r="P32" s="16">
        <v>90</v>
      </c>
      <c r="Q32">
        <v>1500</v>
      </c>
      <c r="R32" t="s">
        <v>457</v>
      </c>
    </row>
    <row r="33" spans="1:20">
      <c r="O33" s="16">
        <v>5</v>
      </c>
      <c r="P33" s="16">
        <f t="shared" ref="P33:P34" si="11">O33+P32</f>
        <v>95</v>
      </c>
      <c r="Q33">
        <v>500</v>
      </c>
    </row>
    <row r="34" spans="1:20">
      <c r="O34" s="16">
        <v>5</v>
      </c>
      <c r="P34" s="16">
        <f t="shared" si="11"/>
        <v>100</v>
      </c>
      <c r="Q34">
        <v>250</v>
      </c>
    </row>
    <row r="38" spans="1:20" ht="27.75" customHeight="1">
      <c r="A38" t="s">
        <v>468</v>
      </c>
      <c r="B38" t="s">
        <v>448</v>
      </c>
      <c r="C38" s="2" t="s">
        <v>465</v>
      </c>
      <c r="D38" s="2" t="s">
        <v>464</v>
      </c>
      <c r="E38" s="2" t="s">
        <v>466</v>
      </c>
      <c r="F38" s="2" t="s">
        <v>467</v>
      </c>
      <c r="G38" s="2"/>
      <c r="Q38" t="s">
        <v>458</v>
      </c>
      <c r="R38" t="s">
        <v>439</v>
      </c>
      <c r="S38" t="s">
        <v>341</v>
      </c>
    </row>
    <row r="39" spans="1:20">
      <c r="A39" t="s">
        <v>459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456</v>
      </c>
    </row>
    <row r="40" spans="1:20">
      <c r="A40" t="s">
        <v>463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457</v>
      </c>
    </row>
    <row r="41" spans="1:20">
      <c r="A41" t="s">
        <v>460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2">Q41+R40</f>
        <v>95</v>
      </c>
      <c r="S41">
        <v>500</v>
      </c>
    </row>
    <row r="42" spans="1:20">
      <c r="A42" t="s">
        <v>461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2"/>
        <v>100</v>
      </c>
      <c r="S42">
        <v>250</v>
      </c>
    </row>
    <row r="43" spans="1:20">
      <c r="A43" t="s">
        <v>462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20" ht="45">
      <c r="A45" t="s">
        <v>469</v>
      </c>
      <c r="B45" t="s">
        <v>448</v>
      </c>
      <c r="C45" s="2" t="s">
        <v>465</v>
      </c>
      <c r="D45" s="2" t="s">
        <v>464</v>
      </c>
      <c r="E45" s="2" t="s">
        <v>466</v>
      </c>
      <c r="F45" s="2" t="s">
        <v>467</v>
      </c>
    </row>
    <row r="46" spans="1:20">
      <c r="A46" t="s">
        <v>459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20">
      <c r="A47" t="s">
        <v>463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484</v>
      </c>
    </row>
    <row r="48" spans="1:20">
      <c r="A48" t="s">
        <v>460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3">K2</f>
        <v>13</v>
      </c>
      <c r="K48">
        <f t="shared" ref="K48:K54" si="14">J2</f>
        <v>102043.30769230769</v>
      </c>
      <c r="M48" s="16">
        <f t="shared" ref="M48:M54" si="15">P2</f>
        <v>4081.7323076923076</v>
      </c>
    </row>
    <row r="49" spans="1:13">
      <c r="A49" t="s">
        <v>461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6">I3</f>
        <v>commercial and service sector</v>
      </c>
      <c r="J49">
        <f t="shared" si="13"/>
        <v>13</v>
      </c>
      <c r="K49">
        <f t="shared" si="14"/>
        <v>84942</v>
      </c>
      <c r="M49" s="16">
        <f t="shared" si="15"/>
        <v>3397.68</v>
      </c>
    </row>
    <row r="50" spans="1:13">
      <c r="A50" t="s">
        <v>462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6"/>
        <v>industry</v>
      </c>
      <c r="J50">
        <f t="shared" si="13"/>
        <v>33</v>
      </c>
      <c r="K50">
        <f t="shared" si="14"/>
        <v>63489.515151515152</v>
      </c>
      <c r="M50" s="16">
        <f t="shared" si="15"/>
        <v>2539.580606060606</v>
      </c>
    </row>
    <row r="51" spans="1:13">
      <c r="I51" t="str">
        <f t="shared" si="16"/>
        <v>household other</v>
      </c>
      <c r="J51">
        <f t="shared" si="13"/>
        <v>9</v>
      </c>
      <c r="K51">
        <f t="shared" si="14"/>
        <v>42700</v>
      </c>
      <c r="M51" s="16">
        <f t="shared" si="15"/>
        <v>1708</v>
      </c>
    </row>
    <row r="52" spans="1:13">
      <c r="I52" t="str">
        <f t="shared" si="16"/>
        <v>household city center</v>
      </c>
      <c r="J52">
        <f t="shared" si="13"/>
        <v>21</v>
      </c>
      <c r="K52">
        <f t="shared" si="14"/>
        <v>32723</v>
      </c>
      <c r="M52" s="16">
        <f t="shared" si="15"/>
        <v>1308.92</v>
      </c>
    </row>
    <row r="53" spans="1:13">
      <c r="I53" t="str">
        <f t="shared" si="16"/>
        <v>household feed in areas</v>
      </c>
      <c r="J53">
        <f t="shared" si="13"/>
        <v>8</v>
      </c>
      <c r="K53">
        <f t="shared" si="14"/>
        <v>30429</v>
      </c>
      <c r="M53" s="16">
        <f t="shared" si="15"/>
        <v>1217.1600000000001</v>
      </c>
    </row>
    <row r="54" spans="1:13">
      <c r="I54" t="str">
        <f t="shared" si="16"/>
        <v>industrySME</v>
      </c>
      <c r="J54">
        <f t="shared" si="13"/>
        <v>3</v>
      </c>
      <c r="K54">
        <f t="shared" si="14"/>
        <v>19785</v>
      </c>
      <c r="M54" s="16">
        <f t="shared" si="15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L30" sqref="L30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395</v>
      </c>
      <c r="F1" s="13" t="s">
        <v>341</v>
      </c>
      <c r="G1" s="18"/>
      <c r="H1" s="18" t="s">
        <v>413</v>
      </c>
      <c r="I1" s="18" t="s">
        <v>414</v>
      </c>
      <c r="J1" s="44"/>
      <c r="K1" s="44" t="s">
        <v>400</v>
      </c>
      <c r="L1" s="44" t="s">
        <v>401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394</v>
      </c>
      <c r="L9" s="54" t="s">
        <v>399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395</v>
      </c>
      <c r="F1" s="13" t="s">
        <v>341</v>
      </c>
      <c r="G1" s="66"/>
      <c r="H1" s="18"/>
      <c r="I1" s="18"/>
      <c r="J1" s="18" t="s">
        <v>444</v>
      </c>
      <c r="K1" s="18" t="s">
        <v>414</v>
      </c>
      <c r="L1" s="44"/>
      <c r="M1" s="44" t="s">
        <v>400</v>
      </c>
      <c r="N1" s="44" t="s">
        <v>401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394</v>
      </c>
      <c r="N9" s="54" t="s">
        <v>399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395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395</v>
      </c>
      <c r="H1" t="s">
        <v>398</v>
      </c>
      <c r="I1" t="s">
        <v>400</v>
      </c>
      <c r="J1" t="s">
        <v>401</v>
      </c>
      <c r="K1" t="s">
        <v>397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394</v>
      </c>
      <c r="H13" s="47" t="s">
        <v>399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G23" sqref="G23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395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393</v>
      </c>
      <c r="K7">
        <f>K6*0.74</f>
        <v>27200154.100000001</v>
      </c>
    </row>
    <row r="8" spans="1:12">
      <c r="J8" s="16">
        <v>41070</v>
      </c>
      <c r="K8" t="s">
        <v>391</v>
      </c>
    </row>
    <row r="10" spans="1:12">
      <c r="J10" s="47" t="s">
        <v>394</v>
      </c>
    </row>
    <row r="11" spans="1:12">
      <c r="J11" s="47">
        <v>40000</v>
      </c>
    </row>
    <row r="13" spans="1:12">
      <c r="J13" t="s">
        <v>402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497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415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428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79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79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79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79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79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79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79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79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79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79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79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385</v>
      </c>
    </row>
    <row r="3" spans="1:3">
      <c r="A3" s="13" t="s">
        <v>271</v>
      </c>
      <c r="B3" s="13" t="s">
        <v>1</v>
      </c>
      <c r="C3" s="13" t="s">
        <v>386</v>
      </c>
    </row>
    <row r="4" spans="1:3">
      <c r="A4" s="13" t="s">
        <v>273</v>
      </c>
      <c r="B4" s="13" t="s">
        <v>1</v>
      </c>
      <c r="C4" s="13" t="s">
        <v>383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L4"/>
  <sheetViews>
    <sheetView workbookViewId="0">
      <selection activeCell="L4" sqref="L4"/>
    </sheetView>
  </sheetViews>
  <sheetFormatPr defaultRowHeight="15"/>
  <cols>
    <col min="1" max="1" width="28.42578125" customWidth="1"/>
    <col min="2" max="2" width="22.5703125" customWidth="1"/>
    <col min="3" max="3" width="14.5703125" customWidth="1"/>
    <col min="4" max="8" width="12" customWidth="1"/>
    <col min="9" max="9" width="24" customWidth="1"/>
    <col min="10" max="10" width="14.42578125" customWidth="1"/>
    <col min="11" max="11" width="20.42578125" customWidth="1"/>
    <col min="12" max="12" width="12" customWidth="1"/>
  </cols>
  <sheetData>
    <row r="1" spans="1:12">
      <c r="A1" s="13" t="s">
        <v>0</v>
      </c>
      <c r="B1" s="13" t="s">
        <v>28</v>
      </c>
      <c r="C1" s="13" t="s">
        <v>483</v>
      </c>
      <c r="D1" s="13" t="s">
        <v>29</v>
      </c>
      <c r="E1" s="13" t="s">
        <v>30</v>
      </c>
      <c r="F1" s="13" t="s">
        <v>31</v>
      </c>
      <c r="G1" s="13" t="s">
        <v>214</v>
      </c>
      <c r="H1" s="13" t="s">
        <v>477</v>
      </c>
      <c r="I1" s="13" t="s">
        <v>396</v>
      </c>
      <c r="J1" s="13" t="s">
        <v>381</v>
      </c>
      <c r="K1" s="13" t="s">
        <v>479</v>
      </c>
      <c r="L1" s="13" t="s">
        <v>451</v>
      </c>
    </row>
    <row r="2" spans="1:12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60000</v>
      </c>
      <c r="G2" s="13" t="s">
        <v>164</v>
      </c>
      <c r="H2" s="13" t="b">
        <v>0</v>
      </c>
      <c r="I2" s="13">
        <v>1</v>
      </c>
      <c r="J2" s="13">
        <v>1</v>
      </c>
      <c r="K2" s="13">
        <v>1</v>
      </c>
      <c r="L2" s="13" t="s">
        <v>500</v>
      </c>
    </row>
    <row r="3" spans="1:12">
      <c r="A3" s="13" t="s">
        <v>213</v>
      </c>
      <c r="B3" s="13">
        <v>0</v>
      </c>
      <c r="C3" s="13">
        <v>27200</v>
      </c>
      <c r="D3" s="13">
        <v>0.05</v>
      </c>
      <c r="E3" s="13">
        <v>0.05</v>
      </c>
      <c r="F3" s="13">
        <v>49000</v>
      </c>
      <c r="G3" s="13" t="s">
        <v>1</v>
      </c>
      <c r="H3" s="13" t="b">
        <v>0</v>
      </c>
      <c r="I3" s="13">
        <v>1.5</v>
      </c>
      <c r="J3" s="13">
        <v>4</v>
      </c>
      <c r="K3" s="13">
        <v>1</v>
      </c>
      <c r="L3" s="13" t="s">
        <v>500</v>
      </c>
    </row>
    <row r="4" spans="1:12">
      <c r="A4" s="13" t="s">
        <v>478</v>
      </c>
      <c r="B4" s="13">
        <v>0</v>
      </c>
      <c r="C4" s="13">
        <v>27200</v>
      </c>
      <c r="D4" s="13">
        <v>0.05</v>
      </c>
      <c r="E4" s="13">
        <v>0.05</v>
      </c>
      <c r="F4" s="13">
        <v>49000</v>
      </c>
      <c r="G4" s="13" t="s">
        <v>1</v>
      </c>
      <c r="H4" s="13" t="b">
        <v>1</v>
      </c>
      <c r="I4" s="13">
        <v>1.5</v>
      </c>
      <c r="J4" s="13">
        <v>4</v>
      </c>
      <c r="K4" s="13">
        <v>15</v>
      </c>
      <c r="L4" s="13" t="s">
        <v>500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L18"/>
  <sheetViews>
    <sheetView workbookViewId="0">
      <selection activeCell="F24" sqref="F24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6" width="20.140625" customWidth="1"/>
    <col min="7" max="7" width="14.28515625" customWidth="1"/>
    <col min="8" max="8" width="9.5703125" customWidth="1"/>
  </cols>
  <sheetData>
    <row r="1" spans="1:12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380</v>
      </c>
      <c r="F1" s="49" t="s">
        <v>375</v>
      </c>
      <c r="G1" s="49" t="s">
        <v>379</v>
      </c>
      <c r="H1" s="49" t="s">
        <v>19</v>
      </c>
      <c r="I1" s="49" t="s">
        <v>218</v>
      </c>
      <c r="J1" s="49" t="s">
        <v>223</v>
      </c>
      <c r="L1" t="s">
        <v>405</v>
      </c>
    </row>
    <row r="2" spans="1:12">
      <c r="A2" s="13" t="s">
        <v>219</v>
      </c>
      <c r="B2" s="13">
        <v>800</v>
      </c>
      <c r="C2" s="13">
        <v>0.15</v>
      </c>
      <c r="D2" s="13" t="s">
        <v>164</v>
      </c>
      <c r="E2" s="13">
        <v>1</v>
      </c>
      <c r="F2" s="13">
        <v>10</v>
      </c>
      <c r="G2" s="13">
        <v>3</v>
      </c>
      <c r="H2" s="13">
        <v>0</v>
      </c>
      <c r="I2" s="13"/>
      <c r="J2" s="13">
        <v>0</v>
      </c>
      <c r="L2" t="s">
        <v>406</v>
      </c>
    </row>
    <row r="3" spans="1:12">
      <c r="A3" s="13" t="s">
        <v>220</v>
      </c>
      <c r="B3" s="13">
        <v>4000</v>
      </c>
      <c r="C3" s="13">
        <v>0.15</v>
      </c>
      <c r="D3" s="13" t="s">
        <v>1</v>
      </c>
      <c r="E3" s="13">
        <v>1</v>
      </c>
      <c r="F3" s="13">
        <v>10</v>
      </c>
      <c r="G3" s="13">
        <v>3</v>
      </c>
      <c r="H3" s="13">
        <v>0</v>
      </c>
      <c r="I3" s="13"/>
      <c r="J3" s="13">
        <v>0</v>
      </c>
      <c r="L3" t="s">
        <v>407</v>
      </c>
    </row>
    <row r="18" spans="6:6">
      <c r="F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408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409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417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415</v>
      </c>
      <c r="B5" s="13" t="s">
        <v>416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425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derating</vt:lpstr>
      <vt:lpstr>TechnologyTrends</vt:lpstr>
      <vt:lpstr>EnergyProducers</vt:lpstr>
      <vt:lpstr>LoadShifterCap</vt:lpstr>
      <vt:lpstr>CapacitySubscriptionConsumer</vt:lpstr>
      <vt:lpstr>CS_subscribed</vt:lpstr>
      <vt:lpstr>LoadShedders</vt:lpstr>
      <vt:lpstr>LSyearly</vt:lpstr>
      <vt:lpstr>Dismantled</vt:lpstr>
      <vt:lpstr>weatherYears40</vt:lpstr>
      <vt:lpstr>LS_NL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2024-05-09T21:57:56Z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