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3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drawings/drawing5.xml" ContentType="application/vnd.openxmlformats-officedocument.drawing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28EC417-5655-4839-9ABA-8CD1E128F5CA}" xr6:coauthVersionLast="47" xr6:coauthVersionMax="47" xr10:uidLastSave="{00000000-0000-0000-0000-000000000000}"/>
  <bookViews>
    <workbookView xWindow="-120" yWindow="-120" windowWidth="29040" windowHeight="17640" tabRatio="998" firstSheet="7" activeTab="17" xr2:uid="{00000000-000D-0000-FFFF-FFFF00000000}"/>
  </bookViews>
  <sheets>
    <sheet name="explanation" sheetId="32" r:id="rId1"/>
    <sheet name="dictTech" sheetId="41" r:id="rId2"/>
    <sheet name="dictFuel" sheetId="40" r:id="rId3"/>
    <sheet name="TechnologyTargets" sheetId="26" r:id="rId4"/>
    <sheet name="CapacityMarkets" sheetId="27" r:id="rId5"/>
    <sheet name="StrategicReserveOperator" sheetId="47" r:id="rId6"/>
    <sheet name="ElectricitySpotMarkets" sheetId="14" r:id="rId7"/>
    <sheet name="peakLoad" sheetId="67" r:id="rId8"/>
    <sheet name="Fuels" sheetId="29" r:id="rId9"/>
    <sheet name="FuelPriceTrends" sheetId="30" r:id="rId10"/>
    <sheet name="CandidatePowerPlants" sheetId="45" r:id="rId11"/>
    <sheet name="TechnologiesEmlab" sheetId="33" r:id="rId12"/>
    <sheet name="derating" sheetId="74" r:id="rId13"/>
    <sheet name="TechnologyTrends" sheetId="63" r:id="rId14"/>
    <sheet name="EnergyProducers" sheetId="17" r:id="rId15"/>
    <sheet name="LoadShifterCap" sheetId="64" r:id="rId16"/>
    <sheet name="CSvolume" sheetId="77" r:id="rId17"/>
    <sheet name="CapacitySubscriptionConsumer" sheetId="70" r:id="rId18"/>
    <sheet name="CS_subscribed" sheetId="76" r:id="rId19"/>
    <sheet name="LoadShedders" sheetId="65" r:id="rId20"/>
    <sheet name="LSyearly" sheetId="69" r:id="rId21"/>
    <sheet name="Dismantled" sheetId="49" r:id="rId22"/>
    <sheet name="weatherYears40" sheetId="61" r:id="rId23"/>
    <sheet name="LS_NL" sheetId="72" r:id="rId24"/>
    <sheet name="LoadShedders_feb24" sheetId="73" r:id="rId25"/>
    <sheet name="LoadShedders (2)" sheetId="75" r:id="rId26"/>
    <sheet name="LoadShedders2" sheetId="68" r:id="rId27"/>
    <sheet name="LoadShedders_copy" sheetId="71" r:id="rId28"/>
    <sheet name="dictvariables" sheetId="43" r:id="rId29"/>
    <sheet name="StepTrends" sheetId="18" r:id="rId30"/>
    <sheet name="EnergyConsumers" sheetId="16" r:id="rId31"/>
    <sheet name="yearlytechnologyPotentials2" sheetId="58" r:id="rId32"/>
    <sheet name="graphs" sheetId="56" r:id="rId33"/>
    <sheet name="CO2DE" sheetId="44" r:id="rId34"/>
    <sheet name="backup" sheetId="50" r:id="rId35"/>
    <sheet name="weatherYearsOLD" sheetId="66" r:id="rId36"/>
    <sheet name="sources" sheetId="54" r:id="rId37"/>
    <sheet name="NewTechnologies" sheetId="35" r:id="rId38"/>
  </sheets>
  <externalReferences>
    <externalReference r:id="rId39"/>
  </externalReferences>
  <definedNames>
    <definedName name="_xlnm._FilterDatabase" localSheetId="10" hidden="1">CandidatePowerPlants!$A$1:$D$1</definedName>
    <definedName name="_xlnm._FilterDatabase" localSheetId="1" hidden="1">dictTech!$A$1:$C$1</definedName>
    <definedName name="_xlnm._FilterDatabase" localSheetId="14" hidden="1">EnergyProducers!#REF!</definedName>
    <definedName name="_xlnm._FilterDatabase" localSheetId="23" hidden="1">LS_NL!$A$1:$D$1</definedName>
    <definedName name="_xlnm._FilterDatabase" localSheetId="37" hidden="1">NewTechnologies!$A$1:$I$11</definedName>
    <definedName name="_xlnm._FilterDatabase" localSheetId="11" hidden="1">TechnologiesEmlab!$A$1:$I$23</definedName>
    <definedName name="ExternalData_19" localSheetId="8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7" l="1"/>
  <c r="E2" i="47"/>
  <c r="D4" i="76" l="1"/>
  <c r="B3" i="76"/>
  <c r="D3" i="76" s="1"/>
  <c r="B4" i="76"/>
  <c r="B5" i="76"/>
  <c r="D5" i="76" s="1"/>
  <c r="B6" i="76"/>
  <c r="D6" i="76" s="1"/>
  <c r="B2" i="76"/>
  <c r="D2" i="76" s="1"/>
  <c r="F2" i="76"/>
  <c r="F3" i="76"/>
  <c r="F4" i="76"/>
  <c r="F5" i="76"/>
  <c r="F6" i="76"/>
  <c r="B3" i="47"/>
  <c r="B2" i="47"/>
  <c r="B3" i="64"/>
  <c r="E11" i="72"/>
  <c r="A89" i="63"/>
  <c r="A67" i="63"/>
  <c r="A45" i="63"/>
  <c r="A24" i="63"/>
  <c r="A23" i="63"/>
  <c r="D2" i="69" l="1"/>
  <c r="C3" i="76"/>
  <c r="C4" i="76"/>
  <c r="C5" i="76"/>
  <c r="C6" i="76"/>
  <c r="I13" i="76"/>
  <c r="C2" i="76"/>
  <c r="H13" i="76"/>
  <c r="F7" i="70"/>
  <c r="F7" i="76"/>
  <c r="K2" i="76" s="1"/>
  <c r="F9" i="76"/>
  <c r="D11" i="65"/>
  <c r="C11" i="65"/>
  <c r="L3" i="72"/>
  <c r="L4" i="72"/>
  <c r="L5" i="72"/>
  <c r="L6" i="72"/>
  <c r="L2" i="72"/>
  <c r="D5" i="65"/>
  <c r="H9" i="75"/>
  <c r="D9" i="75"/>
  <c r="I8" i="75"/>
  <c r="H8" i="75"/>
  <c r="C8" i="75"/>
  <c r="B8" i="75"/>
  <c r="I7" i="75"/>
  <c r="H7" i="75"/>
  <c r="C7" i="75"/>
  <c r="B7" i="75"/>
  <c r="N6" i="75"/>
  <c r="M6" i="75" s="1"/>
  <c r="I6" i="75"/>
  <c r="H6" i="75"/>
  <c r="C6" i="75"/>
  <c r="B6" i="75"/>
  <c r="N5" i="75"/>
  <c r="M5" i="75" s="1"/>
  <c r="I5" i="75"/>
  <c r="H5" i="75"/>
  <c r="C5" i="75"/>
  <c r="B5" i="75"/>
  <c r="N4" i="75"/>
  <c r="M4" i="75"/>
  <c r="I4" i="75"/>
  <c r="H4" i="75"/>
  <c r="C4" i="75"/>
  <c r="B4" i="75"/>
  <c r="N3" i="75"/>
  <c r="M3" i="75"/>
  <c r="I3" i="75"/>
  <c r="H3" i="75"/>
  <c r="C3" i="75"/>
  <c r="B3" i="75"/>
  <c r="N2" i="75"/>
  <c r="M2" i="75"/>
  <c r="I2" i="75"/>
  <c r="H2" i="75"/>
  <c r="C2" i="75"/>
  <c r="B2" i="75"/>
  <c r="D2" i="64"/>
  <c r="B2" i="69" l="1"/>
  <c r="C2" i="69" s="1"/>
  <c r="D1" i="64"/>
  <c r="J48" i="72"/>
  <c r="J51" i="72"/>
  <c r="J52" i="72"/>
  <c r="J54" i="72"/>
  <c r="J47" i="72"/>
  <c r="I49" i="72"/>
  <c r="I50" i="72"/>
  <c r="I48" i="72"/>
  <c r="V3" i="72"/>
  <c r="V4" i="72"/>
  <c r="V6" i="72"/>
  <c r="V5" i="72"/>
  <c r="Y15" i="72"/>
  <c r="E2" i="72"/>
  <c r="F50" i="72"/>
  <c r="F49" i="72"/>
  <c r="F48" i="72"/>
  <c r="F47" i="72"/>
  <c r="F46" i="72"/>
  <c r="F40" i="72"/>
  <c r="F43" i="72"/>
  <c r="F39" i="72"/>
  <c r="D40" i="72"/>
  <c r="D41" i="72"/>
  <c r="F41" i="72" s="1"/>
  <c r="D42" i="72"/>
  <c r="F42" i="72" s="1"/>
  <c r="D43" i="72"/>
  <c r="D39" i="72"/>
  <c r="R41" i="72"/>
  <c r="R42" i="72" s="1"/>
  <c r="R39" i="72"/>
  <c r="P30" i="72"/>
  <c r="P33" i="72" s="1"/>
  <c r="P34" i="72" s="1"/>
  <c r="P14" i="72"/>
  <c r="P15" i="72" s="1"/>
  <c r="P16" i="72" s="1"/>
  <c r="P17" i="72" s="1"/>
  <c r="C18" i="71"/>
  <c r="E3" i="72"/>
  <c r="E4" i="72"/>
  <c r="E5" i="72"/>
  <c r="E6" i="72"/>
  <c r="E7" i="72"/>
  <c r="E8" i="72"/>
  <c r="E9" i="72"/>
  <c r="E10" i="72"/>
  <c r="D7" i="73"/>
  <c r="L6" i="73"/>
  <c r="K6" i="73" s="1"/>
  <c r="H6" i="73"/>
  <c r="C6" i="73"/>
  <c r="B6" i="73"/>
  <c r="L5" i="73"/>
  <c r="K5" i="73"/>
  <c r="H5" i="73"/>
  <c r="C5" i="73"/>
  <c r="B5" i="73"/>
  <c r="L4" i="73"/>
  <c r="K4" i="73"/>
  <c r="H4" i="73"/>
  <c r="C4" i="73"/>
  <c r="B4" i="73"/>
  <c r="L3" i="73"/>
  <c r="K3" i="73"/>
  <c r="H3" i="73"/>
  <c r="C3" i="73"/>
  <c r="B3" i="73"/>
  <c r="L2" i="73"/>
  <c r="K2" i="73"/>
  <c r="H2" i="73"/>
  <c r="C2" i="73"/>
  <c r="B2" i="73"/>
  <c r="G2" i="69" l="1"/>
  <c r="M2" i="72"/>
  <c r="J49" i="72"/>
  <c r="J53" i="72"/>
  <c r="J6" i="72"/>
  <c r="J7" i="72"/>
  <c r="J8" i="72"/>
  <c r="J5" i="72"/>
  <c r="I6" i="72"/>
  <c r="I52" i="72" s="1"/>
  <c r="I7" i="72"/>
  <c r="I53" i="72" s="1"/>
  <c r="I8" i="72"/>
  <c r="I54" i="72" s="1"/>
  <c r="I5" i="72"/>
  <c r="I51" i="72" s="1"/>
  <c r="J50" i="72"/>
  <c r="J3" i="72"/>
  <c r="J4" i="72"/>
  <c r="P6" i="72" l="1"/>
  <c r="M52" i="72" s="1"/>
  <c r="N6" i="72"/>
  <c r="O6" i="72" s="1"/>
  <c r="K52" i="72"/>
  <c r="P7" i="72"/>
  <c r="M53" i="72" s="1"/>
  <c r="N7" i="72"/>
  <c r="O7" i="72" s="1"/>
  <c r="K53" i="72"/>
  <c r="P5" i="72"/>
  <c r="M51" i="72" s="1"/>
  <c r="K51" i="72"/>
  <c r="N5" i="72"/>
  <c r="P8" i="72"/>
  <c r="M54" i="72" s="1"/>
  <c r="N8" i="72"/>
  <c r="O8" i="72" s="1"/>
  <c r="K54" i="72"/>
  <c r="P4" i="72"/>
  <c r="M50" i="72" s="1"/>
  <c r="N4" i="72"/>
  <c r="K50" i="72"/>
  <c r="P3" i="72"/>
  <c r="M49" i="72" s="1"/>
  <c r="N3" i="72"/>
  <c r="K49" i="72"/>
  <c r="M3" i="72"/>
  <c r="M4" i="72" s="1"/>
  <c r="M5" i="72" s="1"/>
  <c r="M6" i="72" s="1"/>
  <c r="M7" i="72" s="1"/>
  <c r="M8" i="72" s="1"/>
  <c r="J2" i="72" l="1"/>
  <c r="B2" i="72"/>
  <c r="B3" i="72" s="1"/>
  <c r="B4" i="72" s="1"/>
  <c r="B5" i="72" s="1"/>
  <c r="B6" i="72" s="1"/>
  <c r="B7" i="72" s="1"/>
  <c r="B8" i="72" s="1"/>
  <c r="B9" i="72" s="1"/>
  <c r="B10" i="72" s="1"/>
  <c r="A22" i="63"/>
  <c r="A43" i="63"/>
  <c r="A44" i="63"/>
  <c r="A66" i="63"/>
  <c r="A88" i="63"/>
  <c r="A87" i="63"/>
  <c r="A65" i="63"/>
  <c r="A21" i="63"/>
  <c r="P2" i="72" l="1"/>
  <c r="M48" i="72" s="1"/>
  <c r="N2" i="72"/>
  <c r="K48" i="72"/>
  <c r="A69" i="63"/>
  <c r="A70" i="63"/>
  <c r="A71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A37" i="63"/>
  <c r="A38" i="63"/>
  <c r="A39" i="63"/>
  <c r="A40" i="63"/>
  <c r="A41" i="63"/>
  <c r="A42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68" i="63" l="1"/>
  <c r="A46" i="63" l="1"/>
  <c r="D3" i="67" l="1"/>
  <c r="C4" i="65"/>
  <c r="B4" i="65"/>
  <c r="C3" i="65"/>
  <c r="B3" i="65"/>
  <c r="C2" i="65"/>
  <c r="B2" i="65"/>
  <c r="L6" i="71"/>
  <c r="K6" i="71"/>
  <c r="K7" i="71" s="1"/>
  <c r="E6" i="71"/>
  <c r="I5" i="71"/>
  <c r="G5" i="71"/>
  <c r="I4" i="71"/>
  <c r="I3" i="71"/>
  <c r="I2" i="71"/>
  <c r="J14" i="71"/>
  <c r="G2" i="71"/>
  <c r="F2" i="71"/>
  <c r="I3" i="68"/>
  <c r="I4" i="68"/>
  <c r="I5" i="68"/>
  <c r="I6" i="68"/>
  <c r="I2" i="68"/>
  <c r="J2" i="68"/>
  <c r="U22" i="33"/>
  <c r="U20" i="33"/>
  <c r="C3" i="68"/>
  <c r="C4" i="68"/>
  <c r="C5" i="68"/>
  <c r="C6" i="68"/>
  <c r="C2" i="68"/>
  <c r="B2" i="68"/>
  <c r="B3" i="68"/>
  <c r="B4" i="68"/>
  <c r="B5" i="68"/>
  <c r="B6" i="68"/>
  <c r="E2" i="68"/>
  <c r="H2" i="68"/>
  <c r="H3" i="68"/>
  <c r="H4" i="68"/>
  <c r="H5" i="68"/>
  <c r="H6" i="68"/>
  <c r="D7" i="68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U14" i="33"/>
  <c r="U15" i="33"/>
  <c r="U16" i="33"/>
  <c r="U17" i="33"/>
  <c r="U18" i="33"/>
  <c r="U2" i="33"/>
  <c r="U3" i="33"/>
  <c r="U6" i="33"/>
  <c r="U7" i="33"/>
  <c r="U21" i="33"/>
  <c r="K31" i="63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M8" i="63"/>
  <c r="M9" i="63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2" i="63"/>
  <c r="E6" i="58"/>
  <c r="E11" i="58"/>
  <c r="E10" i="58"/>
  <c r="E9" i="58"/>
  <c r="E8" i="58"/>
  <c r="E7" i="58"/>
  <c r="E2" i="58"/>
  <c r="E5" i="58"/>
  <c r="E4" i="58"/>
  <c r="E3" i="58"/>
  <c r="C5" i="18"/>
  <c r="F6" i="50"/>
  <c r="F7" i="50"/>
  <c r="B16" i="50"/>
  <c r="V18" i="33"/>
  <c r="V2" i="33"/>
  <c r="V19" i="33"/>
  <c r="V3" i="33"/>
  <c r="V14" i="33"/>
  <c r="V22" i="33"/>
  <c r="V23" i="33"/>
  <c r="V8" i="33"/>
  <c r="V16" i="33"/>
  <c r="V17" i="33"/>
  <c r="V15" i="33"/>
  <c r="V4" i="33"/>
  <c r="C3" i="18"/>
  <c r="R20" i="33"/>
  <c r="V20" i="33" s="1"/>
  <c r="S20" i="33"/>
  <c r="T20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U4" i="33"/>
  <c r="U19" i="33" l="1"/>
  <c r="U8" i="33"/>
  <c r="U23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C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9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tc={18927A67-964C-45B5-B27F-BD1FE2FFE04A}</author>
    <author>tc={3949E0A6-8CDE-4DF2-B3C3-D5D5CF7D5450}</author>
    <author>tc={0BD8E1A9-9574-4916-A03F-F4F4EFBC5243}</author>
    <author>tc={3F82BEFE-3858-4198-984F-A2165197D0C4}</author>
    <author>tc={81BA12EC-87B6-4F63-88B8-8B70CD12E2EF}</author>
    <author>tc={0D72634B-03FD-454E-9D84-E275C6836F74}</author>
  </authors>
  <commentList>
    <comment ref="B1" authorId="0" shapeId="0" xr:uid="{18927A67-964C-45B5-B27F-BD1FE2FFE04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 AMIRIS
</t>
      </text>
    </comment>
    <comment ref="C1" authorId="1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2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H1" authorId="3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4" shapeId="0" xr:uid="{81BA12EC-87B6-4F63-88B8-8B70CD12E2E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5" shapeId="0" xr:uid="{0D72634B-03FD-454E-9D84-E275C6836F74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tc={8E362372-BCF5-4467-AF0F-2B103CBCDCB7}</author>
  </authors>
  <commentList>
    <comment ref="K7" authorId="0" shapeId="0" xr:uid="{8E362372-BCF5-4467-AF0F-2B103CBCDCB7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tc={5BA2F6DA-DC7C-4DCC-8D28-9D13E308C53C}</author>
  </authors>
  <commentList>
    <comment ref="M7" authorId="0" shapeId="0" xr:uid="{5BA2F6DA-DC7C-4DCC-8D28-9D13E308C53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tc={7B5C1F1F-6E4E-4576-9930-0CFA28794271}</author>
  </authors>
  <commentList>
    <comment ref="I7" authorId="0" shapeId="0" xr:uid="{7B5C1F1F-6E4E-4576-9930-0CFA287942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tc={439FB901-8C7B-48ED-B330-69D5DEF8E398}</author>
  </authors>
  <commentList>
    <comment ref="B6" authorId="0" shapeId="0" xr:uid="{439FB901-8C7B-48ED-B330-69D5DEF8E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<sst xmlns="http://schemas.openxmlformats.org/spreadsheetml/2006/main" count="1037" uniqueCount="504">
  <si>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</si>
  <si>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</si>
  <si>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</si>
  <si>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</si>
  <si>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</si>
  <si>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</si>
  <si>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</si>
  <si>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</si>
  <si>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</si>
  <si>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</si>
  <si>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</si>
  <si>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</si>
  <si>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</si>
  <si>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</si>
  <si>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</si>
  <si>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</si>
  <si>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</si>
  <si>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</si>
  <si>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</si>
  <si>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</si>
  <si>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</si>
  <si>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</si>
  <si>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</si>
  <si>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</si>
  <si>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</si>
  <si>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</si>
  <si>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</si>
  <si>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</si>
  <si>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</si>
  <si>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</si>
  <si>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</si>
  <si>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</si>
  <si>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</si>
  <si>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</si>
  <si>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</si>
  <si>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</si>
  <si>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</si>
  <si>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trend</t>
  </si>
  <si>
    <t>hardCoalTrend</t>
  </si>
  <si>
    <t>naturalGasTrend</t>
  </si>
  <si>
    <t>ligniteCoalTrend</t>
  </si>
  <si>
    <t>Nuclear</t>
  </si>
  <si>
    <t>uraniumTrend</t>
  </si>
  <si>
    <t>Top</t>
  </si>
  <si>
    <t>Max</t>
  </si>
  <si>
    <t>Min</t>
  </si>
  <si>
    <t>co2StartingPrice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</si>
  <si>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</si>
  <si>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</si>
  <si>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</si>
  <si>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</si>
  <si>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</si>
  <si>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</si>
  <si>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</si>
  <si>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</si>
  <si>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</si>
  <si>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</si>
  <si>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</si>
  <si>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</si>
  <si>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</si>
  <si>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</si>
  <si>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</si>
  <si>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</si>
  <si>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</si>
  <si>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Standalone</t>
  </si>
  <si>
    <t>CCS</t>
  </si>
  <si>
    <t>GAS</t>
  </si>
  <si>
    <t>CCGT</t>
  </si>
  <si>
    <t>CCS CCGT</t>
  </si>
  <si>
    <t>-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</si>
  <si>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</si>
  <si>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</si>
  <si>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</si>
  <si>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</si>
  <si>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</si>
  <si>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</si>
  <si>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</si>
  <si>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</si>
  <si>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</si>
  <si>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</si>
  <si>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</si>
  <si>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</si>
  <si>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</si>
  <si>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</si>
  <si>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</si>
  <si>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</si>
  <si>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</si>
  <si>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</si>
  <si>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</si>
  <si>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</si>
  <si>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</si>
  <si>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</si>
  <si>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</si>
  <si>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</si>
  <si>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</si>
  <si>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</si>
  <si>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</si>
  <si>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</si>
  <si>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</si>
  <si>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</si>
  <si>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</si>
  <si>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</si>
  <si>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hard_coal</t>
  </si>
  <si>
    <t>hydrogen</t>
  </si>
  <si>
    <t>lignite</t>
  </si>
  <si>
    <t>natural_gas</t>
  </si>
  <si>
    <t>nuclear</t>
  </si>
  <si>
    <t>processing_residues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</si>
  <si>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</si>
  <si>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</si>
  <si>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</si>
  <si>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</si>
  <si>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</si>
  <si>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</si>
  <si>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</si>
  <si>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</si>
  <si>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Photovoltaic PGT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</si>
  <si>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</si>
  <si>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</si>
  <si>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</si>
  <si>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</si>
  <si>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</si>
  <si>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</si>
  <si>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</si>
  <si>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</si>
  <si>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</si>
  <si>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</si>
  <si>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</si>
  <si>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</si>
  <si>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</si>
  <si>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</si>
  <si>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</si>
  <si>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</si>
  <si>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</si>
  <si>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</si>
  <si>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</si>
  <si>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</si>
  <si>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</si>
  <si>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</si>
  <si>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</si>
  <si>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</si>
  <si>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</si>
  <si>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</si>
  <si>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</si>
  <si>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</si>
  <si>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</si>
  <si>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</si>
  <si>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</si>
  <si>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</si>
  <si>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</si>
  <si>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</si>
  <si>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</si>
  <si>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</si>
  <si>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</si>
  <si>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</si>
  <si>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</si>
  <si>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</si>
  <si>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</si>
  <si>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</si>
  <si>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</si>
  <si>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</si>
  <si>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</si>
  <si>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</si>
  <si>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</si>
  <si>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</si>
  <si>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</si>
  <si>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</si>
  <si>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</si>
  <si>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</si>
  <si>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</si>
  <si>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</si>
  <si>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</si>
  <si>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</si>
  <si>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</si>
  <si>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</si>
  <si>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</si>
  <si>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</si>
  <si>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</si>
  <si>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</si>
  <si>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</si>
  <si>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</si>
  <si>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</si>
  <si>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</si>
  <si>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</si>
  <si>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</si>
  <si>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</si>
  <si>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</si>
  <si>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</si>
  <si>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</si>
  <si>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</si>
  <si>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</si>
  <si>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</si>
  <si>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</si>
  <si>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</si>
  <si>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</si>
  <si>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</si>
  <si>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</si>
  <si>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</si>
  <si>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</si>
  <si>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</si>
  <si>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</si>
  <si>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</si>
  <si>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</si>
  <si>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</si>
  <si>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</si>
  <si>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</si>
  <si>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</si>
  <si>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</si>
  <si>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</si>
  <si>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</si>
  <si>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</si>
  <si>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</si>
  <si>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</si>
  <si>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</si>
  <si>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</si>
  <si>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</si>
  <si>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</si>
  <si>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</si>
  <si>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</si>
  <si>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</si>
  <si>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</si>
  <si>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</si>
  <si>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</si>
  <si>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</si>
  <si>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</si>
  <si>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</si>
  <si>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</si>
  <si>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</si>
  <si>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</si>
  <si>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</si>
  <si>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</si>
  <si>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</si>
  <si>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</si>
  <si>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</si>
  <si>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</si>
  <si>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</si>
  <si>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</si>
  <si>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</si>
  <si>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</si>
  <si>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</si>
  <si>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</si>
  <si>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</si>
  <si>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</si>
  <si>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</si>
  <si>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</si>
  <si>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</si>
  <si>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</si>
  <si>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</si>
  <si>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</si>
  <si>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</si>
  <si>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</si>
  <si>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</si>
  <si>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</si>
  <si>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</si>
  <si>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</si>
  <si>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</si>
  <si>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</si>
  <si>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</si>
  <si>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</si>
  <si>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year</t>
  </si>
  <si>
    <t>TWh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</si>
  <si>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</si>
  <si>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</si>
  <si>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</si>
  <si>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</si>
  <si>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</si>
  <si>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</si>
  <si>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</si>
  <si>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</si>
  <si>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</si>
  <si>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</si>
  <si>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yearlytargetNL_windoffshore</t>
  </si>
  <si>
    <t>yearlytargetNL_windonshore</t>
  </si>
  <si>
    <t>yearlytargetNL_PV</t>
  </si>
  <si>
    <t>targetTechnology</t>
  </si>
  <si>
    <t xml:space="preserve">DE from TYNDP 2020; 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</si>
  <si>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</si>
  <si>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</si>
  <si>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</si>
  <si>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</si>
  <si>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</si>
  <si>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</si>
  <si>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</si>
  <si>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</si>
  <si>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</si>
  <si>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</si>
  <si>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</si>
  <si>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</si>
  <si>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 https://github.com/PyPSA/technology-data/blob/master/outputs/costs_2020.csv</t>
  </si>
  <si>
    <t>Country</t>
  </si>
  <si>
    <t>parameter</t>
  </si>
  <si>
    <t>yearlyPotential</t>
  </si>
  <si>
    <t>MW</t>
  </si>
  <si>
    <t>electrolyzer</t>
  </si>
  <si>
    <t>hydrogenTrend</t>
  </si>
  <si>
    <t>from EMLab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</si>
  <si>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</si>
  <si>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</si>
  <si>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</si>
  <si>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</si>
  <si>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</si>
  <si>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</si>
  <si>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</si>
  <si>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</si>
  <si>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</si>
  <si>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</si>
  <si>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</si>
  <si>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</si>
  <si>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</si>
  <si>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</si>
  <si>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</si>
  <si>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</si>
  <si>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</si>
  <si>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</si>
  <si>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</si>
  <si>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</si>
  <si>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</si>
  <si>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</si>
  <si>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</si>
  <si>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</si>
  <si>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</si>
  <si>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</si>
  <si>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</si>
  <si>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</si>
  <si>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</si>
  <si>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</si>
  <si>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</si>
  <si>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</si>
  <si>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</si>
  <si>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</si>
  <si>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</si>
  <si>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</si>
  <si>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</si>
  <si>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</si>
  <si>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</si>
  <si>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</si>
  <si>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</si>
  <si>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</si>
  <si>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</si>
  <si>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</si>
  <si>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</si>
  <si>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</si>
  <si>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</si>
  <si>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</si>
  <si>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</si>
  <si>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</si>
  <si>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</si>
  <si>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</si>
  <si>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</si>
  <si>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</si>
  <si>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</si>
  <si>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>otherwise it is looked interpolating the avialable data</t>
  </si>
  <si>
    <t>OTHER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</si>
  <si>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</si>
  <si>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</si>
  <si>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</si>
  <si>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</si>
  <si>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</si>
  <si>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</si>
  <si>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</si>
  <si>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</si>
  <si>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</si>
  <si>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</si>
  <si>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</si>
  <si>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</si>
  <si>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</si>
  <si>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</si>
  <si>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</si>
  <si>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</si>
  <si>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</si>
  <si>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</si>
  <si>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</si>
  <si>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</si>
  <si>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</si>
  <si>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</si>
  <si>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</si>
  <si>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</si>
  <si>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</si>
  <si>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</si>
  <si>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</si>
  <si>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</si>
  <si>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</si>
  <si>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</si>
  <si>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</si>
  <si>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</si>
  <si>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</si>
  <si>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</si>
  <si>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</si>
  <si>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</si>
  <si>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</si>
  <si>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&lt;last capacity</t>
  </si>
  <si>
    <t>interest_rate</t>
  </si>
  <si>
    <t>for less flexible scenario reduce the electrolyzer MW</t>
  </si>
  <si>
    <t>CONE</t>
  </si>
  <si>
    <t>reliability_standard</t>
  </si>
  <si>
    <t>PriceCapTimesCONE</t>
  </si>
  <si>
    <t>The VOLL is saved in a different tab so that it can be added per year.</t>
  </si>
  <si>
    <t>volume</t>
  </si>
  <si>
    <t>peak load</t>
  </si>
  <si>
    <t>calculated VOLL</t>
  </si>
  <si>
    <t>cone</t>
  </si>
  <si>
    <t>average CONE</t>
  </si>
  <si>
    <t>to verify</t>
  </si>
  <si>
    <t xml:space="preserve">the technology number is assigned to make the names of power plants, AMIRIS needs a </t>
  </si>
  <si>
    <t>&lt;reserveVolume, cash and list of plants are to saved during simulations</t>
  </si>
  <si>
    <t>If max years in reserve are less than look ahead years, that can bring shortages. No time to invest in estimated reserve</t>
  </si>
  <si>
    <t>Max years in reserve should be more years than years_accepted_inSR_before_decommissioned. Otherwise plants can be decommissioned before their end of lifetime</t>
  </si>
  <si>
    <t>this is just for initialization. The peak load is calculated in the initilization clock step</t>
  </si>
  <si>
    <t>&lt; load plus cap of industrial demand</t>
  </si>
  <si>
    <t>&lt; cannot model heat sector coupling, so not including CHP</t>
  </si>
  <si>
    <t>columns in pink</t>
  </si>
  <si>
    <t>iterationLOWtoHIGHvRES</t>
  </si>
  <si>
    <t>CSV</t>
  </si>
  <si>
    <t>wholesale market</t>
  </si>
  <si>
    <t>oil</t>
  </si>
  <si>
    <t>OilTrend</t>
  </si>
  <si>
    <t>biomethaneTrend</t>
  </si>
  <si>
    <t>Hydro Reservoir</t>
  </si>
  <si>
    <t>Hydropower ROR</t>
  </si>
  <si>
    <t>PHS Discharge</t>
  </si>
  <si>
    <t>Hard Coal</t>
  </si>
  <si>
    <t>Oil</t>
  </si>
  <si>
    <t>Lignite</t>
  </si>
  <si>
    <t>CCS gas</t>
  </si>
  <si>
    <t>residuesTrend</t>
  </si>
  <si>
    <t>central gas boiler</t>
  </si>
  <si>
    <t>&lt; here for industrial heat</t>
  </si>
  <si>
    <t>biomethane is not in AMIRIS</t>
  </si>
  <si>
    <t>industrySME</t>
  </si>
  <si>
    <t>household city center</t>
  </si>
  <si>
    <t>household feed in areas</t>
  </si>
  <si>
    <t>household other</t>
  </si>
  <si>
    <t xml:space="preserve">industry, lasrge scale, energy intensive </t>
  </si>
  <si>
    <t xml:space="preserve">industry, lasrge scale,non energy intensive </t>
  </si>
  <si>
    <t>commercial and service sector</t>
  </si>
  <si>
    <t xml:space="preserve">public sector </t>
  </si>
  <si>
    <t>transport</t>
  </si>
  <si>
    <t>Percentage</t>
  </si>
  <si>
    <t>cummulative</t>
  </si>
  <si>
    <t>public sector and transport</t>
  </si>
  <si>
    <t>industry</t>
  </si>
  <si>
    <t>VOLL original</t>
  </si>
  <si>
    <t>VOLL simplified</t>
  </si>
  <si>
    <t>CapacityMarketVlue</t>
  </si>
  <si>
    <t>the interviews were done during times of high electricity prices. And it refers to the</t>
  </si>
  <si>
    <t xml:space="preserve">Group of consumers were asked for their  willingness to pay of consumers for not being curtailed one hour. </t>
  </si>
  <si>
    <t>weighted average</t>
  </si>
  <si>
    <t>percentage load</t>
  </si>
  <si>
    <t>divided by 10</t>
  </si>
  <si>
    <t>hydrogen OCGT</t>
  </si>
  <si>
    <t>allowed_technologies</t>
  </si>
  <si>
    <t>cheap one</t>
  </si>
  <si>
    <t>old VOLL</t>
  </si>
  <si>
    <t>divided by 25 (real)</t>
  </si>
  <si>
    <t>real VOLL/25</t>
  </si>
  <si>
    <t>subscribed</t>
  </si>
  <si>
    <t>unsubscribed</t>
  </si>
  <si>
    <t>percentage</t>
  </si>
  <si>
    <t>subscribed1</t>
  </si>
  <si>
    <t>unsubscribed1</t>
  </si>
  <si>
    <t>unsubscribed2</t>
  </si>
  <si>
    <t>unsubscribed3</t>
  </si>
  <si>
    <t>subscribed2</t>
  </si>
  <si>
    <t>capacity market VOLL</t>
  </si>
  <si>
    <t>wholesale market VOLL Eur/MWh</t>
  </si>
  <si>
    <t>shortages LOLE</t>
  </si>
  <si>
    <t>cost of non supplied</t>
  </si>
  <si>
    <t>how it was</t>
  </si>
  <si>
    <t>how will change</t>
  </si>
  <si>
    <t>Eur/mwh</t>
  </si>
  <si>
    <t>Eur/mw</t>
  </si>
  <si>
    <t>de nooij</t>
  </si>
  <si>
    <t>inflation adjusted</t>
  </si>
  <si>
    <t>manufacturing</t>
  </si>
  <si>
    <t>services</t>
  </si>
  <si>
    <t>government</t>
  </si>
  <si>
    <t>long_term</t>
  </si>
  <si>
    <t>DutchForwardCapacityMarket</t>
  </si>
  <si>
    <t>years_long_term_market</t>
  </si>
  <si>
    <t>deratingFactor</t>
  </si>
  <si>
    <t>new</t>
  </si>
  <si>
    <t>old</t>
  </si>
  <si>
    <t>TargetCapacity</t>
  </si>
  <si>
    <t>VOLL *0.04</t>
  </si>
  <si>
    <t>Old results</t>
  </si>
  <si>
    <t>new results</t>
  </si>
  <si>
    <t>from excel</t>
  </si>
  <si>
    <t>load_unsheddable</t>
  </si>
  <si>
    <t>WTP</t>
  </si>
  <si>
    <t>max_subscribed_percentage</t>
  </si>
  <si>
    <t>max</t>
  </si>
  <si>
    <t>subscribed_yearly</t>
  </si>
  <si>
    <t>bid</t>
  </si>
  <si>
    <t>sum - unsubcribed - voluntary =1</t>
  </si>
  <si>
    <t xml:space="preserve">don’t change this </t>
  </si>
  <si>
    <t>1 - 3 -4-5…</t>
  </si>
  <si>
    <t>Eur/MWh</t>
  </si>
  <si>
    <t>hydrogen CCGT</t>
  </si>
  <si>
    <t>Lithium ion battery 4</t>
  </si>
  <si>
    <t>subscribed_volume</t>
  </si>
  <si>
    <t>hydrogen turbine,hydrogen OCGT,Lithium ion battery,Lithium ion battery 4,hydrogen CCGT</t>
  </si>
  <si>
    <t>InitialPrice</t>
  </si>
  <si>
    <t>pricap is used for capacity market and then rewritten</t>
  </si>
  <si>
    <t>initialprice is for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</si>
</sst>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1"/>
      <name val="Calibri Light"/>
      <family val="2"/>
      <scheme val="maj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  <xf numFmtId="0" fontId="18" fillId="14" borderId="0" applyNumberFormat="0" applyBorder="0" applyAlignment="0" applyProtection="0"/>
    <xf numFmtId="9" fontId="25" fillId="0" borderId="0" applyFon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0" fontId="29" fillId="16" borderId="0" applyNumberFormat="0" applyBorder="0" applyAlignment="0" applyProtection="0"/>
  </cellStyleXfs>
  <cellXfs count="8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0" fillId="6" borderId="0" xfId="0" applyFill="1"/>
    <xf numFmtId="0" fontId="4" fillId="0" borderId="0" xfId="0" applyFont="1"/>
    <xf numFmtId="0" fontId="0" fillId="0" borderId="1" xfId="0" applyBorder="1"/>
    <xf numFmtId="0" fontId="7" fillId="0" borderId="0" xfId="0" applyFont="1"/>
    <xf numFmtId="0" fontId="0" fillId="8" borderId="0" xfId="0" applyFill="1"/>
    <xf numFmtId="1" fontId="0" fillId="0" borderId="0" xfId="0" applyNumberFormat="1"/>
    <xf numFmtId="0" fontId="9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0" fillId="0" borderId="0" xfId="0" applyFont="1" applyAlignment="1">
      <alignment vertical="center"/>
    </xf>
    <xf numFmtId="0" fontId="0" fillId="9" borderId="0" xfId="0" applyFill="1"/>
    <xf numFmtId="0" fontId="11" fillId="0" borderId="0" xfId="0" applyFont="1" applyAlignment="1">
      <alignment wrapText="1"/>
    </xf>
    <xf numFmtId="0" fontId="12" fillId="0" borderId="0" xfId="0" applyFont="1" applyAlignment="1">
      <alignment horizontal="right"/>
    </xf>
    <xf numFmtId="164" fontId="0" fillId="0" borderId="0" xfId="0" applyNumberFormat="1"/>
    <xf numFmtId="0" fontId="13" fillId="10" borderId="3" xfId="0" applyFont="1" applyFill="1" applyBorder="1" applyAlignment="1">
      <alignment vertical="center" wrapText="1"/>
    </xf>
    <xf numFmtId="0" fontId="13" fillId="10" borderId="0" xfId="0" applyFont="1" applyFill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/>
    <xf numFmtId="0" fontId="16" fillId="11" borderId="0" xfId="0" applyFont="1" applyFill="1"/>
    <xf numFmtId="0" fontId="16" fillId="0" borderId="0" xfId="0" applyFont="1"/>
    <xf numFmtId="0" fontId="16" fillId="12" borderId="0" xfId="0" applyFont="1" applyFill="1"/>
    <xf numFmtId="0" fontId="17" fillId="0" borderId="0" xfId="0" applyFont="1"/>
    <xf numFmtId="0" fontId="0" fillId="13" borderId="0" xfId="0" applyFill="1"/>
    <xf numFmtId="1" fontId="0" fillId="0" borderId="1" xfId="0" applyNumberFormat="1" applyBorder="1"/>
    <xf numFmtId="2" fontId="0" fillId="0" borderId="0" xfId="0" applyNumberFormat="1"/>
    <xf numFmtId="0" fontId="19" fillId="0" borderId="0" xfId="0" applyFont="1" applyAlignment="1">
      <alignment vertical="center"/>
    </xf>
    <xf numFmtId="0" fontId="20" fillId="0" borderId="0" xfId="0" applyFont="1"/>
    <xf numFmtId="0" fontId="0" fillId="3" borderId="1" xfId="0" applyFill="1" applyBorder="1" applyAlignment="1">
      <alignment wrapText="1"/>
    </xf>
    <xf numFmtId="0" fontId="21" fillId="0" borderId="0" xfId="0" applyFont="1" applyAlignment="1">
      <alignment vertical="center"/>
    </xf>
    <xf numFmtId="0" fontId="3" fillId="15" borderId="0" xfId="0" applyFont="1" applyFill="1"/>
    <xf numFmtId="0" fontId="11" fillId="0" borderId="0" xfId="0" applyFont="1"/>
    <xf numFmtId="9" fontId="0" fillId="0" borderId="0" xfId="0" applyNumberFormat="1"/>
    <xf numFmtId="0" fontId="23" fillId="0" borderId="0" xfId="0" applyFont="1"/>
    <xf numFmtId="0" fontId="24" fillId="0" borderId="0" xfId="0" applyFont="1"/>
    <xf numFmtId="9" fontId="0" fillId="0" borderId="0" xfId="4" applyFont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7" borderId="1" xfId="0" applyFill="1" applyBorder="1"/>
    <xf numFmtId="0" fontId="0" fillId="0" borderId="1" xfId="0" applyBorder="1" applyAlignment="1">
      <alignment wrapText="1"/>
    </xf>
    <xf numFmtId="0" fontId="1" fillId="2" borderId="1" xfId="1" applyBorder="1"/>
    <xf numFmtId="0" fontId="0" fillId="9" borderId="1" xfId="0" applyFill="1" applyBorder="1"/>
    <xf numFmtId="0" fontId="26" fillId="0" borderId="0" xfId="0" applyFont="1"/>
    <xf numFmtId="1" fontId="24" fillId="0" borderId="0" xfId="0" applyNumberFormat="1" applyFont="1"/>
    <xf numFmtId="0" fontId="24" fillId="0" borderId="0" xfId="0" applyFont="1" applyAlignment="1">
      <alignment horizontal="center"/>
    </xf>
    <xf numFmtId="0" fontId="0" fillId="4" borderId="1" xfId="0" applyFill="1" applyBorder="1" applyAlignment="1">
      <alignment wrapText="1"/>
    </xf>
    <xf numFmtId="0" fontId="18" fillId="14" borderId="1" xfId="3" applyBorder="1" applyAlignment="1">
      <alignment wrapText="1"/>
    </xf>
    <xf numFmtId="0" fontId="2" fillId="0" borderId="1" xfId="0" applyFont="1" applyBorder="1"/>
    <xf numFmtId="0" fontId="0" fillId="15" borderId="1" xfId="0" applyFill="1" applyBorder="1"/>
    <xf numFmtId="164" fontId="27" fillId="0" borderId="1" xfId="5" applyNumberFormat="1" applyBorder="1"/>
    <xf numFmtId="0" fontId="25" fillId="0" borderId="1" xfId="5" applyFont="1" applyBorder="1"/>
    <xf numFmtId="0" fontId="28" fillId="0" borderId="1" xfId="0" applyFont="1" applyBorder="1" applyAlignment="1">
      <alignment horizontal="left"/>
    </xf>
    <xf numFmtId="2" fontId="25" fillId="0" borderId="1" xfId="5" applyNumberFormat="1" applyFont="1" applyBorder="1"/>
    <xf numFmtId="0" fontId="27" fillId="0" borderId="1" xfId="5" applyBorder="1"/>
    <xf numFmtId="0" fontId="27" fillId="0" borderId="0" xfId="5"/>
    <xf numFmtId="0" fontId="29" fillId="16" borderId="1" xfId="7" applyBorder="1"/>
    <xf numFmtId="0" fontId="0" fillId="0" borderId="4" xfId="0" applyBorder="1"/>
    <xf numFmtId="0" fontId="29" fillId="16" borderId="0" xfId="7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1" fontId="30" fillId="17" borderId="0" xfId="0" applyNumberFormat="1" applyFont="1" applyFill="1"/>
    <xf numFmtId="0" fontId="17" fillId="0" borderId="0" xfId="0" applyFont="1" applyAlignment="1">
      <alignment horizontal="center" wrapText="1"/>
    </xf>
  </cellXfs>
  <cellStyles count="8">
    <cellStyle name="Bad" xfId="3" builtinId="27"/>
    <cellStyle name="Comma 2" xfId="6" xr:uid="{BF3EB6FC-FC95-4FE7-813F-81CB67931BA3}"/>
    <cellStyle name="Good" xfId="7" builtinId="26"/>
    <cellStyle name="Hyperlink 2" xfId="2" xr:uid="{E602077D-462F-4400-AE4E-A206D51F4D20}"/>
    <cellStyle name="Neutral" xfId="1" builtinId="28"/>
    <cellStyle name="Normal" xfId="0" builtinId="0"/>
    <cellStyle name="Normal 2" xfId="5" xr:uid="{B382CCCB-1125-4982-8610-53DAC76A8711}"/>
    <cellStyle name="Percent" xfId="4" builtinId="5"/>
  </cellStyles>
  <dxfs count="3">
    <dxf>
      <font>
        <color rgb="FFFF0000"/>
      </font>
    </dxf>
    <dxf>
      <font>
        <color theme="9" tint="-0.499984740745262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48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9DA-4DBB-B561-1F6A30E3576B}"/>
            </c:ext>
          </c:extLst>
        </c:ser>
        <c:ser>
          <c:idx val="3"/>
          <c:order val="1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9DA-4DBB-B561-1F6A30E3576B}"/>
            </c:ext>
          </c:extLst>
        </c:ser>
        <c:ser>
          <c:idx val="1"/>
          <c:order val="2"/>
          <c:tx>
            <c:strRef>
              <c:f>LS_NL!$C$1</c:f>
              <c:strCache>
                <c:ptCount val="1"/>
                <c:pt idx="0">
                  <c:v>VOLL original</c:v>
                </c:pt>
              </c:strCache>
            </c:strRef>
          </c:tx>
          <c:xVal>
            <c:numRef>
              <c:f>LS_NL!$B$2:$B$10</c:f>
              <c:numCache>
                <c:formatCode>General</c:formatCode>
                <c:ptCount val="9"/>
                <c:pt idx="0">
                  <c:v>4</c:v>
                </c:pt>
                <c:pt idx="1">
                  <c:v>13</c:v>
                </c:pt>
                <c:pt idx="2">
                  <c:v>26</c:v>
                </c:pt>
                <c:pt idx="3">
                  <c:v>31</c:v>
                </c:pt>
                <c:pt idx="4">
                  <c:v>59</c:v>
                </c:pt>
                <c:pt idx="5">
                  <c:v>68</c:v>
                </c:pt>
                <c:pt idx="6">
                  <c:v>89</c:v>
                </c:pt>
                <c:pt idx="7">
                  <c:v>97</c:v>
                </c:pt>
                <c:pt idx="8">
                  <c:v>100</c:v>
                </c:pt>
              </c:numCache>
            </c:numRef>
          </c:xVal>
          <c:yVal>
            <c:numRef>
              <c:f>LS_NL!$C$2:$C$10</c:f>
              <c:numCache>
                <c:formatCode>General</c:formatCode>
                <c:ptCount val="9"/>
                <c:pt idx="0">
                  <c:v>105914</c:v>
                </c:pt>
                <c:pt idx="1">
                  <c:v>100323</c:v>
                </c:pt>
                <c:pt idx="2">
                  <c:v>84942</c:v>
                </c:pt>
                <c:pt idx="3">
                  <c:v>73186</c:v>
                </c:pt>
                <c:pt idx="4">
                  <c:v>61758</c:v>
                </c:pt>
                <c:pt idx="5">
                  <c:v>42700</c:v>
                </c:pt>
                <c:pt idx="6">
                  <c:v>32723</c:v>
                </c:pt>
                <c:pt idx="7">
                  <c:v>30429</c:v>
                </c:pt>
                <c:pt idx="8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DA-4DBB-B561-1F6A30E35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Percebtage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LS_NL!$P$1</c:f>
              <c:strCache>
                <c:ptCount val="1"/>
                <c:pt idx="0">
                  <c:v>real VOLL/25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LS_NL!$P$2:$P$8</c:f>
              <c:numCache>
                <c:formatCode>0</c:formatCode>
                <c:ptCount val="7"/>
                <c:pt idx="0">
                  <c:v>4081.7323076923076</c:v>
                </c:pt>
                <c:pt idx="1">
                  <c:v>3397.68</c:v>
                </c:pt>
                <c:pt idx="2">
                  <c:v>2539.580606060606</c:v>
                </c:pt>
                <c:pt idx="3">
                  <c:v>1708</c:v>
                </c:pt>
                <c:pt idx="4">
                  <c:v>1308.92</c:v>
                </c:pt>
                <c:pt idx="5">
                  <c:v>1217.1600000000001</c:v>
                </c:pt>
                <c:pt idx="6">
                  <c:v>791.4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E-4787-84E5-111B0F04772D}"/>
            </c:ext>
          </c:extLst>
        </c:ser>
        <c:ser>
          <c:idx val="0"/>
          <c:order val="1"/>
          <c:tx>
            <c:strRef>
              <c:f>LS_NL!$Q$13</c:f>
              <c:strCache>
                <c:ptCount val="1"/>
                <c:pt idx="0">
                  <c:v>old VOLL</c:v>
                </c:pt>
              </c:strCache>
            </c:strRef>
          </c:tx>
          <c:xVal>
            <c:numRef>
              <c:f>LS_NL!$P$14:$P$17</c:f>
              <c:numCache>
                <c:formatCode>0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LS_NL!$Q$14:$Q$17</c:f>
              <c:numCache>
                <c:formatCode>General</c:formatCode>
                <c:ptCount val="4"/>
                <c:pt idx="0">
                  <c:v>4000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E-4787-84E5-111B0F047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LS_NL!$R$30</c:f>
              <c:strCache>
                <c:ptCount val="1"/>
                <c:pt idx="0">
                  <c:v>subscribed</c:v>
                </c:pt>
              </c:strCache>
            </c:strRef>
          </c:tx>
          <c:xVal>
            <c:numRef>
              <c:f>LS_NL!$P$29:$P$30</c:f>
              <c:numCache>
                <c:formatCode>0</c:formatCode>
                <c:ptCount val="2"/>
                <c:pt idx="0" formatCode="General">
                  <c:v>0</c:v>
                </c:pt>
                <c:pt idx="1">
                  <c:v>80</c:v>
                </c:pt>
              </c:numCache>
            </c:numRef>
          </c:xVal>
          <c:yVal>
            <c:numRef>
              <c:f>LS_NL!$Q$29:$Q$30</c:f>
              <c:numCache>
                <c:formatCode>General</c:formatCode>
                <c:ptCount val="2"/>
                <c:pt idx="0">
                  <c:v>4000</c:v>
                </c:pt>
                <c:pt idx="1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D-447A-BD2D-74087A970B89}"/>
            </c:ext>
          </c:extLst>
        </c:ser>
        <c:ser>
          <c:idx val="0"/>
          <c:order val="1"/>
          <c:tx>
            <c:strRef>
              <c:f>LS_NL!$R$32</c:f>
              <c:strCache>
                <c:ptCount val="1"/>
                <c:pt idx="0">
                  <c:v>unsubscribed</c:v>
                </c:pt>
              </c:strCache>
            </c:strRef>
          </c:tx>
          <c:marker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LS_NL!$P$31:$P$34</c:f>
              <c:numCache>
                <c:formatCode>0</c:formatCode>
                <c:ptCount val="4"/>
                <c:pt idx="0" formatCode="General">
                  <c:v>80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</c:numCache>
            </c:numRef>
          </c:xVal>
          <c:yVal>
            <c:numRef>
              <c:f>LS_NL!$Q$31:$Q$34</c:f>
              <c:numCache>
                <c:formatCode>General</c:formatCode>
                <c:ptCount val="4"/>
                <c:pt idx="0">
                  <c:v>1500</c:v>
                </c:pt>
                <c:pt idx="1">
                  <c:v>1500</c:v>
                </c:pt>
                <c:pt idx="2">
                  <c:v>500</c:v>
                </c:pt>
                <c:pt idx="3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AD-447A-BD2D-74087A970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LS_NL!$J$1</c:f>
              <c:strCache>
                <c:ptCount val="1"/>
                <c:pt idx="0">
                  <c:v>VOLL simplified</c:v>
                </c:pt>
              </c:strCache>
            </c:strRef>
          </c:tx>
          <c:xVal>
            <c:numRef>
              <c:f>LS_NL!$M$2:$M$8</c:f>
              <c:numCache>
                <c:formatCode>General</c:formatCode>
                <c:ptCount val="7"/>
                <c:pt idx="0">
                  <c:v>13</c:v>
                </c:pt>
                <c:pt idx="1">
                  <c:v>26</c:v>
                </c:pt>
                <c:pt idx="2">
                  <c:v>59</c:v>
                </c:pt>
                <c:pt idx="3">
                  <c:v>68</c:v>
                </c:pt>
                <c:pt idx="4">
                  <c:v>89</c:v>
                </c:pt>
                <c:pt idx="5">
                  <c:v>97</c:v>
                </c:pt>
                <c:pt idx="6">
                  <c:v>100</c:v>
                </c:pt>
              </c:numCache>
            </c:numRef>
          </c:xVal>
          <c:yVal>
            <c:numRef>
              <c:f>LS_NL!$J$2:$J$8</c:f>
              <c:numCache>
                <c:formatCode>0</c:formatCode>
                <c:ptCount val="7"/>
                <c:pt idx="0">
                  <c:v>102043.30769230769</c:v>
                </c:pt>
                <c:pt idx="1">
                  <c:v>84942</c:v>
                </c:pt>
                <c:pt idx="2">
                  <c:v>63489.515151515152</c:v>
                </c:pt>
                <c:pt idx="3">
                  <c:v>42700</c:v>
                </c:pt>
                <c:pt idx="4">
                  <c:v>32723</c:v>
                </c:pt>
                <c:pt idx="5">
                  <c:v>30429</c:v>
                </c:pt>
                <c:pt idx="6">
                  <c:v>19785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C-41A1-8753-800D4595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73295"/>
        <c:axId val="57451375"/>
      </c:scatterChart>
      <c:valAx>
        <c:axId val="4847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Percentage</a:t>
                </a:r>
                <a:r>
                  <a:rPr lang="nl-NL" baseline="0"/>
                  <a:t> load</a:t>
                </a:r>
                <a:endParaRPr lang="nl-N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451375"/>
        <c:crosses val="autoZero"/>
        <c:crossBetween val="midCat"/>
      </c:valAx>
      <c:valAx>
        <c:axId val="57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VOLL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473295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1752600</xdr:colOff>
      <xdr:row>17</xdr:row>
      <xdr:rowOff>80962</xdr:rowOff>
    </xdr:from>
    <xdr:to>
      <xdr:col>5</xdr:col>
      <xdr:colOff>285750</xdr:colOff>
      <xdr:row>31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9957C4-E85B-88D5-B539-E4A96B2DC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434975</xdr:colOff>
      <xdr:row>13</xdr:row>
      <xdr:rowOff>161925</xdr:rowOff>
    </xdr:from>
    <xdr:to>
      <xdr:col>10</xdr:col>
      <xdr:colOff>962026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78E40-E84F-4391-96C1-4E89D1FA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1377950</xdr:colOff>
      <xdr:row>30</xdr:row>
      <xdr:rowOff>44450</xdr:rowOff>
    </xdr:from>
    <xdr:to>
      <xdr:col>13</xdr:col>
      <xdr:colOff>838200</xdr:colOff>
      <xdr:row>43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A800C7-309C-4A80-B887-9F2521861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542925</xdr:colOff>
      <xdr:row>15</xdr:row>
      <xdr:rowOff>28575</xdr:rowOff>
    </xdr:from>
    <xdr:to>
      <xdr:col>26</xdr:col>
      <xdr:colOff>457201</xdr:colOff>
      <xdr:row>28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704713-6937-4E6B-B4BE-A7D0863F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4">
          <cell r="C34">
            <v>45.1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C1" dT="2022-05-12T13:01:42.03" personId="{9E95C7A5-7FDF-48FF-95DD-9C4C7D0F3D8F}" id="{CB92AA55-3A07-470B-9A26-A7FF27D2D2A4}">
    <text>This data cannot be yet changed in Amiris</text>
  </threadedComment>
  <threadedComment ref="B9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4-02-27T17:50:18.29" personId="{9E95C7A5-7FDF-48FF-95DD-9C4C7D0F3D8F}" id="{18927A67-964C-45B5-B27F-BD1FE2FFE04A}">
    <text xml:space="preserve">For AMIRIS
</text>
  </threadedComment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H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81BA12EC-87B6-4F63-88B8-8B70CD12E2EF}">
    <text>must be  at least 1, later change downpayment to</text>
  </threadedComment>
  <threadedComment ref="N1" dT="2022-10-04T18:40:06.76" personId="{9E95C7A5-7FDF-48FF-95DD-9C4C7D0F3D8F}" id="{0D72634B-03FD-454E-9D84-E275C6836F74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7" dT="2023-11-09T16:08:32.41" personId="{9E95C7A5-7FDF-48FF-95DD-9C4C7D0F3D8F}" id="{8E362372-BCF5-4467-AF0F-2B103CBCDCB7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M7" dT="2023-11-09T16:08:32.41" personId="{9E95C7A5-7FDF-48FF-95DD-9C4C7D0F3D8F}" id="{5BA2F6DA-DC7C-4DCC-8D28-9D13E308C53C}">
    <text>Price defined in prices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I7" dT="2023-11-09T16:08:32.41" personId="{9E95C7A5-7FDF-48FF-95DD-9C4C7D0F3D8F}" id="{7B5C1F1F-6E4E-4576-9930-0CFA28794271}">
    <text>Price defined in prices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439FB901-8C7B-48ED-B330-69D5DEF8E398}">
    <text>Price defined in prices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4.bin"/><Relationship Id="rId4" Type="http://schemas.microsoft.com/office/2017/10/relationships/threadedComment" Target="../threadedComments/threadedComment8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Relationship Id="rId5" Type="http://schemas.microsoft.com/office/2017/10/relationships/threadedComment" Target="../threadedComments/threadedComment9.xml"/><Relationship Id="rId4" Type="http://schemas.openxmlformats.org/officeDocument/2006/relationships/comments" Target="../comments9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0.bin"/><Relationship Id="rId4" Type="http://schemas.microsoft.com/office/2017/10/relationships/threadedComment" Target="../threadedComments/threadedComment1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16" activePane="bottomLeft" state="frozen"/>
      <selection pane="bottomLeft" activeCell="B55" sqref="B5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53</v>
      </c>
      <c r="B1" t="s">
        <v>295</v>
      </c>
    </row>
    <row r="2" spans="1:5">
      <c r="A2" s="6" t="s">
        <v>410</v>
      </c>
      <c r="B2" t="s">
        <v>124</v>
      </c>
    </row>
    <row r="3" spans="1:5">
      <c r="A3" s="21" t="s">
        <v>255</v>
      </c>
      <c r="B3" t="s">
        <v>256</v>
      </c>
    </row>
    <row r="4" spans="1:5">
      <c r="A4" s="33" t="s">
        <v>283</v>
      </c>
      <c r="B4" t="s">
        <v>284</v>
      </c>
    </row>
    <row r="6" spans="1:5">
      <c r="A6" s="13"/>
      <c r="B6" s="13" t="s">
        <v>297</v>
      </c>
      <c r="C6" s="13" t="s">
        <v>55</v>
      </c>
      <c r="D6" s="13" t="s">
        <v>239</v>
      </c>
      <c r="E6" s="13" t="s">
        <v>229</v>
      </c>
    </row>
    <row r="7" spans="1:5">
      <c r="A7" s="13" t="s">
        <v>130</v>
      </c>
      <c r="B7" s="13" t="s">
        <v>166</v>
      </c>
      <c r="C7" s="13" t="s">
        <v>253</v>
      </c>
      <c r="D7" s="13"/>
      <c r="E7" s="13"/>
    </row>
    <row r="8" spans="1:5">
      <c r="A8" s="13"/>
      <c r="B8" s="13" t="s">
        <v>131</v>
      </c>
      <c r="C8" s="13" t="s">
        <v>169</v>
      </c>
      <c r="D8" s="13"/>
      <c r="E8" s="13"/>
    </row>
    <row r="9" spans="1:5">
      <c r="B9" s="19" t="s">
        <v>170</v>
      </c>
      <c r="C9" s="13" t="s">
        <v>250</v>
      </c>
      <c r="D9" s="13"/>
      <c r="E9" s="13"/>
    </row>
    <row r="10" spans="1:5">
      <c r="B10" s="13" t="s">
        <v>245</v>
      </c>
      <c r="C10" s="13"/>
      <c r="D10" s="13"/>
      <c r="E10" s="13"/>
    </row>
    <row r="11" spans="1:5">
      <c r="B11" s="13" t="s">
        <v>237</v>
      </c>
      <c r="C11" s="13" t="s">
        <v>238</v>
      </c>
      <c r="D11" s="13"/>
      <c r="E11" s="13"/>
    </row>
    <row r="12" spans="1:5">
      <c r="A12" s="13" t="s">
        <v>56</v>
      </c>
      <c r="B12" s="6" t="s">
        <v>165</v>
      </c>
      <c r="C12" s="13" t="s">
        <v>402</v>
      </c>
      <c r="D12" s="13"/>
      <c r="E12" s="13"/>
    </row>
    <row r="13" spans="1:5">
      <c r="A13" s="13"/>
      <c r="B13" s="6" t="s">
        <v>162</v>
      </c>
      <c r="C13" s="13" t="s">
        <v>402</v>
      </c>
      <c r="D13" s="13"/>
    </row>
    <row r="14" spans="1:5">
      <c r="A14" s="13"/>
      <c r="B14" s="6" t="s">
        <v>163</v>
      </c>
      <c r="C14" s="13" t="s">
        <v>402</v>
      </c>
      <c r="D14" s="13"/>
      <c r="E14" s="13"/>
    </row>
    <row r="15" spans="1:5">
      <c r="A15" s="13"/>
      <c r="B15" s="6" t="s">
        <v>159</v>
      </c>
      <c r="C15" s="13" t="s">
        <v>236</v>
      </c>
      <c r="D15" s="13"/>
      <c r="E15" s="13"/>
    </row>
    <row r="16" spans="1:5">
      <c r="A16" s="13"/>
      <c r="B16" s="6" t="s">
        <v>160</v>
      </c>
      <c r="C16" s="13" t="s">
        <v>228</v>
      </c>
      <c r="D16" s="13"/>
      <c r="E16" s="13"/>
    </row>
    <row r="17" spans="1:5">
      <c r="A17" s="13"/>
      <c r="B17" s="6" t="s">
        <v>161</v>
      </c>
      <c r="C17" s="13" t="s">
        <v>233</v>
      </c>
      <c r="D17" s="13"/>
      <c r="E17" s="13"/>
    </row>
    <row r="18" spans="1:5">
      <c r="A18" s="13"/>
      <c r="B18" s="13" t="s">
        <v>58</v>
      </c>
      <c r="C18" s="13"/>
      <c r="D18" s="13"/>
      <c r="E18" s="13"/>
    </row>
    <row r="19" spans="1:5">
      <c r="A19" s="13"/>
      <c r="B19" s="13" t="s">
        <v>112</v>
      </c>
      <c r="C19" s="13" t="s">
        <v>247</v>
      </c>
      <c r="D19" s="13" t="s">
        <v>226</v>
      </c>
      <c r="E19" s="13"/>
    </row>
    <row r="20" spans="1:5">
      <c r="A20" s="13"/>
      <c r="B20" s="13" t="s">
        <v>51</v>
      </c>
      <c r="C20" s="13"/>
      <c r="D20" s="13" t="s">
        <v>226</v>
      </c>
      <c r="E20" s="13"/>
    </row>
    <row r="21" spans="1:5">
      <c r="A21" s="13"/>
      <c r="B21" s="13" t="s">
        <v>52</v>
      </c>
      <c r="C21" s="13" t="s">
        <v>231</v>
      </c>
      <c r="D21" s="13" t="s">
        <v>226</v>
      </c>
      <c r="E21" s="13"/>
    </row>
    <row r="22" spans="1:5">
      <c r="A22" s="13"/>
      <c r="B22" s="13" t="s">
        <v>110</v>
      </c>
      <c r="C22" s="13" t="s">
        <v>230</v>
      </c>
      <c r="D22" s="13" t="s">
        <v>226</v>
      </c>
      <c r="E22" s="13"/>
    </row>
    <row r="23" spans="1:5">
      <c r="A23" s="13"/>
      <c r="B23" s="13" t="s">
        <v>211</v>
      </c>
      <c r="C23" s="18" t="s">
        <v>232</v>
      </c>
      <c r="D23" s="13" t="s">
        <v>226</v>
      </c>
      <c r="E23" s="13"/>
    </row>
    <row r="24" spans="1:5">
      <c r="A24" s="13"/>
      <c r="B24" s="13" t="s">
        <v>203</v>
      </c>
      <c r="C24" s="13" t="s">
        <v>140</v>
      </c>
      <c r="D24" s="13" t="s">
        <v>226</v>
      </c>
    </row>
    <row r="25" spans="1:5">
      <c r="A25" s="13"/>
      <c r="B25" s="13" t="s">
        <v>204</v>
      </c>
      <c r="C25" s="13" t="s">
        <v>140</v>
      </c>
      <c r="D25" s="13"/>
      <c r="E25" s="13"/>
    </row>
    <row r="26" spans="1:5">
      <c r="A26" s="13"/>
      <c r="B26" s="13" t="s">
        <v>205</v>
      </c>
      <c r="C26" s="13" t="s">
        <v>140</v>
      </c>
      <c r="D26" s="13"/>
      <c r="E26" s="13"/>
    </row>
    <row r="27" spans="1:5" ht="17.100000000000001" customHeight="1">
      <c r="A27" s="13"/>
      <c r="B27" s="13" t="s">
        <v>151</v>
      </c>
      <c r="C27" s="13"/>
      <c r="D27" s="13" t="s">
        <v>251</v>
      </c>
      <c r="E27" s="13"/>
    </row>
    <row r="28" spans="1:5">
      <c r="A28" s="13" t="s">
        <v>235</v>
      </c>
      <c r="B28" s="19" t="s">
        <v>240</v>
      </c>
      <c r="C28" s="13" t="s">
        <v>129</v>
      </c>
      <c r="D28" s="13"/>
      <c r="E28" s="13"/>
    </row>
    <row r="29" spans="1:5">
      <c r="A29" s="13"/>
      <c r="B29" s="13" t="s">
        <v>241</v>
      </c>
      <c r="C29" s="13" t="s">
        <v>248</v>
      </c>
      <c r="D29" s="13" t="s">
        <v>226</v>
      </c>
      <c r="E29" s="13"/>
    </row>
    <row r="30" spans="1:5">
      <c r="A30" s="13"/>
      <c r="B30" s="13" t="s">
        <v>35</v>
      </c>
      <c r="C30" s="13"/>
      <c r="D30" s="13"/>
      <c r="E30" s="13"/>
    </row>
    <row r="31" spans="1:5">
      <c r="A31" s="13"/>
      <c r="B31" s="13" t="s">
        <v>36</v>
      </c>
      <c r="C31" s="13"/>
      <c r="D31" s="13"/>
      <c r="E31" s="13"/>
    </row>
    <row r="32" spans="1:5">
      <c r="A32" s="13" t="s">
        <v>122</v>
      </c>
      <c r="B32" s="13" t="s">
        <v>241</v>
      </c>
      <c r="C32" s="13" t="s">
        <v>248</v>
      </c>
      <c r="D32" s="13" t="s">
        <v>226</v>
      </c>
      <c r="E32" s="13"/>
    </row>
    <row r="33" spans="1:5">
      <c r="A33" s="13" t="s">
        <v>234</v>
      </c>
      <c r="B33" s="13" t="s">
        <v>206</v>
      </c>
      <c r="C33" s="13"/>
      <c r="D33" s="13"/>
      <c r="E33" s="13"/>
    </row>
    <row r="34" spans="1:5">
      <c r="A34" s="13" t="s">
        <v>243</v>
      </c>
      <c r="B34" s="13" t="s">
        <v>202</v>
      </c>
      <c r="C34" s="13" t="s">
        <v>244</v>
      </c>
      <c r="D34" s="13"/>
      <c r="E34" s="13"/>
    </row>
    <row r="35" spans="1:5">
      <c r="A35" s="13"/>
      <c r="B35" s="13" t="s">
        <v>198</v>
      </c>
      <c r="C35" s="13" t="s">
        <v>244</v>
      </c>
      <c r="D35" s="13"/>
      <c r="E35" s="13"/>
    </row>
    <row r="36" spans="1:5">
      <c r="A36" s="13"/>
      <c r="B36" s="13" t="s">
        <v>199</v>
      </c>
      <c r="C36" s="13" t="s">
        <v>244</v>
      </c>
      <c r="D36" s="13"/>
      <c r="E36" s="13"/>
    </row>
    <row r="37" spans="1:5">
      <c r="A37" s="13"/>
      <c r="B37" s="13" t="s">
        <v>200</v>
      </c>
      <c r="C37" s="13" t="s">
        <v>244</v>
      </c>
      <c r="D37" s="13"/>
      <c r="E37" s="13"/>
    </row>
    <row r="38" spans="1:5">
      <c r="A38" s="13"/>
      <c r="B38" s="13" t="s">
        <v>201</v>
      </c>
      <c r="C38" s="13" t="s">
        <v>244</v>
      </c>
      <c r="D38" s="13"/>
      <c r="E38" s="13"/>
    </row>
    <row r="39" spans="1:5">
      <c r="A39" s="13" t="s">
        <v>57</v>
      </c>
      <c r="B39" s="13" t="s">
        <v>11</v>
      </c>
      <c r="C39" s="13"/>
      <c r="D39" s="13" t="s">
        <v>226</v>
      </c>
      <c r="E39" s="13"/>
    </row>
    <row r="40" spans="1:5">
      <c r="A40" s="13"/>
      <c r="B40" s="13" t="s">
        <v>12</v>
      </c>
      <c r="C40" s="13"/>
      <c r="D40" s="13" t="s">
        <v>226</v>
      </c>
      <c r="E40" s="13"/>
    </row>
    <row r="41" spans="1:5">
      <c r="A41" s="13"/>
      <c r="B41" s="13" t="s">
        <v>13</v>
      </c>
      <c r="C41" s="13"/>
      <c r="D41" s="13" t="s">
        <v>226</v>
      </c>
      <c r="E41" s="13"/>
    </row>
    <row r="42" spans="1:5">
      <c r="A42" s="13"/>
      <c r="B42" s="13" t="s">
        <v>14</v>
      </c>
      <c r="C42" s="13"/>
      <c r="D42" s="13" t="s">
        <v>226</v>
      </c>
      <c r="E42" s="13"/>
    </row>
    <row r="43" spans="1:5">
      <c r="A43" s="13"/>
      <c r="B43" s="13" t="s">
        <v>16</v>
      </c>
      <c r="C43" s="13" t="s">
        <v>252</v>
      </c>
      <c r="D43" s="13" t="s">
        <v>226</v>
      </c>
      <c r="E43" s="13"/>
    </row>
    <row r="44" spans="1:5">
      <c r="A44" s="13" t="s">
        <v>54</v>
      </c>
      <c r="B44" s="13" t="s">
        <v>28</v>
      </c>
      <c r="C44" s="13"/>
      <c r="D44" s="13" t="s">
        <v>226</v>
      </c>
      <c r="E44" s="13"/>
    </row>
    <row r="45" spans="1:5">
      <c r="A45" s="13"/>
      <c r="B45" s="13" t="s">
        <v>29</v>
      </c>
      <c r="C45" s="13"/>
      <c r="D45" s="13" t="s">
        <v>226</v>
      </c>
      <c r="E45" s="13"/>
    </row>
    <row r="46" spans="1:5">
      <c r="A46" s="13"/>
      <c r="B46" s="13" t="s">
        <v>30</v>
      </c>
      <c r="C46" s="13"/>
      <c r="D46" s="13" t="s">
        <v>226</v>
      </c>
      <c r="E46" s="13"/>
    </row>
    <row r="47" spans="1:5">
      <c r="A47" s="13"/>
      <c r="B47" s="13" t="s">
        <v>31</v>
      </c>
      <c r="C47" s="13"/>
      <c r="D47" s="13" t="s">
        <v>226</v>
      </c>
      <c r="E47" s="13"/>
    </row>
    <row r="48" spans="1:5">
      <c r="A48" s="13" t="s">
        <v>227</v>
      </c>
      <c r="B48" s="13" t="s">
        <v>221</v>
      </c>
      <c r="C48" s="13"/>
      <c r="D48" s="13" t="s">
        <v>226</v>
      </c>
      <c r="E48" s="13"/>
    </row>
    <row r="49" spans="1:5">
      <c r="A49" s="13"/>
      <c r="B49" s="13" t="s">
        <v>222</v>
      </c>
      <c r="C49" s="13"/>
      <c r="D49" s="13" t="s">
        <v>226</v>
      </c>
      <c r="E49" s="13"/>
    </row>
    <row r="50" spans="1:5">
      <c r="A50" s="13" t="s">
        <v>227</v>
      </c>
      <c r="B50" s="13" t="s">
        <v>246</v>
      </c>
      <c r="C50" s="13" t="s">
        <v>249</v>
      </c>
      <c r="D50" s="13" t="s">
        <v>226</v>
      </c>
      <c r="E50" s="13"/>
    </row>
    <row r="51" spans="1:5">
      <c r="A51" s="13" t="s">
        <v>59</v>
      </c>
      <c r="B51" s="13" t="s">
        <v>27</v>
      </c>
      <c r="C51" s="13" t="s">
        <v>242</v>
      </c>
      <c r="D51" s="13" t="s">
        <v>226</v>
      </c>
      <c r="E51" s="13"/>
    </row>
    <row r="52" spans="1:5">
      <c r="A52" s="13"/>
      <c r="B52" s="13" t="s">
        <v>20</v>
      </c>
      <c r="C52" s="13" t="s">
        <v>242</v>
      </c>
      <c r="D52" s="13" t="s">
        <v>226</v>
      </c>
      <c r="E52" s="13"/>
    </row>
    <row r="53" spans="1:5">
      <c r="A53" s="13"/>
      <c r="B53" s="13" t="s">
        <v>21</v>
      </c>
      <c r="C53" s="13" t="s">
        <v>242</v>
      </c>
      <c r="D53" s="13" t="s">
        <v>226</v>
      </c>
      <c r="E53" s="13"/>
    </row>
    <row r="54" spans="1:5">
      <c r="A54" s="13"/>
      <c r="B54" s="13" t="s">
        <v>22</v>
      </c>
      <c r="C54" s="13" t="s">
        <v>242</v>
      </c>
      <c r="D54" s="13" t="s">
        <v>226</v>
      </c>
      <c r="E54" s="13"/>
    </row>
    <row r="55" spans="1:5">
      <c r="A55" s="13"/>
      <c r="B55" s="13" t="s">
        <v>60</v>
      </c>
      <c r="C55" s="13" t="s">
        <v>242</v>
      </c>
      <c r="D55" s="13" t="s">
        <v>226</v>
      </c>
      <c r="E55" s="13"/>
    </row>
    <row r="56" spans="1:5">
      <c r="A56" t="s">
        <v>298</v>
      </c>
      <c r="C56" s="18" t="s">
        <v>300</v>
      </c>
    </row>
    <row r="57" spans="1:5">
      <c r="A57" t="s">
        <v>299</v>
      </c>
      <c r="C57" s="18" t="s">
        <v>301</v>
      </c>
    </row>
    <row r="62" spans="1:5" ht="18.75">
      <c r="A62" s="12"/>
      <c r="B62" s="12"/>
      <c r="C62" s="12"/>
    </row>
    <row r="63" spans="1:5">
      <c r="A63" s="9"/>
      <c r="B63" s="9"/>
      <c r="C63" s="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="130" zoomScaleNormal="130" workbookViewId="0">
      <selection activeCell="A11" sqref="A11"/>
    </sheetView>
  </sheetViews>
  <sheetFormatPr defaultRowHeight="15"/>
  <cols>
    <col min="1" max="1" width="20.85546875" customWidth="1"/>
  </cols>
  <sheetData>
    <row r="1" spans="1:8">
      <c r="A1" s="13" t="s">
        <v>0</v>
      </c>
      <c r="B1" s="13" t="s">
        <v>43</v>
      </c>
      <c r="C1" s="13" t="s">
        <v>44</v>
      </c>
      <c r="D1" s="13" t="s">
        <v>45</v>
      </c>
      <c r="E1" s="13"/>
      <c r="H1" t="s">
        <v>323</v>
      </c>
    </row>
    <row r="2" spans="1:8">
      <c r="A2" s="13" t="s">
        <v>416</v>
      </c>
      <c r="B2" s="13">
        <v>1.01</v>
      </c>
      <c r="C2" s="13">
        <v>1.05</v>
      </c>
      <c r="D2" s="13">
        <v>0.97</v>
      </c>
      <c r="E2" s="13"/>
      <c r="F2" s="13"/>
      <c r="G2" s="14"/>
    </row>
    <row r="3" spans="1:8">
      <c r="A3" s="13" t="s">
        <v>42</v>
      </c>
      <c r="B3" s="13">
        <v>1.01</v>
      </c>
      <c r="C3" s="13">
        <v>1.02</v>
      </c>
      <c r="D3" s="13">
        <v>1</v>
      </c>
      <c r="E3" s="13"/>
      <c r="F3" s="13"/>
      <c r="G3" s="14"/>
    </row>
    <row r="4" spans="1:8">
      <c r="A4" s="13" t="s">
        <v>415</v>
      </c>
      <c r="B4" s="13">
        <v>1.01</v>
      </c>
      <c r="C4" s="13">
        <v>1.04</v>
      </c>
      <c r="D4" s="13">
        <v>0.96</v>
      </c>
      <c r="E4" s="13"/>
      <c r="F4" s="13"/>
      <c r="G4" s="14"/>
    </row>
    <row r="5" spans="1:8">
      <c r="A5" s="13" t="s">
        <v>38</v>
      </c>
      <c r="B5" s="13">
        <v>1</v>
      </c>
      <c r="C5" s="13">
        <v>1.04</v>
      </c>
      <c r="D5" s="13">
        <v>0.79</v>
      </c>
      <c r="E5" s="13"/>
      <c r="F5" s="13"/>
      <c r="G5" s="14"/>
    </row>
    <row r="6" spans="1:8">
      <c r="A6" s="13" t="s">
        <v>40</v>
      </c>
      <c r="B6" s="13">
        <v>1</v>
      </c>
      <c r="C6" s="13">
        <v>1.02</v>
      </c>
      <c r="D6" s="13">
        <v>0.98</v>
      </c>
      <c r="E6" s="13"/>
      <c r="F6" s="13"/>
      <c r="G6" s="14"/>
    </row>
    <row r="7" spans="1:8">
      <c r="A7" s="13" t="s">
        <v>39</v>
      </c>
      <c r="B7" s="13">
        <v>1.01</v>
      </c>
      <c r="C7" s="13">
        <v>1.06</v>
      </c>
      <c r="D7" s="13">
        <v>0.95</v>
      </c>
      <c r="E7" s="13"/>
      <c r="F7" s="13"/>
      <c r="G7" s="14"/>
    </row>
    <row r="8" spans="1:8">
      <c r="A8" s="13" t="s">
        <v>46</v>
      </c>
      <c r="B8" s="13">
        <v>0</v>
      </c>
      <c r="C8" s="13">
        <v>0</v>
      </c>
      <c r="D8" s="13">
        <v>0</v>
      </c>
      <c r="E8" s="13"/>
      <c r="F8" s="13"/>
      <c r="G8" s="14"/>
    </row>
    <row r="9" spans="1:8">
      <c r="A9" s="13" t="s">
        <v>294</v>
      </c>
      <c r="B9" s="13">
        <v>1.02</v>
      </c>
      <c r="C9" s="13">
        <v>1.03</v>
      </c>
      <c r="D9" s="13">
        <v>0.98</v>
      </c>
      <c r="E9" s="13"/>
      <c r="F9" s="13"/>
      <c r="G9" s="14"/>
    </row>
    <row r="10" spans="1:8">
      <c r="A10" s="13" t="s">
        <v>210</v>
      </c>
      <c r="B10" s="13">
        <v>1.02</v>
      </c>
      <c r="C10" s="13">
        <v>1.03</v>
      </c>
      <c r="D10" s="13">
        <v>0.99</v>
      </c>
      <c r="E10" s="13"/>
      <c r="F10" s="13"/>
      <c r="G10" s="14"/>
    </row>
    <row r="11" spans="1:8">
      <c r="A11" s="13" t="s">
        <v>424</v>
      </c>
      <c r="B11" s="13">
        <v>1.01</v>
      </c>
      <c r="C11" s="13">
        <v>1.05</v>
      </c>
      <c r="D11" s="13">
        <v>0.97</v>
      </c>
      <c r="E11" s="13"/>
      <c r="F11" s="13"/>
      <c r="G11" s="14"/>
    </row>
    <row r="12" spans="1:8">
      <c r="G12" s="14"/>
    </row>
    <row r="13" spans="1:8">
      <c r="A13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34"/>
  <sheetViews>
    <sheetView zoomScale="107" zoomScaleNormal="85" workbookViewId="0">
      <selection activeCell="H6" sqref="H6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3" t="s">
        <v>0</v>
      </c>
      <c r="B1" s="13" t="s">
        <v>132</v>
      </c>
      <c r="C1" s="13" t="s">
        <v>212</v>
      </c>
      <c r="D1" s="13" t="s">
        <v>225</v>
      </c>
    </row>
    <row r="2" spans="1:8">
      <c r="A2" s="13">
        <v>1</v>
      </c>
      <c r="B2" s="13" t="s">
        <v>386</v>
      </c>
      <c r="C2" s="13" t="b">
        <v>1</v>
      </c>
      <c r="D2" s="13">
        <v>300</v>
      </c>
    </row>
    <row r="3" spans="1:8">
      <c r="A3" s="13">
        <v>2</v>
      </c>
      <c r="B3" s="13" t="s">
        <v>385</v>
      </c>
      <c r="C3" s="13" t="b">
        <v>1</v>
      </c>
      <c r="D3" s="13">
        <v>500</v>
      </c>
    </row>
    <row r="4" spans="1:8">
      <c r="A4" s="13">
        <v>3</v>
      </c>
      <c r="B4" s="13" t="s">
        <v>497</v>
      </c>
      <c r="C4" s="13" t="b">
        <v>1</v>
      </c>
      <c r="D4" s="13">
        <v>400</v>
      </c>
    </row>
    <row r="5" spans="1:8">
      <c r="A5" s="13">
        <v>4</v>
      </c>
      <c r="B5" s="13" t="s">
        <v>382</v>
      </c>
      <c r="C5" s="13" t="b">
        <v>1</v>
      </c>
      <c r="D5" s="13">
        <v>300</v>
      </c>
    </row>
    <row r="6" spans="1:8">
      <c r="A6" s="13">
        <v>5</v>
      </c>
      <c r="B6" s="13" t="s">
        <v>384</v>
      </c>
      <c r="C6" s="13" t="b">
        <v>1</v>
      </c>
      <c r="D6" s="13">
        <v>500</v>
      </c>
    </row>
    <row r="7" spans="1:8">
      <c r="A7" s="13">
        <v>6</v>
      </c>
      <c r="B7" s="13" t="s">
        <v>381</v>
      </c>
      <c r="C7" s="13" t="b">
        <v>1</v>
      </c>
      <c r="D7" s="13">
        <v>300</v>
      </c>
    </row>
    <row r="8" spans="1:8">
      <c r="A8" s="13">
        <v>7</v>
      </c>
      <c r="B8" s="13" t="s">
        <v>449</v>
      </c>
      <c r="C8" s="13" t="b">
        <v>1</v>
      </c>
      <c r="D8" s="13">
        <v>400</v>
      </c>
    </row>
    <row r="9" spans="1:8">
      <c r="A9" s="13">
        <v>8</v>
      </c>
      <c r="B9" s="13" t="s">
        <v>498</v>
      </c>
      <c r="C9" s="13" t="b">
        <v>1</v>
      </c>
      <c r="D9" s="13">
        <v>300</v>
      </c>
    </row>
    <row r="10" spans="1:8">
      <c r="A10" s="13"/>
      <c r="B10" s="13"/>
      <c r="C10" s="13"/>
      <c r="D10" s="13"/>
    </row>
    <row r="14" spans="1:8">
      <c r="H14" t="s">
        <v>409</v>
      </c>
    </row>
    <row r="17" spans="1:10">
      <c r="G17" s="13">
        <v>9</v>
      </c>
      <c r="H17" s="13" t="s">
        <v>383</v>
      </c>
      <c r="I17" s="13" t="b">
        <v>1</v>
      </c>
      <c r="J17" s="13">
        <v>300</v>
      </c>
    </row>
    <row r="18" spans="1:10">
      <c r="G18" s="13">
        <v>10</v>
      </c>
      <c r="H18" s="13" t="s">
        <v>67</v>
      </c>
      <c r="I18" s="13" t="b">
        <v>1</v>
      </c>
      <c r="J18" s="13">
        <v>300</v>
      </c>
    </row>
    <row r="19" spans="1:10">
      <c r="G19" s="13">
        <v>11</v>
      </c>
      <c r="H19" s="13" t="s">
        <v>154</v>
      </c>
      <c r="I19" s="13" t="b">
        <v>1</v>
      </c>
      <c r="J19" s="13">
        <v>100</v>
      </c>
    </row>
    <row r="20" spans="1:10">
      <c r="G20" s="13">
        <v>12</v>
      </c>
      <c r="H20" s="13" t="s">
        <v>388</v>
      </c>
      <c r="I20" s="13" t="b">
        <v>1</v>
      </c>
      <c r="J20" s="13">
        <v>300</v>
      </c>
    </row>
    <row r="21" spans="1:10">
      <c r="G21" s="13">
        <v>13</v>
      </c>
      <c r="H21" s="13" t="s">
        <v>389</v>
      </c>
      <c r="I21" s="13" t="b">
        <v>1</v>
      </c>
      <c r="J21" s="13">
        <v>500</v>
      </c>
    </row>
    <row r="22" spans="1:10">
      <c r="G22" s="13">
        <v>14</v>
      </c>
      <c r="H22" s="13" t="s">
        <v>41</v>
      </c>
      <c r="I22" s="13" t="b">
        <v>1</v>
      </c>
      <c r="J22" s="13">
        <v>1000</v>
      </c>
    </row>
    <row r="24" spans="1:10">
      <c r="A24" s="9"/>
    </row>
    <row r="25" spans="1:10">
      <c r="A25" s="9"/>
    </row>
    <row r="26" spans="1:10">
      <c r="A26" s="9"/>
    </row>
    <row r="27" spans="1:10">
      <c r="A27" s="9"/>
    </row>
    <row r="28" spans="1:10">
      <c r="A28" s="9"/>
    </row>
    <row r="29" spans="1:10">
      <c r="A29" s="9"/>
    </row>
    <row r="31" spans="1:10">
      <c r="A31" s="9"/>
    </row>
    <row r="32" spans="1:10">
      <c r="A32" s="9"/>
    </row>
    <row r="33" spans="1:1">
      <c r="A33" s="9"/>
    </row>
    <row r="34" spans="1:1">
      <c r="A34" s="9"/>
    </row>
  </sheetData>
  <autoFilter ref="A1:D1" xr:uid="{B03F92CA-EB79-4199-B86B-E56E9A0E41B1}">
    <sortState xmlns:xlrd2="http://schemas.microsoft.com/office/spreadsheetml/2017/richdata2" ref="A2:D9">
      <sortCondition ref="A1"/>
    </sortState>
  </autoFilter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AN2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5"/>
  <cols>
    <col min="1" max="1" width="28.85546875" customWidth="1"/>
    <col min="2" max="2" width="25.85546875" customWidth="1"/>
    <col min="3" max="4" width="12" customWidth="1"/>
    <col min="5" max="5" width="15.140625" customWidth="1"/>
    <col min="6" max="7" width="9" customWidth="1"/>
    <col min="8" max="8" width="15.140625" customWidth="1"/>
    <col min="9" max="14" width="14" customWidth="1"/>
    <col min="15" max="17" width="33.85546875" customWidth="1"/>
    <col min="18" max="18" width="18.42578125" customWidth="1"/>
    <col min="19" max="19" width="15.140625" customWidth="1"/>
    <col min="20" max="20" width="6.42578125" customWidth="1"/>
    <col min="21" max="21" width="15.140625" customWidth="1"/>
    <col min="22" max="22" width="11.140625" customWidth="1"/>
    <col min="23" max="23" width="15.140625" customWidth="1"/>
    <col min="24" max="26" width="10.140625" customWidth="1"/>
    <col min="27" max="29" width="8.42578125" customWidth="1"/>
    <col min="33" max="33" width="11.140625" customWidth="1"/>
    <col min="34" max="34" width="19.28515625" customWidth="1"/>
  </cols>
  <sheetData>
    <row r="1" spans="1:40" ht="55.5" customHeight="1">
      <c r="A1" s="38" t="s">
        <v>123</v>
      </c>
      <c r="B1" s="38" t="s">
        <v>149</v>
      </c>
      <c r="C1" s="55" t="s">
        <v>51</v>
      </c>
      <c r="D1" s="55" t="s">
        <v>52</v>
      </c>
      <c r="E1" s="55" t="s">
        <v>108</v>
      </c>
      <c r="F1" s="55" t="s">
        <v>316</v>
      </c>
      <c r="G1" s="56" t="s">
        <v>479</v>
      </c>
      <c r="H1" s="38" t="s">
        <v>127</v>
      </c>
      <c r="I1" s="38" t="s">
        <v>391</v>
      </c>
      <c r="M1" s="55" t="s">
        <v>51</v>
      </c>
      <c r="N1" s="55" t="s">
        <v>52</v>
      </c>
      <c r="O1" s="55" t="s">
        <v>316</v>
      </c>
      <c r="P1" t="s">
        <v>393</v>
      </c>
      <c r="Q1" t="s">
        <v>211</v>
      </c>
      <c r="R1" s="5" t="s">
        <v>109</v>
      </c>
      <c r="S1" s="5" t="s">
        <v>110</v>
      </c>
      <c r="T1" s="5" t="s">
        <v>111</v>
      </c>
      <c r="U1" t="s">
        <v>121</v>
      </c>
      <c r="V1" t="s">
        <v>217</v>
      </c>
      <c r="W1" s="2" t="s">
        <v>128</v>
      </c>
      <c r="X1" t="s">
        <v>113</v>
      </c>
      <c r="Y1" s="2" t="s">
        <v>115</v>
      </c>
      <c r="Z1" s="2" t="s">
        <v>115</v>
      </c>
      <c r="AA1" t="s">
        <v>61</v>
      </c>
      <c r="AB1" t="s">
        <v>62</v>
      </c>
      <c r="AC1" t="s">
        <v>47</v>
      </c>
      <c r="AD1" t="s">
        <v>48</v>
      </c>
      <c r="AE1" t="s">
        <v>49</v>
      </c>
      <c r="AF1" t="s">
        <v>50</v>
      </c>
      <c r="AH1" s="9" t="s">
        <v>350</v>
      </c>
      <c r="AI1" s="9"/>
    </row>
    <row r="2" spans="1:40">
      <c r="A2" s="13" t="s">
        <v>449</v>
      </c>
      <c r="B2" s="13" t="s">
        <v>119</v>
      </c>
      <c r="C2" s="13">
        <v>2</v>
      </c>
      <c r="D2" s="13">
        <v>2</v>
      </c>
      <c r="E2" s="13" t="b">
        <v>0</v>
      </c>
      <c r="F2" s="13">
        <v>6</v>
      </c>
      <c r="G2" s="65">
        <v>1</v>
      </c>
      <c r="H2" s="13" t="s">
        <v>103</v>
      </c>
      <c r="I2" s="63">
        <v>0.08</v>
      </c>
      <c r="K2" s="13">
        <v>6</v>
      </c>
      <c r="L2" s="65">
        <v>0.92</v>
      </c>
      <c r="M2" s="13">
        <v>2</v>
      </c>
      <c r="N2" s="13">
        <v>2</v>
      </c>
      <c r="O2" s="13">
        <v>5</v>
      </c>
      <c r="P2" s="64" t="s">
        <v>451</v>
      </c>
      <c r="Q2" s="64">
        <v>0.92</v>
      </c>
      <c r="R2" s="9" t="b">
        <v>1</v>
      </c>
      <c r="S2" s="9">
        <v>1</v>
      </c>
      <c r="T2" s="9">
        <v>1</v>
      </c>
      <c r="U2">
        <f>D2+C2</f>
        <v>4</v>
      </c>
      <c r="V2" s="9">
        <f>IF(R2&lt;&gt;"",1,0)</f>
        <v>1</v>
      </c>
      <c r="W2" s="9" t="s">
        <v>125</v>
      </c>
      <c r="X2" s="27" t="s">
        <v>117</v>
      </c>
      <c r="Y2" s="9">
        <v>600</v>
      </c>
      <c r="Z2" s="9"/>
      <c r="AA2" s="9" t="s">
        <v>73</v>
      </c>
      <c r="AB2" s="9" t="s">
        <v>74</v>
      </c>
      <c r="AC2" s="9">
        <v>0</v>
      </c>
      <c r="AD2" s="9">
        <v>1.5</v>
      </c>
      <c r="AE2" s="9">
        <v>33.9</v>
      </c>
      <c r="AF2" s="9">
        <v>0</v>
      </c>
      <c r="AG2" s="9"/>
      <c r="AH2" s="9"/>
      <c r="AI2" s="9"/>
      <c r="AJ2" s="9"/>
      <c r="AK2" s="9"/>
      <c r="AL2" s="9"/>
      <c r="AM2" s="9"/>
      <c r="AN2" s="9"/>
    </row>
    <row r="3" spans="1:40" s="9" customFormat="1">
      <c r="A3" s="13" t="s">
        <v>497</v>
      </c>
      <c r="B3" s="13" t="s">
        <v>119</v>
      </c>
      <c r="C3" s="13">
        <v>2</v>
      </c>
      <c r="D3" s="13">
        <v>2</v>
      </c>
      <c r="E3" s="13" t="b">
        <v>0</v>
      </c>
      <c r="F3" s="13">
        <v>6</v>
      </c>
      <c r="G3" s="65">
        <v>1</v>
      </c>
      <c r="H3" s="13" t="s">
        <v>103</v>
      </c>
      <c r="I3" s="63">
        <v>0.08</v>
      </c>
      <c r="J3"/>
      <c r="K3" s="13">
        <v>6</v>
      </c>
      <c r="L3" s="65">
        <v>0.92</v>
      </c>
      <c r="M3" s="13">
        <v>2</v>
      </c>
      <c r="N3" s="13">
        <v>2</v>
      </c>
      <c r="O3" s="13">
        <v>3</v>
      </c>
      <c r="P3" s="64" t="s">
        <v>67</v>
      </c>
      <c r="Q3" s="64">
        <v>0.91</v>
      </c>
      <c r="R3" s="9" t="b">
        <v>1</v>
      </c>
      <c r="S3" s="9">
        <v>1</v>
      </c>
      <c r="T3" s="9">
        <v>1</v>
      </c>
      <c r="U3">
        <f>D3+C3</f>
        <v>4</v>
      </c>
      <c r="V3" s="9">
        <f>IF(R3&lt;&gt;"",1,0)</f>
        <v>1</v>
      </c>
      <c r="W3" s="9" t="s">
        <v>125</v>
      </c>
      <c r="X3" s="27" t="s">
        <v>116</v>
      </c>
      <c r="Y3" s="9">
        <v>500</v>
      </c>
      <c r="AA3" s="9" t="s">
        <v>71</v>
      </c>
      <c r="AB3" s="9" t="s">
        <v>72</v>
      </c>
      <c r="AC3" s="9">
        <v>0</v>
      </c>
      <c r="AD3" s="9">
        <v>0</v>
      </c>
      <c r="AE3" s="9">
        <v>6.3</v>
      </c>
      <c r="AF3" s="9">
        <v>0</v>
      </c>
      <c r="AG3"/>
      <c r="AJ3"/>
    </row>
    <row r="4" spans="1:40" s="9" customFormat="1">
      <c r="A4" s="13" t="s">
        <v>381</v>
      </c>
      <c r="B4" s="13" t="s">
        <v>119</v>
      </c>
      <c r="C4" s="13">
        <v>1</v>
      </c>
      <c r="D4" s="13">
        <v>3</v>
      </c>
      <c r="E4" s="13" t="b">
        <v>0</v>
      </c>
      <c r="F4" s="13">
        <v>6</v>
      </c>
      <c r="G4" s="65">
        <v>1</v>
      </c>
      <c r="H4" s="13" t="s">
        <v>101</v>
      </c>
      <c r="I4" s="63">
        <v>0.05</v>
      </c>
      <c r="J4"/>
      <c r="K4" s="13">
        <v>6</v>
      </c>
      <c r="L4" s="65">
        <v>0.93</v>
      </c>
      <c r="M4" s="13">
        <v>1</v>
      </c>
      <c r="N4" s="13">
        <v>3</v>
      </c>
      <c r="O4" s="13">
        <v>5</v>
      </c>
      <c r="P4" s="64"/>
      <c r="Q4" s="64">
        <v>0.93</v>
      </c>
      <c r="R4" s="9" t="b">
        <v>1</v>
      </c>
      <c r="S4" s="9">
        <v>1</v>
      </c>
      <c r="T4" s="9">
        <v>1</v>
      </c>
      <c r="U4" s="9">
        <f>D4+C4</f>
        <v>4</v>
      </c>
      <c r="V4" s="9">
        <f t="shared" ref="V4" si="0">IF(R4&lt;&gt;"",1,0)</f>
        <v>1</v>
      </c>
      <c r="X4" s="9" t="s">
        <v>114</v>
      </c>
      <c r="Y4" s="9">
        <v>500</v>
      </c>
      <c r="Z4" s="9">
        <v>500</v>
      </c>
      <c r="AA4" s="9" t="s">
        <v>63</v>
      </c>
      <c r="AB4" s="9" t="s">
        <v>64</v>
      </c>
      <c r="AC4" s="9">
        <v>0</v>
      </c>
      <c r="AD4" s="9">
        <v>2.2999999999999998</v>
      </c>
      <c r="AE4" s="9">
        <v>69.542579720367115</v>
      </c>
      <c r="AF4" s="9">
        <v>0</v>
      </c>
    </row>
    <row r="5" spans="1:40">
      <c r="A5" s="13" t="s">
        <v>498</v>
      </c>
      <c r="B5" s="13" t="s">
        <v>146</v>
      </c>
      <c r="C5" s="57">
        <v>0</v>
      </c>
      <c r="D5" s="13">
        <v>1</v>
      </c>
      <c r="E5" s="13" t="b">
        <v>0</v>
      </c>
      <c r="F5" s="18">
        <v>1</v>
      </c>
      <c r="G5" s="65">
        <v>0</v>
      </c>
      <c r="H5" s="13"/>
      <c r="I5" s="63">
        <v>0.05</v>
      </c>
      <c r="K5" s="18">
        <v>1</v>
      </c>
      <c r="L5" s="65">
        <v>0.25</v>
      </c>
    </row>
    <row r="6" spans="1:40" s="9" customFormat="1">
      <c r="A6" s="13" t="s">
        <v>386</v>
      </c>
      <c r="B6" s="13" t="s">
        <v>146</v>
      </c>
      <c r="C6" s="57">
        <v>0</v>
      </c>
      <c r="D6" s="13">
        <v>1</v>
      </c>
      <c r="E6" s="13" t="b">
        <v>0</v>
      </c>
      <c r="F6" s="13">
        <v>1</v>
      </c>
      <c r="G6" s="65">
        <v>0</v>
      </c>
      <c r="H6" s="13"/>
      <c r="I6" s="63">
        <v>0.05</v>
      </c>
      <c r="J6"/>
      <c r="K6" s="13">
        <v>1</v>
      </c>
      <c r="L6" s="65">
        <v>0.16</v>
      </c>
      <c r="M6" s="57">
        <v>0</v>
      </c>
      <c r="N6" s="57">
        <v>1</v>
      </c>
      <c r="O6" s="13">
        <v>0</v>
      </c>
      <c r="P6" s="65">
        <v>0.79</v>
      </c>
      <c r="Q6" s="67">
        <v>0.56000000000000005</v>
      </c>
      <c r="R6"/>
      <c r="S6"/>
      <c r="T6"/>
      <c r="U6">
        <f t="shared" ref="U6:U7" si="1">D6+C6</f>
        <v>1</v>
      </c>
      <c r="V6"/>
      <c r="W6"/>
      <c r="X6"/>
      <c r="Y6"/>
      <c r="Z6"/>
      <c r="AA6"/>
      <c r="AB6"/>
      <c r="AC6"/>
      <c r="AD6"/>
      <c r="AE6"/>
      <c r="AF6"/>
      <c r="AG6"/>
      <c r="AJ6"/>
    </row>
    <row r="7" spans="1:40">
      <c r="A7" s="13" t="s">
        <v>41</v>
      </c>
      <c r="B7" s="13" t="s">
        <v>119</v>
      </c>
      <c r="C7" s="13">
        <v>2</v>
      </c>
      <c r="D7" s="13">
        <v>5</v>
      </c>
      <c r="E7" s="13" t="b">
        <v>0</v>
      </c>
      <c r="F7" s="13">
        <v>20</v>
      </c>
      <c r="G7" s="65">
        <v>1</v>
      </c>
      <c r="H7" s="13" t="s">
        <v>106</v>
      </c>
      <c r="I7" s="63">
        <v>0.08</v>
      </c>
      <c r="K7" s="13">
        <v>20</v>
      </c>
      <c r="L7" s="65">
        <v>0.8</v>
      </c>
      <c r="M7" s="13">
        <v>2</v>
      </c>
      <c r="N7" s="13">
        <v>5</v>
      </c>
      <c r="O7" s="13">
        <v>10</v>
      </c>
      <c r="P7" s="64"/>
      <c r="Q7" s="64">
        <v>0.8</v>
      </c>
      <c r="U7">
        <f t="shared" si="1"/>
        <v>7</v>
      </c>
      <c r="AH7" s="9"/>
      <c r="AI7" s="9"/>
    </row>
    <row r="8" spans="1:40">
      <c r="A8" s="13" t="s">
        <v>382</v>
      </c>
      <c r="B8" s="13" t="s">
        <v>120</v>
      </c>
      <c r="C8" s="13">
        <v>1</v>
      </c>
      <c r="D8" s="13">
        <v>1</v>
      </c>
      <c r="E8" s="13" t="b">
        <v>1</v>
      </c>
      <c r="F8" s="13">
        <v>3</v>
      </c>
      <c r="G8" s="65">
        <v>0</v>
      </c>
      <c r="H8" s="13"/>
      <c r="I8" s="63">
        <v>0.05</v>
      </c>
      <c r="K8" s="13">
        <v>3</v>
      </c>
      <c r="L8" s="65">
        <v>0</v>
      </c>
      <c r="M8" s="13">
        <v>1</v>
      </c>
      <c r="N8" s="13">
        <v>1</v>
      </c>
      <c r="O8" s="13">
        <v>1</v>
      </c>
      <c r="P8" s="64"/>
      <c r="Q8" s="64">
        <v>0.01</v>
      </c>
      <c r="U8" t="e">
        <f>#REF!+#REF!</f>
        <v>#REF!</v>
      </c>
      <c r="V8">
        <f>IF(R8&lt;&gt;"",1,0)</f>
        <v>0</v>
      </c>
      <c r="W8" t="s">
        <v>126</v>
      </c>
      <c r="AA8" t="s">
        <v>66</v>
      </c>
      <c r="AB8" t="s">
        <v>68</v>
      </c>
      <c r="AC8">
        <v>8.52</v>
      </c>
      <c r="AD8">
        <v>6.11</v>
      </c>
      <c r="AE8">
        <v>32</v>
      </c>
      <c r="AF8">
        <v>14</v>
      </c>
    </row>
    <row r="9" spans="1:40">
      <c r="A9" s="13" t="s">
        <v>383</v>
      </c>
      <c r="B9" s="13" t="s">
        <v>120</v>
      </c>
      <c r="C9" s="13">
        <v>1</v>
      </c>
      <c r="D9" s="13">
        <v>1</v>
      </c>
      <c r="E9" s="13" t="b">
        <v>1</v>
      </c>
      <c r="F9" s="13">
        <v>3</v>
      </c>
      <c r="G9" s="65">
        <v>0</v>
      </c>
      <c r="H9" s="13"/>
      <c r="I9" s="63">
        <v>0.05</v>
      </c>
      <c r="K9" s="13">
        <v>3</v>
      </c>
      <c r="L9" s="65">
        <v>0</v>
      </c>
      <c r="M9" s="13">
        <v>1</v>
      </c>
      <c r="N9" s="13">
        <v>1</v>
      </c>
      <c r="O9" s="13">
        <v>1</v>
      </c>
      <c r="P9" s="64"/>
      <c r="Q9" s="64">
        <v>0.01</v>
      </c>
    </row>
    <row r="10" spans="1:40">
      <c r="A10" s="13" t="s">
        <v>385</v>
      </c>
      <c r="B10" s="13" t="s">
        <v>120</v>
      </c>
      <c r="C10" s="13">
        <v>1</v>
      </c>
      <c r="D10" s="13">
        <v>2</v>
      </c>
      <c r="E10" s="13" t="b">
        <v>1</v>
      </c>
      <c r="F10" s="13">
        <v>5</v>
      </c>
      <c r="G10" s="65">
        <v>0</v>
      </c>
      <c r="H10" s="13"/>
      <c r="I10" s="63">
        <v>0.05</v>
      </c>
      <c r="K10" s="13">
        <v>5</v>
      </c>
      <c r="L10" s="65">
        <v>0.06</v>
      </c>
      <c r="M10" s="13">
        <v>1</v>
      </c>
      <c r="N10" s="13">
        <v>2</v>
      </c>
      <c r="O10" s="13">
        <v>3</v>
      </c>
      <c r="P10" s="64"/>
      <c r="Q10" s="64">
        <v>0.13</v>
      </c>
    </row>
    <row r="11" spans="1:40">
      <c r="A11" s="13" t="s">
        <v>384</v>
      </c>
      <c r="B11" s="13" t="s">
        <v>120</v>
      </c>
      <c r="C11" s="13">
        <v>1</v>
      </c>
      <c r="D11" s="13">
        <v>2</v>
      </c>
      <c r="E11" s="13" t="b">
        <v>1</v>
      </c>
      <c r="F11" s="13">
        <v>4</v>
      </c>
      <c r="G11" s="65">
        <v>0</v>
      </c>
      <c r="H11" s="13"/>
      <c r="I11" s="63">
        <v>0.05</v>
      </c>
      <c r="K11" s="13">
        <v>4</v>
      </c>
      <c r="L11" s="65">
        <v>0.12</v>
      </c>
      <c r="M11" s="13">
        <v>1</v>
      </c>
      <c r="N11" s="13">
        <v>2</v>
      </c>
      <c r="O11" s="13">
        <v>2</v>
      </c>
      <c r="P11" s="64"/>
      <c r="Q11" s="64">
        <v>0.09</v>
      </c>
    </row>
    <row r="12" spans="1:40">
      <c r="A12" s="13" t="s">
        <v>293</v>
      </c>
      <c r="B12" s="13" t="s">
        <v>119</v>
      </c>
      <c r="C12" s="13">
        <v>0</v>
      </c>
      <c r="D12" s="13">
        <v>0</v>
      </c>
      <c r="E12" s="13" t="b">
        <v>0</v>
      </c>
      <c r="F12" s="13">
        <v>0</v>
      </c>
      <c r="G12" s="65">
        <v>0</v>
      </c>
      <c r="H12" s="13"/>
      <c r="I12" s="63">
        <v>7.0000000000000007E-2</v>
      </c>
      <c r="J12" s="64"/>
      <c r="K12" s="13">
        <v>0</v>
      </c>
      <c r="L12" s="65">
        <v>0</v>
      </c>
      <c r="M12" s="13">
        <v>0</v>
      </c>
      <c r="N12" s="13">
        <v>0</v>
      </c>
      <c r="O12" s="13">
        <v>0</v>
      </c>
      <c r="P12" s="64"/>
      <c r="Q12" s="64">
        <v>0</v>
      </c>
    </row>
    <row r="13" spans="1:40">
      <c r="A13" s="13" t="s">
        <v>425</v>
      </c>
      <c r="B13" s="13" t="s">
        <v>119</v>
      </c>
      <c r="C13" s="13">
        <v>0</v>
      </c>
      <c r="D13" s="13">
        <v>0</v>
      </c>
      <c r="E13" s="13" t="b">
        <v>0</v>
      </c>
      <c r="F13" s="13">
        <v>0</v>
      </c>
      <c r="G13" s="65">
        <v>0</v>
      </c>
      <c r="H13" s="13" t="s">
        <v>105</v>
      </c>
      <c r="I13" s="63">
        <v>7.0000000000000007E-2</v>
      </c>
      <c r="J13" s="64"/>
      <c r="K13" s="13">
        <v>0</v>
      </c>
      <c r="L13" s="65">
        <v>0</v>
      </c>
      <c r="M13" s="13">
        <v>0</v>
      </c>
      <c r="N13" s="13">
        <v>0</v>
      </c>
      <c r="O13" s="13">
        <v>0</v>
      </c>
      <c r="P13" t="s">
        <v>426</v>
      </c>
      <c r="Q13">
        <v>0</v>
      </c>
      <c r="R13" s="9"/>
      <c r="S13" s="9"/>
      <c r="T13" s="9"/>
    </row>
    <row r="14" spans="1:40">
      <c r="A14" s="13" t="s">
        <v>67</v>
      </c>
      <c r="B14" s="13" t="s">
        <v>119</v>
      </c>
      <c r="C14" s="13">
        <v>1</v>
      </c>
      <c r="D14" s="13">
        <v>2</v>
      </c>
      <c r="E14" s="13" t="b">
        <v>0</v>
      </c>
      <c r="F14" s="13">
        <v>5</v>
      </c>
      <c r="G14" s="65">
        <v>0.92</v>
      </c>
      <c r="H14" s="13" t="s">
        <v>105</v>
      </c>
      <c r="I14" s="13">
        <v>7.0000000000000007E-2</v>
      </c>
      <c r="K14" s="13">
        <v>5</v>
      </c>
      <c r="L14" s="65">
        <v>0.92</v>
      </c>
      <c r="M14" s="13">
        <v>1</v>
      </c>
      <c r="N14" s="13">
        <v>2</v>
      </c>
      <c r="O14" s="13">
        <v>5</v>
      </c>
      <c r="P14" s="64"/>
      <c r="Q14" s="64">
        <v>0.92</v>
      </c>
      <c r="R14" s="9" t="b">
        <v>1</v>
      </c>
      <c r="S14" s="9">
        <v>1</v>
      </c>
      <c r="T14" s="9">
        <v>1</v>
      </c>
      <c r="U14">
        <f t="shared" ref="U14:U23" si="2">D14+C14</f>
        <v>3</v>
      </c>
      <c r="V14" s="9">
        <f t="shared" ref="V14:V19" si="3">IF(R14&lt;&gt;"",1,0)</f>
        <v>1</v>
      </c>
      <c r="W14" s="9"/>
      <c r="X14" s="9" t="s">
        <v>67</v>
      </c>
      <c r="Y14" s="9">
        <v>775</v>
      </c>
      <c r="Z14" s="9">
        <v>775</v>
      </c>
      <c r="AA14" s="9" t="s">
        <v>66</v>
      </c>
      <c r="AB14" s="9" t="s">
        <v>67</v>
      </c>
      <c r="AC14" s="9">
        <v>56.8</v>
      </c>
      <c r="AD14" s="9">
        <v>1.5</v>
      </c>
      <c r="AE14" s="9">
        <v>10.473234339905167</v>
      </c>
      <c r="AF14" s="9">
        <v>0</v>
      </c>
      <c r="AG14" s="9"/>
      <c r="AH14" s="9"/>
      <c r="AI14" s="9"/>
      <c r="AJ14" s="9"/>
    </row>
    <row r="15" spans="1:40">
      <c r="A15" s="62" t="s">
        <v>423</v>
      </c>
      <c r="B15" s="13" t="s">
        <v>119</v>
      </c>
      <c r="C15" s="13">
        <v>1</v>
      </c>
      <c r="D15" s="13">
        <v>2</v>
      </c>
      <c r="E15" s="13" t="b">
        <v>0</v>
      </c>
      <c r="F15" s="13">
        <v>5</v>
      </c>
      <c r="G15" s="65">
        <v>0.9</v>
      </c>
      <c r="H15" s="13" t="s">
        <v>105</v>
      </c>
      <c r="I15" s="13">
        <v>7.0000000000000007E-2</v>
      </c>
      <c r="K15" s="13">
        <v>5</v>
      </c>
      <c r="L15" s="65">
        <v>0.9</v>
      </c>
      <c r="M15" s="13">
        <v>1</v>
      </c>
      <c r="N15" s="13">
        <v>2</v>
      </c>
      <c r="O15" s="13">
        <v>5</v>
      </c>
      <c r="P15" s="64"/>
      <c r="Q15" s="64">
        <v>0.9</v>
      </c>
      <c r="R15" s="9" t="b">
        <v>1</v>
      </c>
      <c r="S15" s="9">
        <v>1</v>
      </c>
      <c r="T15" s="9">
        <v>1</v>
      </c>
      <c r="U15">
        <f t="shared" si="2"/>
        <v>3</v>
      </c>
      <c r="V15" s="9">
        <f t="shared" si="3"/>
        <v>1</v>
      </c>
      <c r="W15" s="9"/>
      <c r="X15" s="9"/>
      <c r="Y15" s="9"/>
      <c r="Z15" s="9"/>
      <c r="AA15" s="9"/>
      <c r="AB15" s="9"/>
      <c r="AC15" s="9"/>
      <c r="AD15" s="9"/>
      <c r="AE15" s="9"/>
      <c r="AF15" s="9"/>
      <c r="AH15" s="9"/>
      <c r="AI15" s="9"/>
    </row>
    <row r="16" spans="1:40">
      <c r="A16" s="13" t="s">
        <v>420</v>
      </c>
      <c r="B16" s="13" t="s">
        <v>119</v>
      </c>
      <c r="C16" s="13">
        <v>1</v>
      </c>
      <c r="D16" s="13">
        <v>4</v>
      </c>
      <c r="E16" s="13" t="b">
        <v>0</v>
      </c>
      <c r="F16" s="13">
        <v>10</v>
      </c>
      <c r="G16" s="65">
        <v>0.9</v>
      </c>
      <c r="H16" s="13" t="s">
        <v>102</v>
      </c>
      <c r="I16" s="13">
        <v>7.0000000000000007E-2</v>
      </c>
      <c r="K16" s="13">
        <v>10</v>
      </c>
      <c r="L16" s="65">
        <v>0.9</v>
      </c>
      <c r="M16" s="13">
        <v>1</v>
      </c>
      <c r="N16" s="13">
        <v>4</v>
      </c>
      <c r="O16" s="13">
        <v>5</v>
      </c>
      <c r="P16" s="64"/>
      <c r="Q16" s="64">
        <v>0.9</v>
      </c>
      <c r="R16" s="28" t="b">
        <v>0</v>
      </c>
      <c r="S16" s="28">
        <v>1</v>
      </c>
      <c r="T16" s="28">
        <v>1</v>
      </c>
      <c r="U16">
        <f t="shared" si="2"/>
        <v>5</v>
      </c>
      <c r="V16" s="9">
        <f t="shared" si="3"/>
        <v>1</v>
      </c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40">
      <c r="A17" s="13" t="s">
        <v>417</v>
      </c>
      <c r="B17" s="13" t="s">
        <v>120</v>
      </c>
      <c r="C17" s="13">
        <v>5</v>
      </c>
      <c r="D17" s="13">
        <v>5</v>
      </c>
      <c r="E17" s="13" t="b">
        <v>0</v>
      </c>
      <c r="F17" s="13">
        <v>20</v>
      </c>
      <c r="G17" s="65">
        <v>0.9</v>
      </c>
      <c r="H17" s="13"/>
      <c r="I17" s="13">
        <v>7.0000000000000007E-2</v>
      </c>
      <c r="K17" s="13">
        <v>20</v>
      </c>
      <c r="L17" s="65">
        <v>0.9</v>
      </c>
      <c r="M17" s="13">
        <v>5</v>
      </c>
      <c r="N17" s="13">
        <v>5</v>
      </c>
      <c r="O17" s="13">
        <v>20</v>
      </c>
      <c r="P17" s="64"/>
      <c r="Q17" s="64">
        <v>0.9</v>
      </c>
      <c r="R17" s="28" t="b">
        <v>0</v>
      </c>
      <c r="S17" s="28">
        <v>1</v>
      </c>
      <c r="T17" s="28">
        <v>1</v>
      </c>
      <c r="U17">
        <f t="shared" si="2"/>
        <v>10</v>
      </c>
      <c r="V17" s="9">
        <f t="shared" si="3"/>
        <v>1</v>
      </c>
      <c r="W17" s="9"/>
      <c r="X17" s="9"/>
      <c r="Y17" s="9"/>
      <c r="Z17" s="9"/>
      <c r="AA17" s="9"/>
      <c r="AB17" s="9"/>
      <c r="AC17" s="9"/>
      <c r="AD17" s="9"/>
      <c r="AE17" s="9"/>
      <c r="AF17" s="9"/>
      <c r="AH17" s="9"/>
      <c r="AI17" s="9"/>
      <c r="AK17" s="9"/>
      <c r="AL17" s="9"/>
      <c r="AM17" s="9"/>
      <c r="AN17" s="9"/>
    </row>
    <row r="18" spans="1:40">
      <c r="A18" s="13" t="s">
        <v>388</v>
      </c>
      <c r="B18" s="13" t="s">
        <v>119</v>
      </c>
      <c r="C18" s="13">
        <v>2</v>
      </c>
      <c r="D18" s="13">
        <v>2</v>
      </c>
      <c r="E18" s="13" t="b">
        <v>0</v>
      </c>
      <c r="F18" s="13">
        <v>5</v>
      </c>
      <c r="G18" s="65">
        <v>0.92</v>
      </c>
      <c r="H18" s="13" t="s">
        <v>103</v>
      </c>
      <c r="I18" s="13">
        <v>7.0000000000000007E-2</v>
      </c>
      <c r="K18" s="13">
        <v>5</v>
      </c>
      <c r="L18" s="65">
        <v>0.92</v>
      </c>
      <c r="M18" s="13">
        <v>2</v>
      </c>
      <c r="N18" s="13">
        <v>2</v>
      </c>
      <c r="O18" s="13">
        <v>5</v>
      </c>
      <c r="P18" s="64"/>
      <c r="Q18" s="64">
        <v>0.92</v>
      </c>
      <c r="R18" s="9" t="b">
        <v>1</v>
      </c>
      <c r="S18" s="9">
        <v>1</v>
      </c>
      <c r="T18" s="9">
        <v>1</v>
      </c>
      <c r="U18">
        <f t="shared" si="2"/>
        <v>4</v>
      </c>
      <c r="V18" s="9">
        <f t="shared" si="3"/>
        <v>1</v>
      </c>
      <c r="W18" s="9" t="s">
        <v>125</v>
      </c>
      <c r="X18" s="27" t="s">
        <v>118</v>
      </c>
      <c r="Y18" s="9">
        <v>600</v>
      </c>
      <c r="Z18" s="9"/>
      <c r="AA18" s="9" t="s">
        <v>73</v>
      </c>
      <c r="AB18" s="9" t="s">
        <v>75</v>
      </c>
      <c r="AC18" s="9">
        <v>0</v>
      </c>
      <c r="AD18" s="9">
        <v>2</v>
      </c>
      <c r="AE18" s="9">
        <v>47.8</v>
      </c>
      <c r="AF18" s="9">
        <v>0</v>
      </c>
      <c r="AG18" s="9"/>
      <c r="AH18" s="9"/>
      <c r="AI18" s="9"/>
      <c r="AJ18" s="9"/>
    </row>
    <row r="19" spans="1:40">
      <c r="A19" s="60" t="s">
        <v>418</v>
      </c>
      <c r="B19" s="13" t="s">
        <v>120</v>
      </c>
      <c r="C19" s="13">
        <v>5</v>
      </c>
      <c r="D19" s="13">
        <v>5</v>
      </c>
      <c r="E19" s="13" t="b">
        <v>0</v>
      </c>
      <c r="F19" s="13">
        <v>20</v>
      </c>
      <c r="G19" s="65">
        <v>0.41</v>
      </c>
      <c r="H19" s="13"/>
      <c r="I19" s="13">
        <v>0.05</v>
      </c>
      <c r="K19" s="13">
        <v>20</v>
      </c>
      <c r="L19" s="65">
        <v>0.41</v>
      </c>
      <c r="M19" s="13">
        <v>5</v>
      </c>
      <c r="N19" s="13">
        <v>5</v>
      </c>
      <c r="O19" s="13">
        <v>20</v>
      </c>
      <c r="P19" s="64"/>
      <c r="Q19" s="64">
        <v>0.41</v>
      </c>
      <c r="U19">
        <f t="shared" si="2"/>
        <v>10</v>
      </c>
      <c r="V19">
        <f t="shared" si="3"/>
        <v>0</v>
      </c>
      <c r="W19" t="s">
        <v>125</v>
      </c>
      <c r="X19" s="27"/>
      <c r="Y19" s="9"/>
      <c r="Z19" s="9"/>
      <c r="AA19" s="9"/>
      <c r="AB19" s="9"/>
      <c r="AC19" s="9"/>
      <c r="AD19" s="9"/>
      <c r="AE19" s="9"/>
      <c r="AF19" s="9"/>
      <c r="AH19" s="9"/>
      <c r="AI19" s="9"/>
    </row>
    <row r="20" spans="1:40" s="9" customFormat="1">
      <c r="A20" s="13" t="s">
        <v>422</v>
      </c>
      <c r="B20" s="13" t="s">
        <v>119</v>
      </c>
      <c r="C20" s="13">
        <v>1</v>
      </c>
      <c r="D20" s="13">
        <v>5</v>
      </c>
      <c r="E20" s="13" t="b">
        <v>0</v>
      </c>
      <c r="F20" s="13">
        <v>5</v>
      </c>
      <c r="G20" s="65">
        <v>0.9</v>
      </c>
      <c r="H20" s="13" t="s">
        <v>104</v>
      </c>
      <c r="I20" s="13">
        <v>7.0000000000000007E-2</v>
      </c>
      <c r="J20"/>
      <c r="K20" s="13">
        <v>5</v>
      </c>
      <c r="L20" s="65">
        <v>0.9</v>
      </c>
      <c r="M20" s="13">
        <v>1</v>
      </c>
      <c r="N20" s="13">
        <v>5</v>
      </c>
      <c r="O20" s="13">
        <v>5</v>
      </c>
      <c r="P20" s="64"/>
      <c r="Q20" s="64">
        <v>0.9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>
        <f t="shared" si="2"/>
        <v>6</v>
      </c>
      <c r="V20" s="9" t="e">
        <f t="shared" ref="V20" si="4">IF(R20&lt;&gt;"",1,0)</f>
        <v>#REF!</v>
      </c>
      <c r="W20" s="9" t="s">
        <v>103</v>
      </c>
      <c r="AK20"/>
      <c r="AL20"/>
      <c r="AM20"/>
      <c r="AN20"/>
    </row>
    <row r="21" spans="1:40">
      <c r="A21" s="13" t="s">
        <v>89</v>
      </c>
      <c r="B21" s="13" t="s">
        <v>119</v>
      </c>
      <c r="C21" s="13">
        <v>1</v>
      </c>
      <c r="D21" s="13">
        <v>2</v>
      </c>
      <c r="E21" s="13" t="b">
        <v>0</v>
      </c>
      <c r="F21" s="13">
        <v>5</v>
      </c>
      <c r="G21" s="65">
        <v>0.91</v>
      </c>
      <c r="H21" s="13" t="s">
        <v>105</v>
      </c>
      <c r="I21" s="13">
        <v>7.0000000000000007E-2</v>
      </c>
      <c r="K21" s="13">
        <v>5</v>
      </c>
      <c r="L21" s="65">
        <v>0.91</v>
      </c>
      <c r="M21" s="13">
        <v>1</v>
      </c>
      <c r="N21" s="13">
        <v>2</v>
      </c>
      <c r="O21" s="13">
        <v>5</v>
      </c>
      <c r="P21" s="64"/>
      <c r="Q21" s="64">
        <v>0.91</v>
      </c>
      <c r="U21">
        <f t="shared" si="2"/>
        <v>3</v>
      </c>
      <c r="AH21" s="9"/>
      <c r="AI21" s="9"/>
    </row>
    <row r="22" spans="1:40" s="9" customFormat="1">
      <c r="A22" s="60" t="s">
        <v>421</v>
      </c>
      <c r="B22" s="13" t="s">
        <v>119</v>
      </c>
      <c r="C22" s="13">
        <v>1</v>
      </c>
      <c r="D22" s="13">
        <v>1</v>
      </c>
      <c r="E22" s="13" t="b">
        <v>0</v>
      </c>
      <c r="F22" s="13">
        <v>5</v>
      </c>
      <c r="G22" s="65">
        <v>0.95</v>
      </c>
      <c r="H22" s="13" t="s">
        <v>414</v>
      </c>
      <c r="I22" s="13">
        <v>7.0000000000000007E-2</v>
      </c>
      <c r="J22"/>
      <c r="K22" s="13">
        <v>5</v>
      </c>
      <c r="L22" s="65">
        <v>0.95</v>
      </c>
      <c r="M22" s="13">
        <v>1</v>
      </c>
      <c r="N22" s="13">
        <v>1</v>
      </c>
      <c r="O22" s="13">
        <v>5</v>
      </c>
      <c r="P22" s="64"/>
      <c r="Q22" s="64">
        <v>0.95</v>
      </c>
      <c r="R22" s="9" t="b">
        <v>1</v>
      </c>
      <c r="S22" s="9">
        <v>1</v>
      </c>
      <c r="T22" s="9">
        <v>1</v>
      </c>
      <c r="U22">
        <f t="shared" si="2"/>
        <v>2</v>
      </c>
      <c r="V22" s="9">
        <f>IF(R22&lt;&gt;"",1,0)</f>
        <v>1</v>
      </c>
      <c r="AJ22"/>
      <c r="AK22"/>
      <c r="AL22"/>
      <c r="AM22"/>
      <c r="AN22"/>
    </row>
    <row r="23" spans="1:40">
      <c r="A23" s="61" t="s">
        <v>419</v>
      </c>
      <c r="B23" s="13" t="s">
        <v>146</v>
      </c>
      <c r="C23" s="57">
        <v>3</v>
      </c>
      <c r="D23" s="13">
        <v>4</v>
      </c>
      <c r="E23" s="13" t="b">
        <v>0</v>
      </c>
      <c r="F23" s="13">
        <v>20</v>
      </c>
      <c r="G23" s="65">
        <v>0.9</v>
      </c>
      <c r="H23" s="13"/>
      <c r="I23" s="13">
        <v>0.05</v>
      </c>
      <c r="K23" s="13">
        <v>20</v>
      </c>
      <c r="L23" s="65">
        <v>0.9</v>
      </c>
      <c r="M23" s="57">
        <v>3</v>
      </c>
      <c r="N23" s="57">
        <v>4</v>
      </c>
      <c r="O23" s="13">
        <v>20</v>
      </c>
      <c r="P23" s="64"/>
      <c r="Q23" s="64">
        <v>0.9</v>
      </c>
      <c r="R23" t="b">
        <v>1</v>
      </c>
      <c r="S23">
        <v>1</v>
      </c>
      <c r="T23">
        <v>1</v>
      </c>
      <c r="U23">
        <f t="shared" si="2"/>
        <v>7</v>
      </c>
      <c r="V23">
        <f>IF(R23&lt;&gt;"",1,0)</f>
        <v>1</v>
      </c>
      <c r="AI23" s="9"/>
    </row>
    <row r="24" spans="1:40" s="9" customForma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X24"/>
      <c r="Y24"/>
      <c r="Z24"/>
      <c r="AA24"/>
      <c r="AB24"/>
      <c r="AC24"/>
      <c r="AD24"/>
      <c r="AE24"/>
      <c r="AF24"/>
      <c r="AH24"/>
      <c r="AI24"/>
    </row>
    <row r="25" spans="1:40">
      <c r="C25" s="8"/>
      <c r="D25" s="8"/>
    </row>
  </sheetData>
  <autoFilter ref="A1:I23" xr:uid="{75959906-F576-41DF-867C-6CE433CBA5BE}">
    <sortState xmlns:xlrd2="http://schemas.microsoft.com/office/spreadsheetml/2017/richdata2" ref="A2:I21">
      <sortCondition ref="A1"/>
    </sortState>
  </autoFilter>
  <phoneticPr fontId="6" type="noConversion"/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2D5AC-CEA9-4952-B401-166BC3EB8B79}">
  <dimension ref="A1:C22"/>
  <sheetViews>
    <sheetView workbookViewId="0">
      <selection activeCell="G37" sqref="G37"/>
    </sheetView>
  </sheetViews>
  <sheetFormatPr defaultRowHeight="15"/>
  <cols>
    <col min="1" max="1" width="19.85546875" customWidth="1"/>
  </cols>
  <sheetData>
    <row r="1" spans="1:3">
      <c r="A1" t="s">
        <v>123</v>
      </c>
      <c r="B1" t="s">
        <v>480</v>
      </c>
      <c r="C1" t="s">
        <v>481</v>
      </c>
    </row>
    <row r="2" spans="1:3">
      <c r="A2" t="s">
        <v>382</v>
      </c>
      <c r="B2">
        <v>0.01</v>
      </c>
      <c r="C2">
        <v>0.01</v>
      </c>
    </row>
    <row r="3" spans="1:3">
      <c r="A3" t="s">
        <v>383</v>
      </c>
      <c r="B3">
        <v>0.01</v>
      </c>
      <c r="C3">
        <v>0.01</v>
      </c>
    </row>
    <row r="4" spans="1:3">
      <c r="A4" t="s">
        <v>385</v>
      </c>
      <c r="B4">
        <v>7.0000000000000007E-2</v>
      </c>
      <c r="C4">
        <v>0.13</v>
      </c>
    </row>
    <row r="5" spans="1:3">
      <c r="A5" t="s">
        <v>384</v>
      </c>
      <c r="B5">
        <v>0.12</v>
      </c>
      <c r="C5">
        <v>0.09</v>
      </c>
    </row>
    <row r="6" spans="1:3">
      <c r="A6" t="s">
        <v>386</v>
      </c>
      <c r="B6">
        <v>0.09</v>
      </c>
      <c r="C6">
        <v>0.56000000000000005</v>
      </c>
    </row>
    <row r="7" spans="1:3">
      <c r="A7" t="s">
        <v>388</v>
      </c>
      <c r="B7">
        <v>0.92</v>
      </c>
      <c r="C7">
        <v>0.92</v>
      </c>
    </row>
    <row r="8" spans="1:3">
      <c r="A8" t="s">
        <v>449</v>
      </c>
      <c r="B8">
        <v>0.92</v>
      </c>
      <c r="C8">
        <v>0.92</v>
      </c>
    </row>
    <row r="9" spans="1:3">
      <c r="A9" t="s">
        <v>387</v>
      </c>
      <c r="B9">
        <v>0.91</v>
      </c>
      <c r="C9">
        <v>0.91</v>
      </c>
    </row>
    <row r="10" spans="1:3">
      <c r="A10" t="s">
        <v>418</v>
      </c>
      <c r="B10">
        <v>0.41</v>
      </c>
      <c r="C10">
        <v>0.41</v>
      </c>
    </row>
    <row r="11" spans="1:3">
      <c r="A11" t="s">
        <v>422</v>
      </c>
      <c r="B11">
        <v>0.9</v>
      </c>
      <c r="C11">
        <v>0.9</v>
      </c>
    </row>
    <row r="12" spans="1:3">
      <c r="A12" t="s">
        <v>41</v>
      </c>
      <c r="B12">
        <v>0.8</v>
      </c>
      <c r="C12">
        <v>0.8</v>
      </c>
    </row>
    <row r="13" spans="1:3">
      <c r="A13" t="s">
        <v>89</v>
      </c>
      <c r="B13">
        <v>0.91</v>
      </c>
      <c r="C13">
        <v>0.91</v>
      </c>
    </row>
    <row r="14" spans="1:3">
      <c r="A14" t="s">
        <v>421</v>
      </c>
      <c r="B14">
        <v>0.95</v>
      </c>
      <c r="C14">
        <v>0.95</v>
      </c>
    </row>
    <row r="15" spans="1:3">
      <c r="A15" t="s">
        <v>419</v>
      </c>
      <c r="B15">
        <v>0.9</v>
      </c>
      <c r="C15">
        <v>0.9</v>
      </c>
    </row>
    <row r="16" spans="1:3">
      <c r="A16" t="s">
        <v>293</v>
      </c>
      <c r="B16">
        <v>0</v>
      </c>
      <c r="C16">
        <v>0</v>
      </c>
    </row>
    <row r="17" spans="1:3">
      <c r="A17" t="s">
        <v>425</v>
      </c>
      <c r="B17">
        <v>0</v>
      </c>
      <c r="C17">
        <v>0</v>
      </c>
    </row>
    <row r="18" spans="1:3">
      <c r="A18" t="s">
        <v>381</v>
      </c>
      <c r="B18">
        <v>0.93</v>
      </c>
      <c r="C18">
        <v>0.93</v>
      </c>
    </row>
    <row r="19" spans="1:3">
      <c r="A19" t="s">
        <v>67</v>
      </c>
      <c r="B19">
        <v>0.92</v>
      </c>
      <c r="C19">
        <v>0.92</v>
      </c>
    </row>
    <row r="20" spans="1:3">
      <c r="A20" t="s">
        <v>423</v>
      </c>
      <c r="B20">
        <v>0.9</v>
      </c>
      <c r="C20">
        <v>0.9</v>
      </c>
    </row>
    <row r="21" spans="1:3">
      <c r="A21" t="s">
        <v>420</v>
      </c>
      <c r="B21">
        <v>0.9</v>
      </c>
      <c r="C21">
        <v>0.9</v>
      </c>
    </row>
    <row r="22" spans="1:3">
      <c r="A22" t="s">
        <v>417</v>
      </c>
      <c r="B22">
        <v>0.9</v>
      </c>
      <c r="C22">
        <v>0.9</v>
      </c>
    </row>
  </sheetData>
  <conditionalFormatting sqref="A1:C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34"/>
  <sheetViews>
    <sheetView topLeftCell="A15" zoomScaleNormal="100" workbookViewId="0">
      <selection activeCell="A38" sqref="A38"/>
    </sheetView>
  </sheetViews>
  <sheetFormatPr defaultRowHeight="15"/>
  <cols>
    <col min="1" max="1" width="58.7109375" customWidth="1"/>
    <col min="2" max="2" width="12.28515625" customWidth="1"/>
    <col min="3" max="3" width="32.140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s="13" t="s">
        <v>327</v>
      </c>
      <c r="B1" s="55" t="s">
        <v>324</v>
      </c>
      <c r="D1" s="5" t="s">
        <v>324</v>
      </c>
      <c r="E1" s="41" t="s">
        <v>338</v>
      </c>
      <c r="K1" t="s">
        <v>331</v>
      </c>
    </row>
    <row r="2" spans="1:13">
      <c r="A2" s="13" t="str">
        <f>_xlfn.CONCAT(TechnologiesEmlab!A4,"FixedOperatingCostTimeSeries")</f>
        <v>BiofuelFixedOperatingCostTimeSeries</v>
      </c>
      <c r="B2" s="46">
        <v>0</v>
      </c>
      <c r="C2" s="9"/>
      <c r="D2" s="9">
        <v>0</v>
      </c>
      <c r="E2" t="s">
        <v>329</v>
      </c>
      <c r="K2">
        <v>5.0000000000000001E-3</v>
      </c>
    </row>
    <row r="3" spans="1:13">
      <c r="A3" s="13" t="str">
        <f>_xlfn.CONCAT(TechnologiesEmlab!A14,"FixedOperatingCostTimeSeries")</f>
        <v>CCGTFixedOperatingCostTimeSeries</v>
      </c>
      <c r="B3" s="46">
        <v>0</v>
      </c>
      <c r="C3" s="9"/>
      <c r="D3" s="9">
        <v>0</v>
      </c>
      <c r="E3" t="str">
        <f>IF(TechnologiesEmlab!F4&gt;0,"ACTIVE", "not active, max life extension 0")</f>
        <v>ACTIVE</v>
      </c>
      <c r="L3" s="39"/>
    </row>
    <row r="4" spans="1:13">
      <c r="A4" s="13" t="str">
        <f>_xlfn.CONCAT(TechnologiesEmlab!A15,"FixedOperatingCostTimeSeries")</f>
        <v>CCS gasFixedOperatingCostTimeSeries</v>
      </c>
      <c r="B4" s="46">
        <v>0</v>
      </c>
      <c r="C4" s="9"/>
      <c r="D4" s="9">
        <v>0</v>
      </c>
      <c r="E4" t="e">
        <f>IF(TechnologiesEmlab!#REF!&gt;0,"ACTIVE", "not active, max life extension 0")</f>
        <v>#REF!</v>
      </c>
    </row>
    <row r="5" spans="1:13">
      <c r="A5" s="13" t="str">
        <f>_xlfn.CONCAT(TechnologiesEmlab!A16,"FixedOperatingCostTimeSeries")</f>
        <v>Hard CoalFixedOperatingCostTimeSeries</v>
      </c>
      <c r="B5" s="46">
        <v>0</v>
      </c>
      <c r="C5" s="9"/>
      <c r="D5" s="9">
        <v>0</v>
      </c>
      <c r="E5" t="str">
        <f>IF(TechnologiesEmlab!F14&gt;0,"ACTIVE", "not active, max life extension 0")</f>
        <v>ACTIVE</v>
      </c>
      <c r="K5" t="s">
        <v>332</v>
      </c>
      <c r="L5" t="s">
        <v>333</v>
      </c>
      <c r="M5" t="s">
        <v>334</v>
      </c>
    </row>
    <row r="6" spans="1:13">
      <c r="A6" s="13" t="str">
        <f>_xlfn.CONCAT(TechnologiesEmlab!A17,"FixedOperatingCostTimeSeries")</f>
        <v>Hydro ReservoirFixedOperatingCostTimeSeries</v>
      </c>
      <c r="B6" s="46">
        <v>0</v>
      </c>
      <c r="C6" s="9"/>
      <c r="D6" s="9">
        <v>0</v>
      </c>
      <c r="E6" t="str">
        <f>IF(TechnologiesEmlab!F22&gt;0,"ACTIVE",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s="13" t="str">
        <f>_xlfn.CONCAT(TechnologiesEmlab!A18,"FixedOperatingCostTimeSeries")</f>
        <v>hydrogen CHPFixedOperatingCostTimeSeries</v>
      </c>
      <c r="B7" s="46">
        <v>0</v>
      </c>
      <c r="C7" s="9"/>
      <c r="D7" s="9">
        <v>0</v>
      </c>
      <c r="E7" t="str">
        <f>IF(TechnologiesEmlab!F23&gt;0,"ACTIVE", "not active, max life extension 0")</f>
        <v>ACTIVE</v>
      </c>
      <c r="I7" t="s">
        <v>330</v>
      </c>
      <c r="J7">
        <v>0</v>
      </c>
      <c r="K7">
        <f t="shared" ref="K7" si="0">(1+$K$2)^J7</f>
        <v>1</v>
      </c>
    </row>
    <row r="8" spans="1:13">
      <c r="A8" s="13" t="str">
        <f>_xlfn.CONCAT(TechnologiesEmlab!A2,"FixedOperatingCostTimeSeries")</f>
        <v>hydrogen OCGTFixedOperatingCostTimeSeries</v>
      </c>
      <c r="B8" s="46">
        <v>0</v>
      </c>
      <c r="C8" s="9"/>
      <c r="D8" s="9">
        <v>0</v>
      </c>
      <c r="E8" t="e">
        <f>IF(TechnologiesEmlab!#REF!&gt;0,"ACTIVE", "not active, max life extension 0")</f>
        <v>#REF!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s="13" t="str">
        <f>_xlfn.CONCAT(TechnologiesEmlab!A3,"FixedOperatingCostTimeSeries")</f>
        <v>hydrogen CCGTFixedOperatingCostTimeSeries</v>
      </c>
      <c r="B9" s="46">
        <v>0</v>
      </c>
      <c r="C9" s="9"/>
      <c r="D9" s="9">
        <v>0</v>
      </c>
      <c r="E9" t="e">
        <f>IF(TechnologiesEmlab!#REF!&gt;0,"ACTIVE", "not active, max life extension 0")</f>
        <v>#REF!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s="13" t="str">
        <f>_xlfn.CONCAT(TechnologiesEmlab!A19,"FixedOperatingCostTimeSeries")</f>
        <v>Hydropower RORFixedOperatingCostTimeSeries</v>
      </c>
      <c r="B10" s="46">
        <v>0</v>
      </c>
      <c r="C10" s="9"/>
      <c r="D10" s="9">
        <v>0</v>
      </c>
      <c r="E10" t="e">
        <f>IF(TechnologiesEmlab!#REF!&gt;0,"ACTIVE", "not active, max life extension 0")</f>
        <v>#REF!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s="13" t="str">
        <f>_xlfn.CONCAT(TechnologiesEmlab!A20,"FixedOperatingCostTimeSeries")</f>
        <v>LigniteFixedOperatingCostTimeSeries</v>
      </c>
      <c r="B11" s="46">
        <v>0</v>
      </c>
      <c r="C11" s="9"/>
      <c r="D11" s="9">
        <v>0</v>
      </c>
      <c r="E11" t="e">
        <f>IF(TechnologiesEmlab!#REF!&gt;0,"ACTIVE", "not active, max life extension 0")</f>
        <v>#REF!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s="13" t="str">
        <f>_xlfn.CONCAT(TechnologiesEmlab!A6,"FixedOperatingCostTimeSeries")</f>
        <v>Lithium ion batteryFixedOperatingCostTimeSeries</v>
      </c>
      <c r="B12" s="46">
        <v>0</v>
      </c>
      <c r="C12" s="9"/>
      <c r="D12" s="9">
        <v>0</v>
      </c>
      <c r="E12" t="e">
        <f>IF(TechnologiesEmlab!#REF!&gt;0,"ACTIVE", "not active, max life extension 0")</f>
        <v>#REF!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s="13" t="str">
        <f>_xlfn.CONCAT(TechnologiesEmlab!A7,"FixedOperatingCostTimeSeries")</f>
        <v>NuclearFixedOperatingCostTimeSeries</v>
      </c>
      <c r="B13" s="46">
        <v>0</v>
      </c>
      <c r="C13" s="9"/>
      <c r="D13" s="9">
        <v>0</v>
      </c>
      <c r="E13" t="str">
        <f>IF(TechnologiesEmlab!F15&gt;0,"ACTIVE",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s="13" t="str">
        <f>_xlfn.CONCAT(TechnologiesEmlab!A21,"FixedOperatingCostTimeSeries")</f>
        <v>OCGTFixedOperatingCostTimeSeries</v>
      </c>
      <c r="B14" s="46">
        <v>0</v>
      </c>
      <c r="C14" s="9"/>
      <c r="D14" s="9">
        <v>0</v>
      </c>
      <c r="E14" t="str">
        <f>IF(TechnologiesEmlab!F16&gt;0,"ACTIVE", "not active, max life extension 0")</f>
        <v>ACTIVE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s="13" t="str">
        <f>_xlfn.CONCAT(TechnologiesEmlab!A22,"FixedOperatingCostTimeSeries")</f>
        <v>OilFixedOperatingCostTimeSeries</v>
      </c>
      <c r="B15" s="46">
        <v>0</v>
      </c>
      <c r="C15" s="9"/>
      <c r="D15" s="9">
        <v>0</v>
      </c>
      <c r="E15" t="str">
        <f>IF(TechnologiesEmlab!F17&gt;0,"ACTIVE",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s="13" t="str">
        <f>_xlfn.CONCAT(TechnologiesEmlab!A23,"FixedOperatingCostTimeSeries")</f>
        <v>PHS DischargeFixedOperatingCostTimeSeries</v>
      </c>
      <c r="B16" s="46">
        <v>0</v>
      </c>
      <c r="C16" s="9"/>
      <c r="D16" s="9">
        <v>0</v>
      </c>
      <c r="E16" t="str">
        <f>IF(TechnologiesEmlab!F18&gt;0,"ACTIVE",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s="13" t="str">
        <f>_xlfn.CONCAT(TechnologiesEmlab!A8,"FixedOperatingCostTimeSeries")</f>
        <v>Solar PV largeFixedOperatingCostTimeSeries</v>
      </c>
      <c r="B17" s="46">
        <v>0</v>
      </c>
      <c r="C17" s="9"/>
      <c r="D17" s="9">
        <v>0</v>
      </c>
      <c r="E17" t="str">
        <f>IF(TechnologiesEmlab!F2&gt;0,"ACTIVE",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s="13" t="str">
        <f>_xlfn.CONCAT(TechnologiesEmlab!A9,"FixedOperatingCostTimeSeries")</f>
        <v>Solar PV rooftopFixedOperatingCostTimeSeries</v>
      </c>
      <c r="B18" s="46">
        <v>0</v>
      </c>
      <c r="C18" s="9"/>
      <c r="D18" s="9">
        <v>0</v>
      </c>
      <c r="E18" t="str">
        <f>IF(TechnologiesEmlab!F3&gt;0,"ACTIVE",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s="13" t="str">
        <f>_xlfn.CONCAT(TechnologiesEmlab!A10,"FixedOperatingCostTimeSeries")</f>
        <v>Wind OffshoreFixedOperatingCostTimeSeries</v>
      </c>
      <c r="B19" s="46">
        <v>0</v>
      </c>
      <c r="C19" s="9"/>
      <c r="D19" s="9">
        <v>0</v>
      </c>
      <c r="E19" t="str">
        <f>IF(TechnologiesEmlab!F20&gt;0,"ACTIVE", "not active, max life extension 0")</f>
        <v>ACTIVE</v>
      </c>
    </row>
    <row r="20" spans="1:14">
      <c r="A20" s="13" t="str">
        <f>_xlfn.CONCAT(TechnologiesEmlab!A11,"FixedOperatingCostTimeSeries")</f>
        <v>Wind OnshoreFixedOperatingCostTimeSeries</v>
      </c>
      <c r="B20" s="46">
        <v>0</v>
      </c>
      <c r="C20" s="9"/>
      <c r="D20" s="9">
        <v>0</v>
      </c>
      <c r="E20" t="str">
        <f>IF(TechnologiesEmlab!F6&gt;0,"ACTIVE", "not active, max life extension 0")</f>
        <v>ACTIVE</v>
      </c>
      <c r="I20" t="s">
        <v>89</v>
      </c>
      <c r="K20" t="s">
        <v>337</v>
      </c>
      <c r="L20" t="s">
        <v>184</v>
      </c>
    </row>
    <row r="21" spans="1:14">
      <c r="A21" s="13" t="str">
        <f>_xlfn.CONCAT(TechnologiesEmlab!A12,"FixedOperatingCostTimeSeries")</f>
        <v>electrolyzerFixedOperatingCostTimeSeries</v>
      </c>
      <c r="B21" s="46">
        <v>0</v>
      </c>
      <c r="C21" s="9"/>
      <c r="D21" s="9"/>
      <c r="J21">
        <v>0</v>
      </c>
      <c r="K21">
        <v>4.5</v>
      </c>
      <c r="L21">
        <v>0.43</v>
      </c>
    </row>
    <row r="22" spans="1:14">
      <c r="A22" s="13" t="str">
        <f>_xlfn.CONCAT(TechnologiesEmlab!A13,"FixedOperatingCostTimeSeries")</f>
        <v>central gas boilerFixedOperatingCostTimeSeries</v>
      </c>
      <c r="B22" s="46">
        <v>0</v>
      </c>
      <c r="C22" s="9"/>
      <c r="D22" s="9">
        <v>0</v>
      </c>
      <c r="E22" t="str">
        <f>IF(TechnologiesEmlab!F21&gt;0,"ACTIVE", "not active, max life extension 0")</f>
        <v>ACTIVE</v>
      </c>
      <c r="J22">
        <v>1</v>
      </c>
      <c r="K22">
        <f>$K$21*(1+$B$74)^J22</f>
        <v>4.5</v>
      </c>
      <c r="L22">
        <f>$L$21*(1+$B$107)^J22</f>
        <v>0.43</v>
      </c>
    </row>
    <row r="23" spans="1:14">
      <c r="A23" s="13" t="str">
        <f>_xlfn.CONCAT(TechnologiesEmlab!A5,"FixedOperatingCostTimeSeries")</f>
        <v>Lithium ion battery 4FixedOperatingCostTimeSeries</v>
      </c>
      <c r="B23" s="46">
        <v>0</v>
      </c>
      <c r="C23" s="9"/>
      <c r="D23" s="9">
        <v>0</v>
      </c>
      <c r="E23" t="str">
        <f>IF(TechnologiesEmlab!F5&gt;0,"ACTIVE", "not active, max life extension 0")</f>
        <v>ACTIVE</v>
      </c>
      <c r="J23">
        <v>2</v>
      </c>
      <c r="K23">
        <f>$K$21*(1+$B$74)^J23</f>
        <v>4.5</v>
      </c>
      <c r="L23">
        <f>$L$21*(1+$B$107)^J23</f>
        <v>0.43</v>
      </c>
    </row>
    <row r="24" spans="1:14">
      <c r="A24" s="58" t="str">
        <f>_xlfn.CONCAT(TechnologiesEmlab!A4,"InvestmentCostTimeSeries")</f>
        <v>BiofuelInvestmentCostTimeSeries</v>
      </c>
      <c r="B24" s="46">
        <v>0</v>
      </c>
      <c r="C24" s="9"/>
      <c r="D24" s="9">
        <v>0</v>
      </c>
      <c r="E24" t="e">
        <f>IF(TechnologiesEmlab!#REF!&gt;0,"ACTIVE", "not active, max life extension 0")</f>
        <v>#REF!</v>
      </c>
      <c r="J24">
        <v>3</v>
      </c>
      <c r="K24">
        <f>$K$21*(1+$B$74)^J24</f>
        <v>4.5</v>
      </c>
      <c r="L24">
        <f>$L$21*(1+$B$107)^J24</f>
        <v>0.43</v>
      </c>
    </row>
    <row r="25" spans="1:14">
      <c r="A25" s="58" t="str">
        <f>_xlfn.CONCAT(TechnologiesEmlab!A14,"InvestmentCostTimeSeries")</f>
        <v>CCGTInvestmentCostTimeSeries</v>
      </c>
      <c r="B25" s="46">
        <v>0</v>
      </c>
      <c r="C25" s="9"/>
      <c r="D25" s="9">
        <v>0</v>
      </c>
      <c r="E25" t="e">
        <f>IF(TechnologiesEmlab!#REF!&gt;0,"ACTIVE", "not active, max life extension 0")</f>
        <v>#REF!</v>
      </c>
      <c r="J25">
        <v>9</v>
      </c>
      <c r="K25">
        <f>$K$21*(1+$B$74)^J25</f>
        <v>4.5</v>
      </c>
      <c r="L25">
        <f>$L$21*(1+$B$107)^J25</f>
        <v>0.43</v>
      </c>
    </row>
    <row r="26" spans="1:14">
      <c r="A26" s="58" t="str">
        <f>_xlfn.CONCAT(TechnologiesEmlab!A15,"InvestmentCostTimeSeries")</f>
        <v>CCS gasInvestmentCostTimeSeries</v>
      </c>
      <c r="B26" s="46">
        <v>0</v>
      </c>
      <c r="C26" s="9"/>
      <c r="D26" s="9">
        <v>0</v>
      </c>
      <c r="E26" t="e">
        <f>IF(TechnologiesEmlab!#REF!&gt;0,"ACTIVE", "not active, max life extension 0")</f>
        <v>#REF!</v>
      </c>
      <c r="J26">
        <v>26</v>
      </c>
      <c r="K26">
        <f>$K$21*(1+$B$74)^J26</f>
        <v>4.5</v>
      </c>
      <c r="L26">
        <f>$L$21*(1+$B$107)^J26</f>
        <v>0.43</v>
      </c>
    </row>
    <row r="27" spans="1:14">
      <c r="A27" s="58" t="str">
        <f>_xlfn.CONCAT(TechnologiesEmlab!A16,"InvestmentCostTimeSeries")</f>
        <v>Hard CoalInvestmentCostTimeSeries</v>
      </c>
      <c r="B27" s="46">
        <v>0</v>
      </c>
      <c r="C27" s="9"/>
      <c r="D27" s="9">
        <v>0</v>
      </c>
      <c r="E27" t="e">
        <f>IF(TechnologiesEmlab!#REF!&gt;0,"ACTIVE", "not active, max life extension 0")</f>
        <v>#REF!</v>
      </c>
    </row>
    <row r="28" spans="1:14">
      <c r="A28" s="58" t="str">
        <f>_xlfn.CONCAT(TechnologiesEmlab!A17,"InvestmentCostTimeSeries")</f>
        <v>Hydro ReservoirInvestmentCostTimeSeries</v>
      </c>
      <c r="B28" s="46">
        <v>0</v>
      </c>
      <c r="C28" s="9"/>
      <c r="D28" s="9">
        <v>0</v>
      </c>
      <c r="E28" t="e">
        <f>IF(TechnologiesEmlab!#REF!&gt;0,"ACTIVE", "not active, max life extension 0")</f>
        <v>#REF!</v>
      </c>
      <c r="I28" t="s">
        <v>72</v>
      </c>
      <c r="K28" t="s">
        <v>337</v>
      </c>
    </row>
    <row r="29" spans="1:14">
      <c r="A29" s="58" t="str">
        <f>_xlfn.CONCAT(TechnologiesEmlab!A18,"InvestmentCostTimeSeries")</f>
        <v>hydrogen CHPInvestmentCostTimeSeries</v>
      </c>
      <c r="B29" s="46">
        <v>0</v>
      </c>
      <c r="C29" s="9"/>
      <c r="D29" s="9">
        <v>0</v>
      </c>
      <c r="E29" t="e">
        <f>IF(TechnologiesEmlab!#REF!&gt;0,"ACTIVE", "not active, max life extension 0")</f>
        <v>#REF!</v>
      </c>
      <c r="J29">
        <v>0</v>
      </c>
      <c r="K29">
        <v>3</v>
      </c>
    </row>
    <row r="30" spans="1:14">
      <c r="A30" s="58" t="str">
        <f>_xlfn.CONCAT(TechnologiesEmlab!A2,"InvestmentCostTimeSeries")</f>
        <v>hydrogen OCGTInvestmentCostTimeSeries</v>
      </c>
      <c r="B30" s="46">
        <v>0</v>
      </c>
      <c r="C30" s="9"/>
      <c r="D30" s="9">
        <v>0</v>
      </c>
      <c r="E30" t="e">
        <f>IF(TechnologiesEmlab!#REF!&gt;0,"ACTIVE", "not active, max life extension 0")</f>
        <v>#REF!</v>
      </c>
      <c r="J30">
        <v>1</v>
      </c>
      <c r="K30">
        <f>$K$29*(1+$B$82)^J30</f>
        <v>3</v>
      </c>
    </row>
    <row r="31" spans="1:14">
      <c r="A31" s="58" t="str">
        <f>_xlfn.CONCAT(TechnologiesEmlab!A3,"InvestmentCostTimeSeries")</f>
        <v>hydrogen CCGTInvestmentCostTimeSeries</v>
      </c>
      <c r="B31" s="46">
        <v>0</v>
      </c>
      <c r="C31" s="9"/>
      <c r="D31" s="9">
        <v>0</v>
      </c>
      <c r="E31" t="e">
        <f>IF(TechnologiesEmlab!#REF!&gt;0,"ACTIVE", "not active, max life extension 0")</f>
        <v>#REF!</v>
      </c>
      <c r="J31">
        <v>2</v>
      </c>
      <c r="K31">
        <f>$K$29*(1+$B$82)^J31</f>
        <v>3</v>
      </c>
    </row>
    <row r="32" spans="1:14">
      <c r="A32" s="58" t="str">
        <f>_xlfn.CONCAT(TechnologiesEmlab!A19,"InvestmentCostTimeSeries")</f>
        <v>Hydropower RORInvestmentCostTimeSeries</v>
      </c>
      <c r="B32" s="46">
        <v>0</v>
      </c>
      <c r="C32" s="9"/>
      <c r="D32" s="9">
        <v>0</v>
      </c>
      <c r="E32" t="e">
        <f>IF(TechnologiesEmlab!#REF!&gt;0,"ACTIVE", "not active, max life extension 0")</f>
        <v>#REF!</v>
      </c>
      <c r="J32">
        <v>25</v>
      </c>
      <c r="K32">
        <f>$K$29*(1+$B$82)^J32</f>
        <v>3</v>
      </c>
      <c r="N32">
        <f>K32/K29</f>
        <v>1</v>
      </c>
    </row>
    <row r="33" spans="1:10">
      <c r="A33" s="58" t="str">
        <f>_xlfn.CONCAT(TechnologiesEmlab!A20,"InvestmentCostTimeSeries")</f>
        <v>LigniteInvestmentCostTimeSeries</v>
      </c>
      <c r="B33" s="46">
        <v>0</v>
      </c>
      <c r="C33" s="9"/>
      <c r="D33" s="9">
        <v>0</v>
      </c>
      <c r="E33" t="e">
        <f>IF(TechnologiesEmlab!#REF!&gt;0,"ACTIVE", "not active, max life extension 0")</f>
        <v>#REF!</v>
      </c>
    </row>
    <row r="34" spans="1:10">
      <c r="A34" s="58" t="str">
        <f>_xlfn.CONCAT(TechnologiesEmlab!A6,"InvestmentCostTimeSeries")</f>
        <v>Lithium ion batteryInvestmentCostTimeSeries</v>
      </c>
      <c r="B34" s="46">
        <v>0</v>
      </c>
      <c r="C34" s="9"/>
      <c r="D34" s="9">
        <v>0</v>
      </c>
      <c r="E34" t="e">
        <f>IF(TechnologiesEmlab!#REF!&gt;0,"ACTIVE", "not active, max life extension 0")</f>
        <v>#REF!</v>
      </c>
      <c r="J34" t="s">
        <v>325</v>
      </c>
    </row>
    <row r="35" spans="1:10">
      <c r="A35" s="58" t="str">
        <f>_xlfn.CONCAT(TechnologiesEmlab!A7,"InvestmentCostTimeSeries")</f>
        <v>NuclearInvestmentCostTimeSeries</v>
      </c>
      <c r="B35" s="46">
        <v>0</v>
      </c>
      <c r="C35" s="9"/>
      <c r="D35" s="9">
        <v>0</v>
      </c>
      <c r="E35" t="e">
        <f>IF(TechnologiesEmlab!#REF!&gt;0,"ACTIVE", "not active, max life extension 0")</f>
        <v>#REF!</v>
      </c>
      <c r="J35" t="s">
        <v>326</v>
      </c>
    </row>
    <row r="36" spans="1:10">
      <c r="A36" s="58" t="str">
        <f>_xlfn.CONCAT(TechnologiesEmlab!A21,"InvestmentCostTimeSeries")</f>
        <v>OCGTInvestmentCostTimeSeries</v>
      </c>
      <c r="B36" s="46">
        <v>0</v>
      </c>
      <c r="C36" s="9"/>
      <c r="D36" s="9">
        <v>0</v>
      </c>
      <c r="E36" t="e">
        <f>IF(TechnologiesEmlab!#REF!&gt;0,"ACTIVE", "not active, max life extension 0")</f>
        <v>#REF!</v>
      </c>
      <c r="J36" t="s">
        <v>351</v>
      </c>
    </row>
    <row r="37" spans="1:10">
      <c r="A37" s="58" t="str">
        <f>_xlfn.CONCAT(TechnologiesEmlab!A22,"InvestmentCostTimeSeries")</f>
        <v>OilInvestmentCostTimeSeries</v>
      </c>
      <c r="B37" s="46">
        <v>0</v>
      </c>
      <c r="C37" s="9"/>
      <c r="D37" s="40">
        <v>0</v>
      </c>
      <c r="E37" t="s">
        <v>328</v>
      </c>
    </row>
    <row r="38" spans="1:10" s="9" customFormat="1">
      <c r="A38" s="58" t="str">
        <f>_xlfn.CONCAT(TechnologiesEmlab!A23,"InvestmentCostTimeSeries")</f>
        <v>PHS DischargeInvestmentCostTimeSeries</v>
      </c>
      <c r="B38" s="46">
        <v>0</v>
      </c>
      <c r="D38" s="40">
        <v>0</v>
      </c>
      <c r="E38" t="s">
        <v>336</v>
      </c>
    </row>
    <row r="39" spans="1:10">
      <c r="A39" s="58" t="str">
        <f>_xlfn.CONCAT(TechnologiesEmlab!A8,"InvestmentCostTimeSeries")</f>
        <v>Solar PV largeInvestmentCostTimeSeries</v>
      </c>
      <c r="B39" s="46">
        <v>0</v>
      </c>
      <c r="C39" s="9"/>
      <c r="D39" s="40">
        <v>0</v>
      </c>
    </row>
    <row r="40" spans="1:10">
      <c r="A40" s="58" t="str">
        <f>_xlfn.CONCAT(TechnologiesEmlab!A9,"InvestmentCostTimeSeries")</f>
        <v>Solar PV rooftopInvestmentCostTimeSeries</v>
      </c>
      <c r="B40" s="46">
        <v>0</v>
      </c>
      <c r="C40" s="9"/>
      <c r="D40" s="40">
        <v>0</v>
      </c>
    </row>
    <row r="41" spans="1:10">
      <c r="A41" s="58" t="str">
        <f>_xlfn.CONCAT(TechnologiesEmlab!A10,"InvestmentCostTimeSeries")</f>
        <v>Wind OffshoreInvestmentCostTimeSeries</v>
      </c>
      <c r="B41" s="46">
        <v>0</v>
      </c>
      <c r="C41" s="9"/>
      <c r="D41" s="40"/>
    </row>
    <row r="42" spans="1:10">
      <c r="A42" s="58" t="str">
        <f>_xlfn.CONCAT(TechnologiesEmlab!A11,"InvestmentCostTimeSeries")</f>
        <v>Wind OnshoreInvestmentCostTimeSeries</v>
      </c>
      <c r="B42" s="46">
        <v>0</v>
      </c>
      <c r="C42" s="9"/>
      <c r="D42" s="40">
        <v>0</v>
      </c>
    </row>
    <row r="43" spans="1:10">
      <c r="A43" s="58" t="str">
        <f>_xlfn.CONCAT(TechnologiesEmlab!A12,"InvestmentCostTimeSeries")</f>
        <v>electrolyzerInvestmentCostTimeSeries</v>
      </c>
      <c r="B43" s="46">
        <v>0</v>
      </c>
      <c r="C43" s="9"/>
      <c r="D43" s="40">
        <v>0</v>
      </c>
    </row>
    <row r="44" spans="1:10">
      <c r="A44" s="58" t="str">
        <f>_xlfn.CONCAT(TechnologiesEmlab!A13,"InvestmentCostTimeSeries")</f>
        <v>central gas boilerInvestmentCostTimeSeries</v>
      </c>
      <c r="B44" s="46">
        <v>0</v>
      </c>
      <c r="C44" s="9"/>
      <c r="D44" s="40">
        <v>0</v>
      </c>
    </row>
    <row r="45" spans="1:10">
      <c r="A45" s="58" t="str">
        <f>_xlfn.CONCAT(TechnologiesEmlab!A5,"InvestmentCostTimeSeries")</f>
        <v>Lithium ion battery 4InvestmentCostTimeSeries</v>
      </c>
      <c r="B45" s="46">
        <v>0</v>
      </c>
      <c r="C45" s="9"/>
      <c r="D45" s="40">
        <v>0</v>
      </c>
    </row>
    <row r="46" spans="1:10">
      <c r="A46" s="13" t="str">
        <f>_xlfn.CONCAT(TechnologiesEmlab!A4,"VariableCostTimeSeries")</f>
        <v>BiofuelVariableCostTimeSeries</v>
      </c>
      <c r="B46" s="46">
        <v>5.0000000000000001E-3</v>
      </c>
      <c r="C46" s="9"/>
      <c r="D46" s="40">
        <v>0</v>
      </c>
    </row>
    <row r="47" spans="1:10">
      <c r="A47" s="13" t="str">
        <f>_xlfn.CONCAT(TechnologiesEmlab!A14,"VariableCostTimeSeries")</f>
        <v>CCGTVariableCostTimeSeries</v>
      </c>
      <c r="B47" s="46">
        <v>5.0000000000000001E-3</v>
      </c>
      <c r="C47" s="9"/>
      <c r="D47" s="40">
        <v>0</v>
      </c>
    </row>
    <row r="48" spans="1:10">
      <c r="A48" s="13" t="str">
        <f>_xlfn.CONCAT(TechnologiesEmlab!A15,"VariableCostTimeSeries")</f>
        <v>CCS gasVariableCostTimeSeries</v>
      </c>
      <c r="B48" s="46">
        <v>5.0000000000000001E-3</v>
      </c>
      <c r="C48" s="9"/>
      <c r="D48" s="40">
        <v>0</v>
      </c>
    </row>
    <row r="49" spans="1:4">
      <c r="A49" s="13" t="str">
        <f>_xlfn.CONCAT(TechnologiesEmlab!A16,"VariableCostTimeSeries")</f>
        <v>Hard CoalVariableCostTimeSeries</v>
      </c>
      <c r="B49" s="46">
        <v>5.0000000000000001E-3</v>
      </c>
      <c r="C49" s="9"/>
      <c r="D49" s="40">
        <v>0</v>
      </c>
    </row>
    <row r="50" spans="1:4">
      <c r="A50" s="13" t="str">
        <f>_xlfn.CONCAT(TechnologiesEmlab!A17,"VariableCostTimeSeries")</f>
        <v>Hydro ReservoirVariableCostTimeSeries</v>
      </c>
      <c r="B50" s="46">
        <v>5.0000000000000001E-3</v>
      </c>
      <c r="C50" s="9"/>
      <c r="D50" s="40">
        <v>0</v>
      </c>
    </row>
    <row r="51" spans="1:4">
      <c r="A51" s="13" t="str">
        <f>_xlfn.CONCAT(TechnologiesEmlab!A18,"VariableCostTimeSeries")</f>
        <v>hydrogen CHPVariableCostTimeSeries</v>
      </c>
      <c r="B51" s="46">
        <v>5.0000000000000001E-3</v>
      </c>
      <c r="C51" s="9"/>
      <c r="D51" s="40">
        <v>0</v>
      </c>
    </row>
    <row r="52" spans="1:4">
      <c r="A52" s="13" t="str">
        <f>_xlfn.CONCAT(TechnologiesEmlab!A2,"VariableCostTimeSeries")</f>
        <v>hydrogen OCGTVariableCostTimeSeries</v>
      </c>
      <c r="B52" s="46">
        <v>5.0000000000000001E-3</v>
      </c>
      <c r="C52" s="9"/>
      <c r="D52" s="40">
        <v>0</v>
      </c>
    </row>
    <row r="53" spans="1:4">
      <c r="A53" s="13" t="str">
        <f>_xlfn.CONCAT(TechnologiesEmlab!A3,"VariableCostTimeSeries")</f>
        <v>hydrogen CCGTVariableCostTimeSeries</v>
      </c>
      <c r="B53" s="46">
        <v>5.0000000000000001E-3</v>
      </c>
      <c r="C53" s="9"/>
      <c r="D53" s="40">
        <v>0</v>
      </c>
    </row>
    <row r="54" spans="1:4">
      <c r="A54" s="13" t="str">
        <f>_xlfn.CONCAT(TechnologiesEmlab!A19,"VariableCostTimeSeries")</f>
        <v>Hydropower RORVariableCostTimeSeries</v>
      </c>
      <c r="B54" s="46">
        <v>5.0000000000000001E-3</v>
      </c>
      <c r="C54" s="9"/>
      <c r="D54" s="40">
        <v>0</v>
      </c>
    </row>
    <row r="55" spans="1:4">
      <c r="A55" s="13" t="str">
        <f>_xlfn.CONCAT(TechnologiesEmlab!A20,"VariableCostTimeSeries")</f>
        <v>LigniteVariableCostTimeSeries</v>
      </c>
      <c r="B55" s="46">
        <v>5.0000000000000001E-3</v>
      </c>
      <c r="C55" s="9"/>
      <c r="D55" s="40">
        <v>0</v>
      </c>
    </row>
    <row r="56" spans="1:4">
      <c r="A56" s="13" t="str">
        <f>_xlfn.CONCAT(TechnologiesEmlab!A6,"VariableCostTimeSeries")</f>
        <v>Lithium ion batteryVariableCostTimeSeries</v>
      </c>
      <c r="B56" s="46">
        <v>5.0000000000000001E-3</v>
      </c>
      <c r="C56" s="9"/>
      <c r="D56" s="40">
        <v>0</v>
      </c>
    </row>
    <row r="57" spans="1:4">
      <c r="A57" s="13" t="str">
        <f>_xlfn.CONCAT(TechnologiesEmlab!A7,"VariableCostTimeSeries")</f>
        <v>NuclearVariableCostTimeSeries</v>
      </c>
      <c r="B57" s="46">
        <v>5.0000000000000001E-3</v>
      </c>
      <c r="C57" s="9"/>
      <c r="D57" s="40">
        <v>0</v>
      </c>
    </row>
    <row r="58" spans="1:4">
      <c r="A58" s="13" t="str">
        <f>_xlfn.CONCAT(TechnologiesEmlab!A21,"VariableCostTimeSeries")</f>
        <v>OCGTVariableCostTimeSeries</v>
      </c>
      <c r="B58" s="46">
        <v>5.0000000000000001E-3</v>
      </c>
      <c r="C58" s="9"/>
      <c r="D58" s="40">
        <v>0</v>
      </c>
    </row>
    <row r="59" spans="1:4">
      <c r="A59" s="13" t="str">
        <f>_xlfn.CONCAT(TechnologiesEmlab!A22,"VariableCostTimeSeries")</f>
        <v>OilVariableCostTimeSeries</v>
      </c>
      <c r="B59" s="46">
        <v>5.0000000000000001E-3</v>
      </c>
      <c r="C59" s="9"/>
      <c r="D59" s="40">
        <v>0</v>
      </c>
    </row>
    <row r="60" spans="1:4">
      <c r="A60" s="13" t="str">
        <f>_xlfn.CONCAT(TechnologiesEmlab!A23,"VariableCostTimeSeries")</f>
        <v>PHS DischargeVariableCostTimeSeries</v>
      </c>
      <c r="B60" s="46">
        <v>5.0000000000000001E-3</v>
      </c>
      <c r="C60" s="9"/>
      <c r="D60" s="40">
        <v>0</v>
      </c>
    </row>
    <row r="61" spans="1:4">
      <c r="A61" s="13" t="str">
        <f>_xlfn.CONCAT(TechnologiesEmlab!A8,"VariableCostTimeSeries")</f>
        <v>Solar PV largeVariableCostTimeSeries</v>
      </c>
      <c r="B61" s="46">
        <v>5.0000000000000001E-3</v>
      </c>
      <c r="C61" s="9"/>
      <c r="D61" s="40"/>
    </row>
    <row r="62" spans="1:4">
      <c r="A62" s="13" t="str">
        <f>_xlfn.CONCAT(TechnologiesEmlab!A9,"VariableCostTimeSeries")</f>
        <v>Solar PV rooftopVariableCostTimeSeries</v>
      </c>
      <c r="B62" s="46">
        <v>5.0000000000000001E-3</v>
      </c>
      <c r="C62" s="9"/>
      <c r="D62" s="40">
        <v>0</v>
      </c>
    </row>
    <row r="63" spans="1:4">
      <c r="A63" s="13" t="str">
        <f>_xlfn.CONCAT(TechnologiesEmlab!A10,"VariableCostTimeSeries")</f>
        <v>Wind OffshoreVariableCostTimeSeries</v>
      </c>
      <c r="B63" s="46">
        <v>5.0000000000000001E-3</v>
      </c>
      <c r="C63" s="9"/>
      <c r="D63" s="40">
        <v>0</v>
      </c>
    </row>
    <row r="64" spans="1:4">
      <c r="A64" s="13" t="str">
        <f>_xlfn.CONCAT(TechnologiesEmlab!A11,"VariableCostTimeSeries")</f>
        <v>Wind OnshoreVariableCostTimeSeries</v>
      </c>
      <c r="B64" s="46">
        <v>5.0000000000000001E-3</v>
      </c>
      <c r="C64" s="9"/>
      <c r="D64" s="40">
        <v>0</v>
      </c>
    </row>
    <row r="65" spans="1:5">
      <c r="A65" s="13" t="str">
        <f>_xlfn.CONCAT(TechnologiesEmlab!A12,"VariableCostTimeSeries")</f>
        <v>electrolyzerVariableCostTimeSeries</v>
      </c>
      <c r="B65" s="46">
        <v>5.0000000000000001E-3</v>
      </c>
      <c r="C65" s="9"/>
      <c r="D65" s="40">
        <v>-5.0000000000000001E-3</v>
      </c>
      <c r="E65" t="s">
        <v>335</v>
      </c>
    </row>
    <row r="66" spans="1:5">
      <c r="A66" s="13" t="str">
        <f>_xlfn.CONCAT(TechnologiesEmlab!A13,"VariableCostTimeSeries")</f>
        <v>central gas boilerVariableCostTimeSeries</v>
      </c>
      <c r="B66" s="46">
        <v>5.0000000000000001E-3</v>
      </c>
      <c r="C66" s="9"/>
      <c r="D66" s="40">
        <v>-5.0000000000000001E-3</v>
      </c>
    </row>
    <row r="67" spans="1:5">
      <c r="A67" s="13" t="str">
        <f>_xlfn.CONCAT(TechnologiesEmlab!A5,"VariableCostTimeSeries")</f>
        <v>Lithium ion battery 4VariableCostTimeSeries</v>
      </c>
      <c r="B67" s="46">
        <v>5.0000000000000001E-3</v>
      </c>
      <c r="C67" s="9"/>
      <c r="D67" s="40">
        <v>-5.0000000000000001E-3</v>
      </c>
    </row>
    <row r="68" spans="1:5">
      <c r="A68" s="58" t="str">
        <f>_xlfn.CONCAT(TechnologiesEmlab!A4,"EfficiencyTimeSeries")</f>
        <v>BiofuelEfficiencyTimeSeries</v>
      </c>
      <c r="B68" s="46">
        <v>0</v>
      </c>
      <c r="C68" s="9"/>
      <c r="D68" s="40">
        <v>-5.0000000000000001E-3</v>
      </c>
    </row>
    <row r="69" spans="1:5">
      <c r="A69" s="58" t="str">
        <f>_xlfn.CONCAT(TechnologiesEmlab!A14,"EfficiencyTimeSeries")</f>
        <v>CCGTEfficiencyTimeSeries</v>
      </c>
      <c r="B69" s="46">
        <v>0</v>
      </c>
      <c r="C69" s="9"/>
      <c r="D69" s="9"/>
    </row>
    <row r="70" spans="1:5">
      <c r="A70" s="58" t="str">
        <f>_xlfn.CONCAT(TechnologiesEmlab!A15,"EfficiencyTimeSeries")</f>
        <v>CCS gasEfficiencyTimeSeries</v>
      </c>
      <c r="B70" s="46">
        <v>0</v>
      </c>
      <c r="C70" s="9"/>
      <c r="D70" s="9"/>
    </row>
    <row r="71" spans="1:5">
      <c r="A71" s="58" t="str">
        <f>_xlfn.CONCAT(TechnologiesEmlab!A16,"EfficiencyTimeSeries")</f>
        <v>Hard CoalEfficiencyTimeSeries</v>
      </c>
      <c r="B71" s="46">
        <v>0</v>
      </c>
      <c r="C71" s="9"/>
      <c r="D71" s="9"/>
    </row>
    <row r="72" spans="1:5">
      <c r="A72" s="58" t="str">
        <f>_xlfn.CONCAT(TechnologiesEmlab!A17,"EfficiencyTimeSeries")</f>
        <v>Hydro ReservoirEfficiencyTimeSeries</v>
      </c>
      <c r="B72" s="46">
        <v>0</v>
      </c>
      <c r="C72" s="9"/>
      <c r="D72" s="9"/>
    </row>
    <row r="73" spans="1:5">
      <c r="A73" s="58" t="str">
        <f>_xlfn.CONCAT(TechnologiesEmlab!A18,"EfficiencyTimeSeries")</f>
        <v>hydrogen CHPEfficiencyTimeSeries</v>
      </c>
      <c r="B73" s="46">
        <v>0</v>
      </c>
      <c r="C73" s="9"/>
      <c r="D73" s="9"/>
    </row>
    <row r="74" spans="1:5">
      <c r="A74" s="58" t="str">
        <f>_xlfn.CONCAT(TechnologiesEmlab!A2,"EfficiencyTimeSeries")</f>
        <v>hydrogen OCGTEfficiencyTimeSeries</v>
      </c>
      <c r="B74" s="46">
        <v>0</v>
      </c>
      <c r="C74" s="9"/>
      <c r="D74" s="9"/>
    </row>
    <row r="75" spans="1:5">
      <c r="A75" s="58" t="str">
        <f>_xlfn.CONCAT(TechnologiesEmlab!A3,"EfficiencyTimeSeries")</f>
        <v>hydrogen CCGTEfficiencyTimeSeries</v>
      </c>
      <c r="B75" s="46">
        <v>0</v>
      </c>
      <c r="C75" s="9"/>
      <c r="D75" s="9"/>
    </row>
    <row r="76" spans="1:5">
      <c r="A76" s="58" t="str">
        <f>_xlfn.CONCAT(TechnologiesEmlab!A19,"EfficiencyTimeSeries")</f>
        <v>Hydropower ROREfficiencyTimeSeries</v>
      </c>
      <c r="B76" s="46">
        <v>0</v>
      </c>
      <c r="C76" s="9"/>
      <c r="D76" s="9"/>
    </row>
    <row r="77" spans="1:5">
      <c r="A77" s="58" t="str">
        <f>_xlfn.CONCAT(TechnologiesEmlab!A20,"EfficiencyTimeSeries")</f>
        <v>LigniteEfficiencyTimeSeries</v>
      </c>
      <c r="B77" s="46">
        <v>0</v>
      </c>
      <c r="C77" s="9"/>
      <c r="D77" s="9"/>
    </row>
    <row r="78" spans="1:5">
      <c r="A78" s="58" t="str">
        <f>_xlfn.CONCAT(TechnologiesEmlab!A6,"EfficiencyTimeSeries")</f>
        <v>Lithium ion batteryEfficiencyTimeSeries</v>
      </c>
      <c r="B78" s="46">
        <v>0</v>
      </c>
      <c r="C78" s="9"/>
      <c r="D78" s="9"/>
    </row>
    <row r="79" spans="1:5">
      <c r="A79" s="58" t="str">
        <f>_xlfn.CONCAT(TechnologiesEmlab!A7,"EfficiencyTimeSeries")</f>
        <v>NuclearEfficiencyTimeSeries</v>
      </c>
      <c r="B79" s="46">
        <v>0</v>
      </c>
      <c r="C79" s="9"/>
      <c r="D79" s="9"/>
    </row>
    <row r="80" spans="1:5">
      <c r="A80" s="58" t="str">
        <f>_xlfn.CONCAT(TechnologiesEmlab!A21,"EfficiencyTimeSeries")</f>
        <v>OCGTEfficiencyTimeSeries</v>
      </c>
      <c r="B80" s="46">
        <v>0</v>
      </c>
      <c r="C80" s="9"/>
      <c r="D80" s="9"/>
    </row>
    <row r="81" spans="1:4">
      <c r="A81" s="58" t="str">
        <f>_xlfn.CONCAT(TechnologiesEmlab!A22,"EfficiencyTimeSeries")</f>
        <v>OilEfficiencyTimeSeries</v>
      </c>
      <c r="B81" s="46">
        <v>0</v>
      </c>
      <c r="C81" s="9"/>
      <c r="D81" s="9"/>
    </row>
    <row r="82" spans="1:4">
      <c r="A82" s="58" t="str">
        <f>_xlfn.CONCAT(TechnologiesEmlab!A23,"EfficiencyTimeSeries")</f>
        <v>PHS DischargeEfficiencyTimeSeries</v>
      </c>
      <c r="B82" s="46">
        <v>0</v>
      </c>
      <c r="C82" s="9"/>
      <c r="D82" s="9"/>
    </row>
    <row r="83" spans="1:4">
      <c r="A83" s="58" t="str">
        <f>_xlfn.CONCAT(TechnologiesEmlab!A8,"EfficiencyTimeSeries")</f>
        <v>Solar PV largeEfficiencyTimeSeries</v>
      </c>
      <c r="B83" s="46">
        <v>0</v>
      </c>
      <c r="C83" s="9"/>
      <c r="D83" s="9"/>
    </row>
    <row r="84" spans="1:4">
      <c r="A84" s="58" t="str">
        <f>_xlfn.CONCAT(TechnologiesEmlab!A9,"EfficiencyTimeSeries")</f>
        <v>Solar PV rooftopEfficiencyTimeSeries</v>
      </c>
      <c r="B84" s="46">
        <v>0</v>
      </c>
      <c r="C84" s="9"/>
      <c r="D84" s="9"/>
    </row>
    <row r="85" spans="1:4">
      <c r="A85" s="58" t="str">
        <f>_xlfn.CONCAT(TechnologiesEmlab!A10,"EfficiencyTimeSeries")</f>
        <v>Wind OffshoreEfficiencyTimeSeries</v>
      </c>
      <c r="B85" s="46">
        <v>0</v>
      </c>
      <c r="C85" s="9"/>
      <c r="D85" s="9"/>
    </row>
    <row r="86" spans="1:4">
      <c r="A86" s="58" t="str">
        <f>_xlfn.CONCAT(TechnologiesEmlab!A11,"EfficiencyTimeSeries")</f>
        <v>Wind OnshoreEfficiencyTimeSeries</v>
      </c>
      <c r="B86" s="46">
        <v>0</v>
      </c>
      <c r="C86" s="9"/>
      <c r="D86" s="9"/>
    </row>
    <row r="87" spans="1:4">
      <c r="A87" s="58" t="str">
        <f>_xlfn.CONCAT(TechnologiesEmlab!A12,"EfficiencyTimeSeries")</f>
        <v>electrolyzerEfficiencyTimeSeries</v>
      </c>
      <c r="B87" s="46">
        <v>0</v>
      </c>
      <c r="C87" s="9"/>
      <c r="D87" s="9"/>
    </row>
    <row r="88" spans="1:4">
      <c r="A88" s="58" t="str">
        <f>_xlfn.CONCAT(TechnologiesEmlab!A13,"EfficiencyTimeSeries")</f>
        <v>central gas boilerEfficiencyTimeSeries</v>
      </c>
      <c r="B88" s="46">
        <v>0</v>
      </c>
      <c r="C88" s="9"/>
      <c r="D88" s="9"/>
    </row>
    <row r="89" spans="1:4">
      <c r="A89" s="58" t="str">
        <f>_xlfn.CONCAT(TechnologiesEmlab!A5,"EfficiencyTimeSeries")</f>
        <v>Lithium ion battery 4EfficiencyTimeSeries</v>
      </c>
      <c r="B89" s="46">
        <v>1</v>
      </c>
      <c r="C89" s="9"/>
      <c r="D89" s="9"/>
    </row>
    <row r="90" spans="1:4">
      <c r="A90" s="9"/>
      <c r="B90" s="9"/>
      <c r="C90" s="9"/>
      <c r="D90" s="9"/>
    </row>
    <row r="91" spans="1:4">
      <c r="A91" s="9"/>
      <c r="B91" s="9"/>
      <c r="C91" s="9"/>
      <c r="D91" s="9"/>
    </row>
    <row r="92" spans="1:4">
      <c r="A92" s="9"/>
      <c r="B92" s="9"/>
      <c r="C92" s="9"/>
      <c r="D92" s="9"/>
    </row>
    <row r="93" spans="1:4">
      <c r="A93" s="9"/>
      <c r="B93" s="9"/>
      <c r="C93" s="9"/>
      <c r="D93" s="9"/>
    </row>
    <row r="94" spans="1:4">
      <c r="A94" s="9"/>
      <c r="B94" s="9"/>
      <c r="C94" s="9"/>
      <c r="D94" s="9"/>
    </row>
    <row r="95" spans="1:4">
      <c r="A95" s="9"/>
      <c r="B95" s="9"/>
      <c r="C95" s="9"/>
      <c r="D95" s="9"/>
    </row>
    <row r="96" spans="1:4">
      <c r="A96" s="9"/>
      <c r="B96" s="9"/>
      <c r="C96" s="9"/>
      <c r="D96" s="9"/>
    </row>
    <row r="97" spans="1:4">
      <c r="A97" s="9"/>
      <c r="B97" s="9"/>
      <c r="C97" s="9"/>
      <c r="D97" s="9"/>
    </row>
    <row r="98" spans="1:4">
      <c r="D98" s="9"/>
    </row>
    <row r="99" spans="1:4">
      <c r="D99" s="9"/>
    </row>
    <row r="104" spans="1:4">
      <c r="D104" s="40"/>
    </row>
    <row r="105" spans="1:4">
      <c r="D105" s="40"/>
    </row>
    <row r="106" spans="1:4">
      <c r="D106" s="40"/>
    </row>
    <row r="107" spans="1:4">
      <c r="D107" s="40"/>
    </row>
    <row r="108" spans="1:4">
      <c r="D108" s="40"/>
    </row>
    <row r="109" spans="1:4">
      <c r="D109" s="40"/>
    </row>
    <row r="110" spans="1:4">
      <c r="D110" s="40"/>
    </row>
    <row r="111" spans="1:4">
      <c r="D111" s="40"/>
    </row>
    <row r="112" spans="1:4">
      <c r="D112" s="40"/>
    </row>
    <row r="113" spans="4:4">
      <c r="D113" s="40"/>
    </row>
    <row r="114" spans="4:4">
      <c r="D114" s="40"/>
    </row>
    <row r="115" spans="4:4">
      <c r="D115" s="40"/>
    </row>
    <row r="116" spans="4:4">
      <c r="D116" s="40"/>
    </row>
    <row r="117" spans="4:4">
      <c r="D117" s="40"/>
    </row>
    <row r="118" spans="4:4">
      <c r="D118" s="40"/>
    </row>
    <row r="119" spans="4:4">
      <c r="D119" s="40"/>
    </row>
    <row r="120" spans="4:4">
      <c r="D120" s="40"/>
    </row>
    <row r="121" spans="4:4">
      <c r="D121" s="40"/>
    </row>
    <row r="122" spans="4:4">
      <c r="D122" s="40"/>
    </row>
    <row r="123" spans="4:4">
      <c r="D123" s="40"/>
    </row>
    <row r="124" spans="4:4">
      <c r="D124" s="40"/>
    </row>
    <row r="125" spans="4:4">
      <c r="D125" s="40"/>
    </row>
    <row r="126" spans="4:4">
      <c r="D126" s="40"/>
    </row>
    <row r="127" spans="4:4">
      <c r="D127" s="40"/>
    </row>
    <row r="128" spans="4:4">
      <c r="D128" s="40"/>
    </row>
    <row r="129" spans="4:4">
      <c r="D129" s="40"/>
    </row>
    <row r="130" spans="4:4">
      <c r="D130" s="40"/>
    </row>
    <row r="131" spans="4:4">
      <c r="D131" s="40"/>
    </row>
    <row r="132" spans="4:4">
      <c r="D132" s="40"/>
    </row>
    <row r="133" spans="4:4">
      <c r="D133" s="40"/>
    </row>
    <row r="134" spans="4:4">
      <c r="D134" s="40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topLeftCell="B1" zoomScale="115" zoomScaleNormal="115" workbookViewId="0">
      <selection activeCell="F7" sqref="F7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49" t="s">
        <v>0</v>
      </c>
      <c r="B1" s="49" t="s">
        <v>9</v>
      </c>
      <c r="C1" s="49" t="s">
        <v>10</v>
      </c>
      <c r="D1" s="49" t="s">
        <v>12</v>
      </c>
      <c r="E1" s="49" t="s">
        <v>14</v>
      </c>
      <c r="F1" s="49" t="s">
        <v>15</v>
      </c>
      <c r="G1" s="49" t="s">
        <v>16</v>
      </c>
      <c r="H1" s="49" t="s">
        <v>17</v>
      </c>
      <c r="I1" s="49" t="s">
        <v>18</v>
      </c>
    </row>
    <row r="2" spans="1:15">
      <c r="A2" s="13" t="s">
        <v>215</v>
      </c>
      <c r="B2" s="13" t="s">
        <v>374</v>
      </c>
      <c r="C2" s="13" t="b">
        <v>1</v>
      </c>
      <c r="D2" s="13">
        <v>0</v>
      </c>
      <c r="E2" s="13">
        <v>0.8</v>
      </c>
      <c r="F2" s="13">
        <v>7.0000000000000007E-2</v>
      </c>
      <c r="G2" s="13">
        <v>7.0000000000000007E-2</v>
      </c>
      <c r="H2" s="13">
        <v>3</v>
      </c>
      <c r="I2" s="13">
        <v>0.1</v>
      </c>
    </row>
    <row r="3" spans="1:15">
      <c r="A3" s="13" t="s">
        <v>216</v>
      </c>
      <c r="B3" s="13" t="s">
        <v>373</v>
      </c>
      <c r="C3" s="13" t="b">
        <v>1</v>
      </c>
      <c r="D3" s="13">
        <v>0</v>
      </c>
      <c r="E3" s="13">
        <v>0.8</v>
      </c>
      <c r="F3" s="13">
        <v>7.0000000000000007E-2</v>
      </c>
      <c r="G3" s="13">
        <v>7.0000000000000007E-2</v>
      </c>
      <c r="H3" s="13">
        <v>3</v>
      </c>
      <c r="I3" s="1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theme="7" tint="0.79998168889431442"/>
  </sheetPr>
  <dimension ref="A1:N6"/>
  <sheetViews>
    <sheetView zoomScale="115" zoomScaleNormal="115" workbookViewId="0">
      <selection activeCell="M35" sqref="M35"/>
    </sheetView>
  </sheetViews>
  <sheetFormatPr defaultRowHeight="15"/>
  <cols>
    <col min="1" max="1" width="37.7109375" customWidth="1"/>
    <col min="2" max="2" width="31.5703125" customWidth="1"/>
    <col min="5" max="6" width="12" bestFit="1" customWidth="1"/>
    <col min="9" max="9" width="12.85546875" customWidth="1"/>
  </cols>
  <sheetData>
    <row r="1" spans="1:14">
      <c r="A1" s="13" t="s">
        <v>347</v>
      </c>
      <c r="B1" s="13" t="s">
        <v>365</v>
      </c>
      <c r="D1">
        <f>D2*2</f>
        <v>8392.0011415525114</v>
      </c>
    </row>
    <row r="2" spans="1:14">
      <c r="A2" s="13" t="s">
        <v>339</v>
      </c>
      <c r="B2" s="13">
        <v>6155</v>
      </c>
      <c r="D2">
        <f>B3/730</f>
        <v>4196.0005707762557</v>
      </c>
      <c r="E2" t="s">
        <v>346</v>
      </c>
      <c r="K2" t="s">
        <v>485</v>
      </c>
      <c r="L2" t="s">
        <v>484</v>
      </c>
    </row>
    <row r="3" spans="1:14">
      <c r="A3" s="13" t="s">
        <v>340</v>
      </c>
      <c r="B3" s="34">
        <f>K3/12</f>
        <v>3063080.4166666665</v>
      </c>
      <c r="D3" t="s">
        <v>345</v>
      </c>
      <c r="K3">
        <v>36756965</v>
      </c>
      <c r="L3">
        <v>51575940</v>
      </c>
      <c r="M3">
        <v>51.575940000000003</v>
      </c>
      <c r="N3" t="s">
        <v>260</v>
      </c>
    </row>
    <row r="4" spans="1:14">
      <c r="A4" s="13" t="s">
        <v>366</v>
      </c>
      <c r="B4" s="13" t="s">
        <v>368</v>
      </c>
      <c r="D4" s="36" t="s">
        <v>367</v>
      </c>
      <c r="J4" s="1" t="s">
        <v>486</v>
      </c>
      <c r="K4">
        <v>6155</v>
      </c>
    </row>
    <row r="6" spans="1:14">
      <c r="J6" s="1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E2B3-5DA3-495E-AE75-2BFBE263AF0A}">
  <sheetPr>
    <tabColor theme="7" tint="0.79998168889431442"/>
  </sheetPr>
  <dimension ref="A1"/>
  <sheetViews>
    <sheetView workbookViewId="0">
      <selection activeCell="V37" sqref="V37"/>
    </sheetView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6C4E-7EEE-4AD8-BC52-AC020417D1C6}">
  <sheetPr>
    <tabColor theme="7" tint="0.79998168889431442"/>
  </sheetPr>
  <dimension ref="A1:J9"/>
  <sheetViews>
    <sheetView tabSelected="1" zoomScale="85" zoomScaleNormal="85" workbookViewId="0">
      <selection activeCell="E16" sqref="E16"/>
    </sheetView>
  </sheetViews>
  <sheetFormatPr defaultRowHeight="15"/>
  <cols>
    <col min="1" max="1" width="36.140625" customWidth="1"/>
    <col min="2" max="2" width="17.85546875" style="74" customWidth="1"/>
    <col min="3" max="3" width="28.140625" customWidth="1"/>
    <col min="4" max="8" width="17.85546875" customWidth="1"/>
  </cols>
  <sheetData>
    <row r="1" spans="1:10">
      <c r="A1" s="13" t="s">
        <v>0</v>
      </c>
      <c r="B1" s="73" t="s">
        <v>488</v>
      </c>
      <c r="C1" s="13" t="s">
        <v>489</v>
      </c>
    </row>
    <row r="2" spans="1:10">
      <c r="A2" s="13" t="s">
        <v>439</v>
      </c>
      <c r="B2" s="77">
        <v>70000</v>
      </c>
      <c r="C2" s="13">
        <v>0.13</v>
      </c>
      <c r="E2" s="77">
        <v>102043.30769230769</v>
      </c>
    </row>
    <row r="3" spans="1:10">
      <c r="A3" s="13" t="s">
        <v>434</v>
      </c>
      <c r="B3" s="77">
        <v>60000</v>
      </c>
      <c r="C3" s="13">
        <v>0.13</v>
      </c>
      <c r="E3" s="77">
        <v>84942</v>
      </c>
    </row>
    <row r="4" spans="1:10">
      <c r="A4" s="13" t="s">
        <v>440</v>
      </c>
      <c r="B4" s="77">
        <v>50000</v>
      </c>
      <c r="C4" s="13">
        <v>0.33</v>
      </c>
      <c r="E4" s="77">
        <v>63489.515151515152</v>
      </c>
    </row>
    <row r="5" spans="1:10">
      <c r="A5" s="13" t="s">
        <v>431</v>
      </c>
      <c r="B5" s="77">
        <v>40000</v>
      </c>
      <c r="C5" s="13">
        <v>0.09</v>
      </c>
      <c r="E5" s="77">
        <v>42700</v>
      </c>
    </row>
    <row r="6" spans="1:10">
      <c r="A6" s="13" t="s">
        <v>429</v>
      </c>
      <c r="B6" s="77">
        <v>30000</v>
      </c>
      <c r="C6" s="13">
        <v>0.21</v>
      </c>
      <c r="E6" s="77">
        <v>32723</v>
      </c>
      <c r="F6" t="s">
        <v>493</v>
      </c>
    </row>
    <row r="7" spans="1:10">
      <c r="A7" s="13"/>
      <c r="B7" s="34"/>
      <c r="C7" s="13"/>
      <c r="F7">
        <f>SUM(C2:C8)</f>
        <v>0.89</v>
      </c>
      <c r="H7" s="13" t="s">
        <v>430</v>
      </c>
      <c r="I7" s="34">
        <v>30429</v>
      </c>
      <c r="J7" s="13">
        <v>0.08</v>
      </c>
    </row>
    <row r="8" spans="1:10">
      <c r="A8" s="13"/>
      <c r="B8" s="34"/>
      <c r="C8" s="13"/>
      <c r="H8" s="13" t="s">
        <v>428</v>
      </c>
      <c r="I8" s="34">
        <v>19785</v>
      </c>
      <c r="J8" s="13">
        <v>0.03</v>
      </c>
    </row>
    <row r="9" spans="1:10">
      <c r="A9" s="13"/>
      <c r="B9" s="34"/>
      <c r="C9" s="1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A6DF-6308-4C22-97F3-E72B689FC20A}">
  <sheetPr>
    <tabColor theme="7" tint="0.79998168889431442"/>
  </sheetPr>
  <dimension ref="A1:L15"/>
  <sheetViews>
    <sheetView zoomScale="85" zoomScaleNormal="85" workbookViewId="0">
      <selection activeCell="C6" sqref="C6"/>
    </sheetView>
  </sheetViews>
  <sheetFormatPr defaultRowHeight="15"/>
  <cols>
    <col min="1" max="1" width="36.140625" customWidth="1"/>
    <col min="2" max="4" width="17.85546875" style="76" customWidth="1"/>
    <col min="5" max="5" width="18.7109375" customWidth="1"/>
    <col min="6" max="8" width="17.85546875" customWidth="1"/>
  </cols>
  <sheetData>
    <row r="1" spans="1:12">
      <c r="A1" s="13" t="s">
        <v>0</v>
      </c>
      <c r="B1" s="75" t="s">
        <v>491</v>
      </c>
      <c r="C1" s="75" t="s">
        <v>492</v>
      </c>
      <c r="D1" s="75" t="s">
        <v>499</v>
      </c>
      <c r="F1" t="s">
        <v>490</v>
      </c>
    </row>
    <row r="2" spans="1:12">
      <c r="A2" s="13" t="s">
        <v>439</v>
      </c>
      <c r="B2" s="13">
        <f>CapacitySubscriptionConsumer!C2</f>
        <v>0.13</v>
      </c>
      <c r="C2" s="78">
        <f>CapacitySubscriptionConsumer!B2</f>
        <v>70000</v>
      </c>
      <c r="D2" s="78">
        <f>+B2*20000</f>
        <v>2600</v>
      </c>
      <c r="F2" s="13">
        <f>G2/100</f>
        <v>0.13</v>
      </c>
      <c r="G2">
        <v>13</v>
      </c>
      <c r="J2" s="13" t="s">
        <v>430</v>
      </c>
      <c r="K2" s="13">
        <f>F7-0.05</f>
        <v>0.03</v>
      </c>
      <c r="L2" s="75">
        <v>0</v>
      </c>
    </row>
    <row r="3" spans="1:12">
      <c r="A3" s="13" t="s">
        <v>434</v>
      </c>
      <c r="B3" s="13">
        <f>CapacitySubscriptionConsumer!C3</f>
        <v>0.13</v>
      </c>
      <c r="C3" s="78">
        <f>CapacitySubscriptionConsumer!B3</f>
        <v>60000</v>
      </c>
      <c r="D3" s="78">
        <f t="shared" ref="D3:D6" si="0">+B3*20000</f>
        <v>2600</v>
      </c>
      <c r="F3" s="13">
        <f t="shared" ref="F3:F6" si="1">G3/100</f>
        <v>0.13</v>
      </c>
      <c r="G3">
        <v>13</v>
      </c>
      <c r="J3" s="13" t="s">
        <v>428</v>
      </c>
      <c r="K3" s="13">
        <v>0</v>
      </c>
      <c r="L3" s="75">
        <v>0</v>
      </c>
    </row>
    <row r="4" spans="1:12">
      <c r="A4" s="13" t="s">
        <v>440</v>
      </c>
      <c r="B4" s="13">
        <f>CapacitySubscriptionConsumer!C4</f>
        <v>0.33</v>
      </c>
      <c r="C4" s="78">
        <f>CapacitySubscriptionConsumer!B4</f>
        <v>50000</v>
      </c>
      <c r="D4" s="78">
        <f t="shared" si="0"/>
        <v>6600</v>
      </c>
      <c r="F4" s="13">
        <f t="shared" si="1"/>
        <v>0.33</v>
      </c>
      <c r="G4">
        <v>33</v>
      </c>
    </row>
    <row r="5" spans="1:12">
      <c r="A5" s="13" t="s">
        <v>431</v>
      </c>
      <c r="B5" s="13">
        <f>CapacitySubscriptionConsumer!C5</f>
        <v>0.09</v>
      </c>
      <c r="C5" s="78">
        <f>CapacitySubscriptionConsumer!B5</f>
        <v>40000</v>
      </c>
      <c r="D5" s="78">
        <f t="shared" si="0"/>
        <v>1800</v>
      </c>
      <c r="F5" s="13">
        <f t="shared" si="1"/>
        <v>0.09</v>
      </c>
      <c r="G5">
        <v>9</v>
      </c>
    </row>
    <row r="6" spans="1:12">
      <c r="A6" s="13" t="s">
        <v>429</v>
      </c>
      <c r="B6" s="13">
        <f>CapacitySubscriptionConsumer!C6</f>
        <v>0.21</v>
      </c>
      <c r="C6" s="78">
        <f>CapacitySubscriptionConsumer!B6</f>
        <v>30000</v>
      </c>
      <c r="D6" s="78">
        <f t="shared" si="0"/>
        <v>4200</v>
      </c>
      <c r="F6" s="13">
        <f t="shared" si="1"/>
        <v>0.21</v>
      </c>
      <c r="G6">
        <v>21</v>
      </c>
    </row>
    <row r="7" spans="1:12">
      <c r="A7" s="13"/>
      <c r="B7" s="13"/>
      <c r="C7" s="78"/>
      <c r="D7" s="78"/>
      <c r="F7" s="13">
        <f>G7/100</f>
        <v>0.08</v>
      </c>
      <c r="G7">
        <v>8</v>
      </c>
    </row>
    <row r="9" spans="1:12">
      <c r="F9" s="13">
        <f>G9/100</f>
        <v>0.03</v>
      </c>
      <c r="G9">
        <v>3</v>
      </c>
    </row>
    <row r="13" spans="1:12">
      <c r="G13" s="13" t="s">
        <v>430</v>
      </c>
      <c r="H13" s="13">
        <f>CapacitySubscriptionConsumer!C8-0.04</f>
        <v>-0.04</v>
      </c>
      <c r="I13" s="78">
        <f>CapacitySubscriptionConsumer!B8</f>
        <v>0</v>
      </c>
    </row>
    <row r="14" spans="1:12">
      <c r="G14" s="13" t="s">
        <v>428</v>
      </c>
      <c r="H14" s="13">
        <v>0.03</v>
      </c>
      <c r="I14" s="75">
        <v>0</v>
      </c>
    </row>
    <row r="15" spans="1:12">
      <c r="H15" s="76"/>
      <c r="I15" s="7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23"/>
  <sheetViews>
    <sheetView zoomScaleNormal="100" workbookViewId="0">
      <selection activeCell="D35" sqref="D35"/>
    </sheetView>
  </sheetViews>
  <sheetFormatPr defaultRowHeight="15"/>
  <cols>
    <col min="1" max="1" width="33.42578125" customWidth="1"/>
    <col min="2" max="2" width="13.42578125" customWidth="1"/>
    <col min="3" max="3" width="14.7109375" customWidth="1"/>
    <col min="4" max="4" width="10.5703125" customWidth="1"/>
    <col min="5" max="5" width="25.5703125" customWidth="1"/>
  </cols>
  <sheetData>
    <row r="1" spans="1:7">
      <c r="A1" s="38" t="s">
        <v>190</v>
      </c>
      <c r="B1" s="38" t="s">
        <v>197</v>
      </c>
      <c r="C1" s="38" t="s">
        <v>191</v>
      </c>
      <c r="E1" s="15" t="s">
        <v>175</v>
      </c>
    </row>
    <row r="2" spans="1:7">
      <c r="A2" s="62" t="s">
        <v>381</v>
      </c>
      <c r="B2" s="13" t="s">
        <v>208</v>
      </c>
      <c r="C2" s="13">
        <v>1</v>
      </c>
      <c r="E2" t="s">
        <v>265</v>
      </c>
    </row>
    <row r="3" spans="1:7">
      <c r="A3" s="62" t="s">
        <v>67</v>
      </c>
      <c r="B3" s="13" t="s">
        <v>208</v>
      </c>
      <c r="C3" s="13">
        <v>2</v>
      </c>
      <c r="E3" t="s">
        <v>403</v>
      </c>
    </row>
    <row r="4" spans="1:7">
      <c r="A4" s="62" t="s">
        <v>423</v>
      </c>
      <c r="B4" s="13" t="s">
        <v>208</v>
      </c>
      <c r="C4" s="13">
        <v>3</v>
      </c>
    </row>
    <row r="5" spans="1:7">
      <c r="A5" s="62" t="s">
        <v>420</v>
      </c>
      <c r="B5" s="13" t="s">
        <v>208</v>
      </c>
      <c r="C5" s="13">
        <v>4</v>
      </c>
    </row>
    <row r="6" spans="1:7">
      <c r="A6" s="62" t="s">
        <v>417</v>
      </c>
      <c r="B6" s="13" t="s">
        <v>195</v>
      </c>
      <c r="C6" s="13">
        <v>5</v>
      </c>
    </row>
    <row r="7" spans="1:7">
      <c r="A7" s="62" t="s">
        <v>388</v>
      </c>
      <c r="B7" s="13" t="s">
        <v>208</v>
      </c>
      <c r="C7" s="13">
        <v>6</v>
      </c>
      <c r="G7" s="9"/>
    </row>
    <row r="8" spans="1:7">
      <c r="A8" s="62" t="s">
        <v>449</v>
      </c>
      <c r="B8" s="13" t="s">
        <v>208</v>
      </c>
      <c r="C8" s="13">
        <v>7</v>
      </c>
      <c r="G8" s="9"/>
    </row>
    <row r="9" spans="1:7">
      <c r="A9" s="62" t="s">
        <v>497</v>
      </c>
      <c r="B9" s="13" t="s">
        <v>208</v>
      </c>
      <c r="C9" s="13">
        <v>8</v>
      </c>
      <c r="G9" s="9"/>
    </row>
    <row r="10" spans="1:7">
      <c r="A10" s="62" t="s">
        <v>418</v>
      </c>
      <c r="B10" s="13" t="s">
        <v>195</v>
      </c>
      <c r="C10" s="13">
        <v>9</v>
      </c>
      <c r="G10" s="9"/>
    </row>
    <row r="11" spans="1:7">
      <c r="A11" s="62" t="s">
        <v>422</v>
      </c>
      <c r="B11" s="13" t="s">
        <v>208</v>
      </c>
      <c r="C11" s="13">
        <v>10</v>
      </c>
      <c r="G11" s="9"/>
    </row>
    <row r="12" spans="1:7">
      <c r="A12" s="62" t="s">
        <v>386</v>
      </c>
      <c r="B12" s="13" t="s">
        <v>208</v>
      </c>
      <c r="C12" s="13">
        <v>11</v>
      </c>
      <c r="G12" s="9"/>
    </row>
    <row r="13" spans="1:7">
      <c r="A13" s="62" t="s">
        <v>41</v>
      </c>
      <c r="B13" s="13" t="s">
        <v>208</v>
      </c>
      <c r="C13" s="13">
        <v>12</v>
      </c>
    </row>
    <row r="14" spans="1:7">
      <c r="A14" s="62" t="s">
        <v>89</v>
      </c>
      <c r="B14" s="13" t="s">
        <v>208</v>
      </c>
      <c r="C14" s="13">
        <v>13</v>
      </c>
    </row>
    <row r="15" spans="1:7">
      <c r="A15" s="62" t="s">
        <v>421</v>
      </c>
      <c r="B15" s="13" t="s">
        <v>208</v>
      </c>
      <c r="C15" s="13">
        <v>14</v>
      </c>
    </row>
    <row r="16" spans="1:7">
      <c r="A16" s="62" t="s">
        <v>419</v>
      </c>
      <c r="B16" s="13" t="s">
        <v>208</v>
      </c>
      <c r="C16" s="13">
        <v>15</v>
      </c>
    </row>
    <row r="17" spans="1:7">
      <c r="A17" s="62" t="s">
        <v>382</v>
      </c>
      <c r="B17" s="13" t="s">
        <v>196</v>
      </c>
      <c r="C17" s="13">
        <v>16</v>
      </c>
    </row>
    <row r="18" spans="1:7">
      <c r="A18" s="62" t="s">
        <v>383</v>
      </c>
      <c r="B18" s="13" t="s">
        <v>192</v>
      </c>
      <c r="C18" s="13">
        <v>17</v>
      </c>
    </row>
    <row r="19" spans="1:7">
      <c r="A19" s="62" t="s">
        <v>385</v>
      </c>
      <c r="B19" s="13" t="s">
        <v>194</v>
      </c>
      <c r="C19" s="13">
        <v>18</v>
      </c>
    </row>
    <row r="20" spans="1:7">
      <c r="A20" s="62" t="s">
        <v>384</v>
      </c>
      <c r="B20" s="13" t="s">
        <v>193</v>
      </c>
      <c r="C20" s="13">
        <v>19</v>
      </c>
    </row>
    <row r="21" spans="1:7">
      <c r="A21" s="62" t="s">
        <v>293</v>
      </c>
      <c r="B21" s="13" t="s">
        <v>208</v>
      </c>
      <c r="C21" s="13">
        <v>20</v>
      </c>
    </row>
    <row r="22" spans="1:7">
      <c r="A22" s="62" t="s">
        <v>498</v>
      </c>
      <c r="B22" s="13" t="s">
        <v>208</v>
      </c>
      <c r="C22" s="13">
        <v>11</v>
      </c>
    </row>
    <row r="23" spans="1:7">
      <c r="G23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theme="7" tint="0.79998168889431442"/>
  </sheetPr>
  <dimension ref="A1:M13"/>
  <sheetViews>
    <sheetView zoomScale="85" zoomScaleNormal="85" workbookViewId="0">
      <selection activeCell="F18" sqref="F18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8" width="16.5703125" customWidth="1"/>
    <col min="9" max="10" width="17.7109375" customWidth="1"/>
    <col min="11" max="11" width="9.85546875" customWidth="1"/>
    <col min="12" max="12" width="11" customWidth="1"/>
    <col min="13" max="13" width="50.28515625" customWidth="1"/>
    <col min="14" max="14" width="19.85546875" customWidth="1"/>
    <col min="15" max="15" width="15.7109375" customWidth="1"/>
    <col min="16" max="16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341</v>
      </c>
      <c r="F1" s="16"/>
      <c r="H1" s="18"/>
      <c r="I1" s="18"/>
      <c r="J1" s="18"/>
      <c r="K1" s="44"/>
      <c r="L1" s="44"/>
      <c r="M1" s="44"/>
    </row>
    <row r="2" spans="1:13" ht="17.45" customHeight="1">
      <c r="A2" s="13">
        <v>1</v>
      </c>
      <c r="B2" s="13" t="str">
        <f t="shared" ref="B2:B3" si="0">CONCATENATE("amiris-config/data/LS_",A2,".csv")</f>
        <v>amiris-config/data/LS_1.csv</v>
      </c>
      <c r="C2" s="13" t="str">
        <f t="shared" ref="C2:C3" si="1">CONCATENATE("amiris-config/data/future_LS_",A2,".csv")</f>
        <v>amiris-config/data/future_LS_1.csv</v>
      </c>
      <c r="D2" s="13" t="s">
        <v>69</v>
      </c>
      <c r="E2" s="34">
        <v>4001</v>
      </c>
      <c r="G2">
        <v>0.16</v>
      </c>
      <c r="K2" s="44"/>
      <c r="L2" s="44"/>
      <c r="M2" s="44"/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4000</v>
      </c>
      <c r="G3">
        <v>0.73</v>
      </c>
      <c r="H3" s="16"/>
      <c r="I3" s="16"/>
      <c r="K3" s="44"/>
      <c r="L3" s="53"/>
      <c r="M3" s="44"/>
    </row>
    <row r="4" spans="1:13">
      <c r="A4" s="13">
        <v>3</v>
      </c>
      <c r="B4" s="13" t="str">
        <f>CONCATENATE("amiris-config/data/LS_",A4,".csv")</f>
        <v>amiris-config/data/LS_3.csv</v>
      </c>
      <c r="C4" s="13" t="str">
        <f>CONCATENATE("amiris-config/data/future_LS_",A4,".csv")</f>
        <v>amiris-config/data/future_LS_3.csv</v>
      </c>
      <c r="D4" s="13" t="s">
        <v>69</v>
      </c>
      <c r="E4" s="34">
        <v>1500</v>
      </c>
      <c r="F4" s="16"/>
    </row>
    <row r="5" spans="1:13">
      <c r="A5" s="13" t="s">
        <v>103</v>
      </c>
      <c r="B5" s="13" t="s">
        <v>370</v>
      </c>
      <c r="C5" s="13" t="s">
        <v>376</v>
      </c>
      <c r="D5" s="13">
        <f>37450</f>
        <v>37450</v>
      </c>
      <c r="E5" s="13"/>
    </row>
    <row r="6" spans="1:13">
      <c r="K6" s="44"/>
      <c r="L6" s="54"/>
      <c r="M6" s="54"/>
    </row>
    <row r="7" spans="1:13">
      <c r="K7" s="44"/>
      <c r="L7" s="54"/>
      <c r="M7" s="54"/>
    </row>
    <row r="8" spans="1:13">
      <c r="G8">
        <v>0.05</v>
      </c>
      <c r="K8" s="44"/>
      <c r="L8" s="44"/>
      <c r="M8" s="44"/>
    </row>
    <row r="9" spans="1:13">
      <c r="G9">
        <v>0.06</v>
      </c>
      <c r="K9" s="44"/>
      <c r="L9" s="44"/>
      <c r="M9" s="44"/>
    </row>
    <row r="10" spans="1:13" ht="17.45" customHeight="1">
      <c r="F10" s="16"/>
      <c r="H10" s="16"/>
      <c r="I10" s="16"/>
      <c r="K10" s="44"/>
      <c r="L10" s="53"/>
      <c r="M10" s="44"/>
    </row>
    <row r="11" spans="1:13" ht="17.45" customHeight="1">
      <c r="B11" s="18">
        <v>4</v>
      </c>
      <c r="C11" s="13" t="str">
        <f t="shared" ref="C11" si="2">CONCATENATE("amiris-config/data/LS_",B11,".csv")</f>
        <v>amiris-config/data/LS_4.csv</v>
      </c>
      <c r="D11" s="13" t="str">
        <f t="shared" ref="D11" si="3">CONCATENATE("amiris-config/data/future_LS_",B11,".csv")</f>
        <v>amiris-config/data/future_LS_4.csv</v>
      </c>
      <c r="E11" s="13" t="s">
        <v>69</v>
      </c>
      <c r="F11" s="34">
        <v>800</v>
      </c>
      <c r="H11" s="16"/>
      <c r="I11" s="16"/>
      <c r="K11" s="44"/>
      <c r="L11" s="53"/>
      <c r="M11" s="44"/>
    </row>
    <row r="12" spans="1:13">
      <c r="K12" s="44"/>
      <c r="L12" s="44"/>
      <c r="M12" s="44"/>
    </row>
    <row r="13" spans="1:13">
      <c r="K13" s="44"/>
      <c r="L13" s="44"/>
      <c r="M13" s="44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360-A15E-48CE-BD73-0003788F49DD}">
  <sheetPr>
    <tabColor theme="7" tint="0.79998168889431442"/>
  </sheetPr>
  <dimension ref="A1:G6"/>
  <sheetViews>
    <sheetView workbookViewId="0">
      <selection activeCell="F37" sqref="F37"/>
    </sheetView>
  </sheetViews>
  <sheetFormatPr defaultRowHeight="15"/>
  <cols>
    <col min="1" max="1" width="34.5703125" customWidth="1"/>
    <col min="2" max="2" width="16.7109375" customWidth="1"/>
  </cols>
  <sheetData>
    <row r="1" spans="1:7">
      <c r="A1" s="13" t="s">
        <v>359</v>
      </c>
      <c r="B1" s="13">
        <v>1</v>
      </c>
      <c r="C1" s="13">
        <v>2</v>
      </c>
      <c r="D1" s="13">
        <v>3</v>
      </c>
      <c r="E1" s="13" t="s">
        <v>103</v>
      </c>
    </row>
    <row r="2" spans="1:7">
      <c r="A2" s="13">
        <v>2050</v>
      </c>
      <c r="B2" s="13">
        <f>SUM(CS_subscribed!B:B)</f>
        <v>0.89</v>
      </c>
      <c r="C2" s="13">
        <f>1-B2-D2</f>
        <v>0</v>
      </c>
      <c r="D2" s="13">
        <f>1-SUM(CapacitySubscriptionConsumer!C:C)</f>
        <v>0.10999999999999999</v>
      </c>
      <c r="E2" s="13" t="s">
        <v>69</v>
      </c>
      <c r="G2">
        <f>SUM(B2:D2)</f>
        <v>1</v>
      </c>
    </row>
    <row r="4" spans="1:7">
      <c r="B4" t="s">
        <v>494</v>
      </c>
      <c r="C4" t="s">
        <v>495</v>
      </c>
    </row>
    <row r="5" spans="1:7">
      <c r="E5" s="13">
        <v>4</v>
      </c>
    </row>
    <row r="6" spans="1:7">
      <c r="E6" s="13">
        <v>0.03</v>
      </c>
    </row>
  </sheetData>
  <conditionalFormatting sqref="G2">
    <cfRule type="cellIs" dxfId="2" priority="1" operator="between">
      <formula>0</formula>
      <formula>0.99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7" tint="0.79998168889431442"/>
  </sheetPr>
  <dimension ref="A1:C3"/>
  <sheetViews>
    <sheetView workbookViewId="0">
      <selection activeCell="O39" sqref="O39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149</v>
      </c>
      <c r="B1" t="s">
        <v>224</v>
      </c>
      <c r="C1" s="36"/>
    </row>
    <row r="2" spans="1:3">
      <c r="A2" t="s">
        <v>319</v>
      </c>
      <c r="B2" t="s">
        <v>321</v>
      </c>
    </row>
    <row r="3" spans="1:3">
      <c r="A3" t="s">
        <v>320</v>
      </c>
      <c r="B3" t="s">
        <v>321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H34" sqref="H34"/>
    </sheetView>
  </sheetViews>
  <sheetFormatPr defaultRowHeight="15"/>
  <cols>
    <col min="1" max="1" width="19.42578125" style="16" customWidth="1"/>
    <col min="2" max="41" width="8.7109375" style="16"/>
  </cols>
  <sheetData>
    <row r="1" spans="1:43">
      <c r="A1" s="16" t="s">
        <v>317</v>
      </c>
      <c r="B1" s="16">
        <v>0</v>
      </c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16">
        <v>37</v>
      </c>
      <c r="AN1" s="16">
        <v>38</v>
      </c>
      <c r="AO1" s="16">
        <v>39</v>
      </c>
      <c r="AP1" s="35"/>
      <c r="AQ1" s="35"/>
    </row>
    <row r="2" spans="1:43">
      <c r="A2" s="16" t="s">
        <v>318</v>
      </c>
      <c r="B2" s="16">
        <v>1980</v>
      </c>
      <c r="C2" s="16">
        <v>1981</v>
      </c>
      <c r="D2" s="16">
        <v>1982</v>
      </c>
      <c r="E2" s="16">
        <v>1983</v>
      </c>
      <c r="F2" s="16">
        <v>1984</v>
      </c>
      <c r="G2" s="16">
        <v>1985</v>
      </c>
      <c r="H2" s="16">
        <v>1986</v>
      </c>
      <c r="I2" s="16">
        <v>1987</v>
      </c>
      <c r="J2" s="16">
        <v>1988</v>
      </c>
      <c r="K2" s="16">
        <v>1989</v>
      </c>
      <c r="L2" s="16">
        <v>1990</v>
      </c>
      <c r="M2" s="16">
        <v>1991</v>
      </c>
      <c r="N2" s="16">
        <v>1992</v>
      </c>
      <c r="O2" s="16">
        <v>1993</v>
      </c>
      <c r="P2" s="16">
        <v>1994</v>
      </c>
      <c r="Q2" s="16">
        <v>1995</v>
      </c>
      <c r="R2" s="16">
        <v>1996</v>
      </c>
      <c r="S2" s="16">
        <v>1997</v>
      </c>
      <c r="T2" s="16">
        <v>1998</v>
      </c>
      <c r="U2" s="16">
        <v>1999</v>
      </c>
      <c r="V2" s="16">
        <v>2000</v>
      </c>
      <c r="W2" s="16">
        <v>2001</v>
      </c>
      <c r="X2" s="16">
        <v>2002</v>
      </c>
      <c r="Y2" s="16">
        <v>2003</v>
      </c>
      <c r="Z2" s="16">
        <v>2004</v>
      </c>
      <c r="AA2" s="16">
        <v>2005</v>
      </c>
      <c r="AB2" s="16">
        <v>2006</v>
      </c>
      <c r="AC2" s="16">
        <v>2007</v>
      </c>
      <c r="AD2" s="16">
        <v>2008</v>
      </c>
      <c r="AE2" s="16">
        <v>2009</v>
      </c>
      <c r="AF2" s="16">
        <v>2010</v>
      </c>
      <c r="AG2" s="16">
        <v>2011</v>
      </c>
      <c r="AH2" s="16">
        <v>2012</v>
      </c>
      <c r="AI2" s="16">
        <v>2013</v>
      </c>
      <c r="AJ2" s="16">
        <v>2014</v>
      </c>
      <c r="AK2" s="16">
        <v>2015</v>
      </c>
      <c r="AL2" s="16">
        <v>2016</v>
      </c>
      <c r="AM2" s="16">
        <v>2017</v>
      </c>
      <c r="AN2" s="16">
        <v>2018</v>
      </c>
      <c r="AO2" s="16">
        <v>2019</v>
      </c>
      <c r="AP2" s="35"/>
      <c r="AQ2" s="35"/>
    </row>
    <row r="3" spans="1:43">
      <c r="A3" s="16" t="s">
        <v>302</v>
      </c>
      <c r="B3" s="16">
        <v>2009</v>
      </c>
      <c r="C3" s="16">
        <v>1999</v>
      </c>
      <c r="D3" s="16">
        <v>1981</v>
      </c>
      <c r="E3" s="16">
        <v>1984</v>
      </c>
      <c r="F3" s="16">
        <v>1989</v>
      </c>
      <c r="G3" s="16">
        <v>2004</v>
      </c>
      <c r="H3" s="16">
        <v>2009</v>
      </c>
      <c r="I3" s="16">
        <v>1992</v>
      </c>
      <c r="J3" s="16">
        <v>1980</v>
      </c>
      <c r="K3" s="16">
        <v>1987</v>
      </c>
      <c r="L3" s="16">
        <v>1986</v>
      </c>
      <c r="M3" s="16">
        <v>2002</v>
      </c>
      <c r="N3" s="16">
        <v>2002</v>
      </c>
      <c r="O3" s="16">
        <v>1998</v>
      </c>
      <c r="P3" s="16">
        <v>2009</v>
      </c>
      <c r="Q3" s="16">
        <v>1980</v>
      </c>
      <c r="R3" s="16">
        <v>2004</v>
      </c>
      <c r="S3" s="16">
        <v>1983</v>
      </c>
      <c r="T3" s="16">
        <v>1984</v>
      </c>
      <c r="U3" s="16">
        <v>1980</v>
      </c>
      <c r="V3" s="16">
        <v>2002</v>
      </c>
      <c r="W3" s="16">
        <v>1985</v>
      </c>
      <c r="X3" s="16">
        <v>2017</v>
      </c>
      <c r="Y3" s="16">
        <v>1986</v>
      </c>
      <c r="Z3" s="16">
        <v>2007</v>
      </c>
      <c r="AA3" s="16">
        <v>1998</v>
      </c>
      <c r="AB3" s="16">
        <v>1993</v>
      </c>
      <c r="AC3" s="16">
        <v>1992</v>
      </c>
      <c r="AD3" s="16">
        <v>1982</v>
      </c>
      <c r="AE3" s="16">
        <v>2008</v>
      </c>
      <c r="AF3" s="16">
        <v>2005</v>
      </c>
      <c r="AG3" s="16">
        <v>1993</v>
      </c>
      <c r="AH3" s="16">
        <v>2012</v>
      </c>
      <c r="AI3" s="16">
        <v>1993</v>
      </c>
      <c r="AJ3" s="16">
        <v>1992</v>
      </c>
      <c r="AK3" s="16">
        <v>1983</v>
      </c>
      <c r="AL3" s="16">
        <v>2003</v>
      </c>
      <c r="AM3" s="16">
        <v>1990</v>
      </c>
      <c r="AN3" s="16">
        <v>1997</v>
      </c>
      <c r="AO3" s="16">
        <v>2014</v>
      </c>
      <c r="AP3" s="35"/>
    </row>
    <row r="4" spans="1:43">
      <c r="A4" s="16" t="s">
        <v>303</v>
      </c>
      <c r="B4" s="16">
        <v>2006</v>
      </c>
      <c r="C4" s="16">
        <v>1988</v>
      </c>
      <c r="D4" s="16">
        <v>1981</v>
      </c>
      <c r="E4" s="16">
        <v>1982</v>
      </c>
      <c r="F4" s="16">
        <v>1999</v>
      </c>
      <c r="G4" s="16">
        <v>1989</v>
      </c>
      <c r="H4" s="16">
        <v>1993</v>
      </c>
      <c r="I4" s="16">
        <v>2017</v>
      </c>
      <c r="J4" s="16">
        <v>2014</v>
      </c>
      <c r="K4" s="16">
        <v>1982</v>
      </c>
      <c r="L4" s="16">
        <v>1985</v>
      </c>
      <c r="M4" s="16">
        <v>1997</v>
      </c>
      <c r="N4" s="16">
        <v>1986</v>
      </c>
      <c r="O4" s="16">
        <v>1983</v>
      </c>
      <c r="P4" s="16">
        <v>2002</v>
      </c>
      <c r="Q4" s="16">
        <v>2018</v>
      </c>
      <c r="R4" s="16">
        <v>1997</v>
      </c>
      <c r="S4" s="16">
        <v>1994</v>
      </c>
      <c r="T4" s="16">
        <v>2004</v>
      </c>
      <c r="U4" s="16">
        <v>1984</v>
      </c>
      <c r="V4" s="16">
        <v>2001</v>
      </c>
      <c r="W4" s="16">
        <v>1999</v>
      </c>
      <c r="X4" s="16">
        <v>1993</v>
      </c>
      <c r="Y4" s="16">
        <v>2003</v>
      </c>
      <c r="Z4" s="16">
        <v>1994</v>
      </c>
      <c r="AA4" s="16">
        <v>2011</v>
      </c>
      <c r="AB4" s="16">
        <v>1990</v>
      </c>
      <c r="AC4" s="16">
        <v>1983</v>
      </c>
      <c r="AD4" s="16">
        <v>1980</v>
      </c>
      <c r="AE4" s="16">
        <v>2002</v>
      </c>
      <c r="AF4" s="16">
        <v>2000</v>
      </c>
      <c r="AG4" s="16">
        <v>2001</v>
      </c>
      <c r="AH4" s="16">
        <v>1985</v>
      </c>
      <c r="AI4" s="16">
        <v>2015</v>
      </c>
      <c r="AJ4" s="16">
        <v>2007</v>
      </c>
      <c r="AK4" s="16">
        <v>1982</v>
      </c>
      <c r="AL4" s="16">
        <v>1982</v>
      </c>
      <c r="AM4" s="16">
        <v>1991</v>
      </c>
      <c r="AN4" s="16">
        <v>1990</v>
      </c>
      <c r="AO4" s="16">
        <v>2003</v>
      </c>
      <c r="AP4" s="35"/>
    </row>
    <row r="5" spans="1:43">
      <c r="A5" s="16" t="s">
        <v>304</v>
      </c>
      <c r="B5" s="16">
        <v>1989</v>
      </c>
      <c r="C5" s="16">
        <v>1989</v>
      </c>
      <c r="D5" s="16">
        <v>2006</v>
      </c>
      <c r="E5" s="16">
        <v>2003</v>
      </c>
      <c r="F5" s="16">
        <v>1980</v>
      </c>
      <c r="G5" s="16">
        <v>2019</v>
      </c>
      <c r="H5" s="16">
        <v>1987</v>
      </c>
      <c r="I5" s="16">
        <v>1988</v>
      </c>
      <c r="J5" s="16">
        <v>2018</v>
      </c>
      <c r="K5" s="16">
        <v>2001</v>
      </c>
      <c r="L5" s="16">
        <v>2003</v>
      </c>
      <c r="M5" s="16">
        <v>2010</v>
      </c>
      <c r="N5" s="16">
        <v>1996</v>
      </c>
      <c r="O5" s="16">
        <v>1993</v>
      </c>
      <c r="P5" s="16">
        <v>1996</v>
      </c>
      <c r="Q5" s="16">
        <v>2010</v>
      </c>
      <c r="R5" s="16">
        <v>2001</v>
      </c>
      <c r="S5" s="16">
        <v>2010</v>
      </c>
      <c r="T5" s="16">
        <v>2016</v>
      </c>
      <c r="U5" s="16">
        <v>2003</v>
      </c>
      <c r="V5" s="16">
        <v>1985</v>
      </c>
      <c r="W5" s="16">
        <v>1982</v>
      </c>
      <c r="X5" s="16">
        <v>1994</v>
      </c>
      <c r="Y5" s="16">
        <v>1983</v>
      </c>
      <c r="Z5" s="16">
        <v>2004</v>
      </c>
      <c r="AA5" s="16">
        <v>1983</v>
      </c>
      <c r="AB5" s="16">
        <v>2007</v>
      </c>
      <c r="AC5" s="16">
        <v>1991</v>
      </c>
      <c r="AD5" s="16">
        <v>1994</v>
      </c>
      <c r="AE5" s="16">
        <v>2011</v>
      </c>
      <c r="AF5" s="16">
        <v>2017</v>
      </c>
      <c r="AG5" s="16">
        <v>1989</v>
      </c>
      <c r="AH5" s="16">
        <v>1980</v>
      </c>
      <c r="AI5" s="16">
        <v>1990</v>
      </c>
      <c r="AJ5" s="16">
        <v>1996</v>
      </c>
      <c r="AK5" s="16">
        <v>1988</v>
      </c>
      <c r="AL5" s="16">
        <v>1998</v>
      </c>
      <c r="AM5" s="16">
        <v>2010</v>
      </c>
      <c r="AN5" s="16">
        <v>1990</v>
      </c>
      <c r="AO5" s="16">
        <v>2009</v>
      </c>
      <c r="AP5" s="35"/>
    </row>
    <row r="6" spans="1:43">
      <c r="A6" s="16" t="s">
        <v>305</v>
      </c>
      <c r="B6" s="16">
        <v>2015</v>
      </c>
      <c r="C6" s="16">
        <v>2001</v>
      </c>
      <c r="D6" s="16">
        <v>1985</v>
      </c>
      <c r="E6" s="16">
        <v>2016</v>
      </c>
      <c r="F6" s="16">
        <v>1996</v>
      </c>
      <c r="G6" s="16">
        <v>1996</v>
      </c>
      <c r="H6" s="16">
        <v>2006</v>
      </c>
      <c r="I6" s="16">
        <v>1994</v>
      </c>
      <c r="J6" s="16">
        <v>1995</v>
      </c>
      <c r="K6" s="16">
        <v>2019</v>
      </c>
      <c r="L6" s="16">
        <v>2015</v>
      </c>
      <c r="M6" s="16">
        <v>2009</v>
      </c>
      <c r="N6" s="16">
        <v>1996</v>
      </c>
      <c r="O6" s="16">
        <v>2016</v>
      </c>
      <c r="P6" s="16">
        <v>2007</v>
      </c>
      <c r="Q6" s="16">
        <v>2016</v>
      </c>
      <c r="R6" s="16">
        <v>1989</v>
      </c>
      <c r="S6" s="16">
        <v>1985</v>
      </c>
      <c r="T6" s="16">
        <v>2001</v>
      </c>
      <c r="U6" s="16">
        <v>2010</v>
      </c>
      <c r="V6" s="16">
        <v>2011</v>
      </c>
      <c r="W6" s="16">
        <v>1993</v>
      </c>
      <c r="X6" s="16">
        <v>1982</v>
      </c>
      <c r="Y6" s="16">
        <v>2002</v>
      </c>
      <c r="Z6" s="16">
        <v>2012</v>
      </c>
      <c r="AA6" s="16">
        <v>1991</v>
      </c>
      <c r="AB6" s="16">
        <v>1998</v>
      </c>
      <c r="AC6" s="16">
        <v>1993</v>
      </c>
      <c r="AD6" s="16">
        <v>1984</v>
      </c>
      <c r="AE6" s="16">
        <v>1985</v>
      </c>
      <c r="AF6" s="16">
        <v>2008</v>
      </c>
      <c r="AG6" s="16">
        <v>2012</v>
      </c>
      <c r="AH6" s="16">
        <v>2019</v>
      </c>
      <c r="AI6" s="16">
        <v>2011</v>
      </c>
      <c r="AJ6" s="16">
        <v>2015</v>
      </c>
      <c r="AK6" s="16">
        <v>2008</v>
      </c>
      <c r="AL6" s="16">
        <v>1981</v>
      </c>
      <c r="AM6" s="16">
        <v>2014</v>
      </c>
      <c r="AN6" s="16">
        <v>1997</v>
      </c>
      <c r="AO6" s="16">
        <v>1987</v>
      </c>
      <c r="AP6" s="35"/>
    </row>
    <row r="7" spans="1:43">
      <c r="A7" s="16" t="s">
        <v>306</v>
      </c>
      <c r="B7" s="16">
        <v>2006</v>
      </c>
      <c r="C7" s="16">
        <v>1982</v>
      </c>
      <c r="D7" s="16">
        <v>1982</v>
      </c>
      <c r="E7" s="16">
        <v>2009</v>
      </c>
      <c r="F7" s="16">
        <v>2015</v>
      </c>
      <c r="G7" s="16">
        <v>1982</v>
      </c>
      <c r="H7" s="16">
        <v>1983</v>
      </c>
      <c r="I7" s="16">
        <v>2012</v>
      </c>
      <c r="J7" s="16">
        <v>1998</v>
      </c>
      <c r="K7" s="16">
        <v>2007</v>
      </c>
      <c r="L7" s="16">
        <v>1994</v>
      </c>
      <c r="M7" s="16">
        <v>2000</v>
      </c>
      <c r="N7" s="16">
        <v>1999</v>
      </c>
      <c r="O7" s="16">
        <v>1987</v>
      </c>
      <c r="P7" s="16">
        <v>1990</v>
      </c>
      <c r="Q7" s="16">
        <v>1991</v>
      </c>
      <c r="R7" s="16">
        <v>2005</v>
      </c>
      <c r="S7" s="16">
        <v>2009</v>
      </c>
      <c r="T7" s="16">
        <v>2004</v>
      </c>
      <c r="U7" s="16">
        <v>2008</v>
      </c>
      <c r="V7" s="16">
        <v>1986</v>
      </c>
      <c r="W7" s="16">
        <v>2001</v>
      </c>
      <c r="X7" s="16">
        <v>2009</v>
      </c>
      <c r="Y7" s="16">
        <v>2006</v>
      </c>
      <c r="Z7" s="16">
        <v>2010</v>
      </c>
      <c r="AA7" s="16">
        <v>1990</v>
      </c>
      <c r="AB7" s="16">
        <v>2013</v>
      </c>
      <c r="AC7" s="16">
        <v>1993</v>
      </c>
      <c r="AD7" s="16">
        <v>1992</v>
      </c>
      <c r="AE7" s="16">
        <v>1988</v>
      </c>
      <c r="AF7" s="16">
        <v>1993</v>
      </c>
      <c r="AG7" s="16">
        <v>2009</v>
      </c>
      <c r="AH7" s="16">
        <v>1988</v>
      </c>
      <c r="AI7" s="16">
        <v>2002</v>
      </c>
      <c r="AJ7" s="16">
        <v>2007</v>
      </c>
      <c r="AK7" s="16">
        <v>1981</v>
      </c>
      <c r="AL7" s="16">
        <v>2010</v>
      </c>
      <c r="AM7" s="16">
        <v>2002</v>
      </c>
      <c r="AN7" s="16">
        <v>1994</v>
      </c>
      <c r="AO7" s="16">
        <v>1991</v>
      </c>
      <c r="AP7" s="35"/>
    </row>
    <row r="8" spans="1:43">
      <c r="A8" s="16" t="s">
        <v>307</v>
      </c>
      <c r="B8" s="16">
        <v>1991</v>
      </c>
      <c r="C8" s="16">
        <v>1993</v>
      </c>
      <c r="D8" s="16">
        <v>1985</v>
      </c>
      <c r="E8" s="16">
        <v>2006</v>
      </c>
      <c r="F8" s="16">
        <v>2003</v>
      </c>
      <c r="G8" s="16">
        <v>2005</v>
      </c>
      <c r="H8" s="16">
        <v>1999</v>
      </c>
      <c r="I8" s="16">
        <v>1987</v>
      </c>
      <c r="J8" s="16">
        <v>2018</v>
      </c>
      <c r="K8" s="16">
        <v>2017</v>
      </c>
      <c r="L8" s="16">
        <v>1982</v>
      </c>
      <c r="M8" s="16">
        <v>2003</v>
      </c>
      <c r="N8" s="16">
        <v>2010</v>
      </c>
      <c r="O8" s="16">
        <v>1994</v>
      </c>
      <c r="P8" s="16">
        <v>2000</v>
      </c>
      <c r="Q8" s="16">
        <v>1989</v>
      </c>
      <c r="R8" s="16">
        <v>1991</v>
      </c>
      <c r="S8" s="16">
        <v>1996</v>
      </c>
      <c r="T8" s="16">
        <v>1992</v>
      </c>
      <c r="U8" s="16">
        <v>1999</v>
      </c>
      <c r="V8" s="16">
        <v>2015</v>
      </c>
      <c r="W8" s="16">
        <v>2016</v>
      </c>
      <c r="X8" s="16">
        <v>1985</v>
      </c>
      <c r="Y8" s="16">
        <v>1986</v>
      </c>
      <c r="Z8" s="16">
        <v>1982</v>
      </c>
      <c r="AA8" s="16">
        <v>2010</v>
      </c>
      <c r="AB8" s="16">
        <v>1986</v>
      </c>
      <c r="AC8" s="16">
        <v>1985</v>
      </c>
      <c r="AD8" s="16">
        <v>1986</v>
      </c>
      <c r="AE8" s="16">
        <v>2018</v>
      </c>
      <c r="AF8" s="16">
        <v>2014</v>
      </c>
      <c r="AG8" s="16">
        <v>2014</v>
      </c>
      <c r="AH8" s="16">
        <v>2011</v>
      </c>
      <c r="AI8" s="16">
        <v>2000</v>
      </c>
      <c r="AJ8" s="16">
        <v>2006</v>
      </c>
      <c r="AK8" s="16">
        <v>2008</v>
      </c>
      <c r="AL8" s="16">
        <v>1989</v>
      </c>
      <c r="AM8" s="16">
        <v>1984</v>
      </c>
      <c r="AN8" s="16">
        <v>1991</v>
      </c>
      <c r="AO8" s="16">
        <v>1985</v>
      </c>
      <c r="AP8" s="35"/>
    </row>
    <row r="9" spans="1:43">
      <c r="A9" s="16" t="s">
        <v>308</v>
      </c>
      <c r="B9" s="16">
        <v>1985</v>
      </c>
      <c r="C9" s="16">
        <v>2016</v>
      </c>
      <c r="D9" s="16">
        <v>2004</v>
      </c>
      <c r="E9" s="16">
        <v>1992</v>
      </c>
      <c r="F9" s="16">
        <v>2015</v>
      </c>
      <c r="G9" s="16">
        <v>1986</v>
      </c>
      <c r="H9" s="16">
        <v>1995</v>
      </c>
      <c r="I9" s="16">
        <v>1986</v>
      </c>
      <c r="J9" s="16">
        <v>2005</v>
      </c>
      <c r="K9" s="16">
        <v>2004</v>
      </c>
      <c r="L9" s="16">
        <v>1990</v>
      </c>
      <c r="M9" s="16">
        <v>2015</v>
      </c>
      <c r="N9" s="16">
        <v>2019</v>
      </c>
      <c r="O9" s="16">
        <v>1991</v>
      </c>
      <c r="P9" s="16">
        <v>1994</v>
      </c>
      <c r="Q9" s="16">
        <v>2005</v>
      </c>
      <c r="R9" s="16">
        <v>2004</v>
      </c>
      <c r="S9" s="16">
        <v>1983</v>
      </c>
      <c r="T9" s="16">
        <v>2012</v>
      </c>
      <c r="U9" s="16">
        <v>1992</v>
      </c>
      <c r="V9" s="16">
        <v>1993</v>
      </c>
      <c r="W9" s="16">
        <v>2011</v>
      </c>
      <c r="X9" s="16">
        <v>2019</v>
      </c>
      <c r="Y9" s="16">
        <v>2013</v>
      </c>
      <c r="Z9" s="16">
        <v>2003</v>
      </c>
      <c r="AA9" s="16">
        <v>2016</v>
      </c>
      <c r="AB9" s="16">
        <v>1996</v>
      </c>
      <c r="AC9" s="16">
        <v>2008</v>
      </c>
      <c r="AD9" s="16">
        <v>1993</v>
      </c>
      <c r="AE9" s="16">
        <v>2007</v>
      </c>
      <c r="AF9" s="16">
        <v>2014</v>
      </c>
      <c r="AG9" s="16">
        <v>1986</v>
      </c>
      <c r="AH9" s="16">
        <v>1999</v>
      </c>
      <c r="AI9" s="16">
        <v>1981</v>
      </c>
      <c r="AJ9" s="16">
        <v>2001</v>
      </c>
      <c r="AK9" s="16">
        <v>1986</v>
      </c>
      <c r="AL9" s="16">
        <v>1990</v>
      </c>
      <c r="AM9" s="16">
        <v>1993</v>
      </c>
      <c r="AN9" s="16">
        <v>2008</v>
      </c>
      <c r="AO9" s="16">
        <v>1997</v>
      </c>
      <c r="AP9" s="35"/>
    </row>
    <row r="10" spans="1:43">
      <c r="A10" s="16" t="s">
        <v>309</v>
      </c>
      <c r="B10" s="16">
        <v>1989</v>
      </c>
      <c r="C10" s="16">
        <v>2009</v>
      </c>
      <c r="D10" s="16">
        <v>2014</v>
      </c>
      <c r="E10" s="16">
        <v>1989</v>
      </c>
      <c r="F10" s="16">
        <v>2014</v>
      </c>
      <c r="G10" s="16">
        <v>2013</v>
      </c>
      <c r="H10" s="16">
        <v>2018</v>
      </c>
      <c r="I10" s="16">
        <v>2011</v>
      </c>
      <c r="J10" s="16">
        <v>1986</v>
      </c>
      <c r="K10" s="16">
        <v>1986</v>
      </c>
      <c r="L10" s="16">
        <v>1981</v>
      </c>
      <c r="M10" s="16">
        <v>2015</v>
      </c>
      <c r="N10" s="16">
        <v>2000</v>
      </c>
      <c r="O10" s="16">
        <v>2009</v>
      </c>
      <c r="P10" s="16">
        <v>1984</v>
      </c>
      <c r="Q10" s="16">
        <v>2013</v>
      </c>
      <c r="R10" s="16">
        <v>1996</v>
      </c>
      <c r="S10" s="16">
        <v>1982</v>
      </c>
      <c r="T10" s="16">
        <v>2007</v>
      </c>
      <c r="U10" s="16">
        <v>2001</v>
      </c>
      <c r="V10" s="16">
        <v>1982</v>
      </c>
      <c r="W10" s="16">
        <v>1997</v>
      </c>
      <c r="X10" s="16">
        <v>1993</v>
      </c>
      <c r="Y10" s="16">
        <v>2001</v>
      </c>
      <c r="Z10" s="16">
        <v>2010</v>
      </c>
      <c r="AA10" s="16">
        <v>2002</v>
      </c>
      <c r="AB10" s="16">
        <v>1980</v>
      </c>
      <c r="AC10" s="16">
        <v>2005</v>
      </c>
      <c r="AD10" s="16">
        <v>1985</v>
      </c>
      <c r="AE10" s="16">
        <v>1984</v>
      </c>
      <c r="AF10" s="16">
        <v>2003</v>
      </c>
      <c r="AG10" s="16">
        <v>2005</v>
      </c>
      <c r="AH10" s="16">
        <v>2006</v>
      </c>
      <c r="AI10" s="16">
        <v>2005</v>
      </c>
      <c r="AJ10" s="16">
        <v>1985</v>
      </c>
      <c r="AK10" s="16">
        <v>2001</v>
      </c>
      <c r="AL10" s="16">
        <v>2010</v>
      </c>
      <c r="AM10" s="16">
        <v>2000</v>
      </c>
      <c r="AN10" s="16">
        <v>1995</v>
      </c>
      <c r="AO10" s="16">
        <v>1995</v>
      </c>
      <c r="AP10" s="35"/>
    </row>
    <row r="11" spans="1:43">
      <c r="A11" s="16" t="s">
        <v>310</v>
      </c>
      <c r="B11" s="16">
        <v>1987</v>
      </c>
      <c r="C11" s="16">
        <v>1990</v>
      </c>
      <c r="D11" s="16">
        <v>1990</v>
      </c>
      <c r="E11" s="16">
        <v>1987</v>
      </c>
      <c r="F11" s="16">
        <v>2015</v>
      </c>
      <c r="G11" s="16">
        <v>1994</v>
      </c>
      <c r="H11" s="16">
        <v>2015</v>
      </c>
      <c r="I11" s="16">
        <v>1991</v>
      </c>
      <c r="J11" s="16">
        <v>2016</v>
      </c>
      <c r="K11" s="16">
        <v>1986</v>
      </c>
      <c r="L11" s="16">
        <v>2016</v>
      </c>
      <c r="M11" s="16">
        <v>2007</v>
      </c>
      <c r="N11" s="16">
        <v>1990</v>
      </c>
      <c r="O11" s="16">
        <v>1994</v>
      </c>
      <c r="P11" s="16">
        <v>2003</v>
      </c>
      <c r="Q11" s="16">
        <v>2006</v>
      </c>
      <c r="R11" s="16">
        <v>1999</v>
      </c>
      <c r="S11" s="16">
        <v>2015</v>
      </c>
      <c r="T11" s="16">
        <v>2011</v>
      </c>
      <c r="U11" s="16">
        <v>1989</v>
      </c>
      <c r="V11" s="16">
        <v>1996</v>
      </c>
      <c r="W11" s="16">
        <v>2000</v>
      </c>
      <c r="X11" s="16">
        <v>2001</v>
      </c>
      <c r="Y11" s="16">
        <v>2018</v>
      </c>
      <c r="Z11" s="16">
        <v>2005</v>
      </c>
      <c r="AA11" s="16">
        <v>1981</v>
      </c>
      <c r="AB11" s="16">
        <v>2002</v>
      </c>
      <c r="AC11" s="16">
        <v>1997</v>
      </c>
      <c r="AD11" s="16">
        <v>2014</v>
      </c>
      <c r="AE11" s="16">
        <v>2008</v>
      </c>
      <c r="AF11" s="16">
        <v>2012</v>
      </c>
      <c r="AG11" s="16">
        <v>2010</v>
      </c>
      <c r="AH11" s="16">
        <v>2003</v>
      </c>
      <c r="AI11" s="16">
        <v>1981</v>
      </c>
      <c r="AJ11" s="16">
        <v>2010</v>
      </c>
      <c r="AK11" s="16">
        <v>1988</v>
      </c>
      <c r="AL11" s="16">
        <v>1981</v>
      </c>
      <c r="AM11" s="16">
        <v>2001</v>
      </c>
      <c r="AN11" s="16">
        <v>1982</v>
      </c>
      <c r="AO11" s="16">
        <v>2017</v>
      </c>
      <c r="AP11" s="35"/>
    </row>
    <row r="12" spans="1:43">
      <c r="A12" s="16" t="s">
        <v>411</v>
      </c>
      <c r="B12" s="16">
        <v>2010</v>
      </c>
      <c r="C12" s="16">
        <v>2016</v>
      </c>
      <c r="D12" s="16">
        <v>2003</v>
      </c>
      <c r="E12" s="16">
        <v>1987</v>
      </c>
      <c r="F12" s="16">
        <v>1997</v>
      </c>
      <c r="G12" s="16">
        <v>1984</v>
      </c>
      <c r="H12" s="16">
        <v>2017</v>
      </c>
      <c r="I12" s="16">
        <v>2018</v>
      </c>
      <c r="J12" s="16">
        <v>1996</v>
      </c>
      <c r="K12" s="16">
        <v>2012</v>
      </c>
      <c r="L12" s="16">
        <v>2014</v>
      </c>
      <c r="M12" s="16">
        <v>2009</v>
      </c>
      <c r="N12" s="16">
        <v>1985</v>
      </c>
      <c r="O12" s="16">
        <v>1991</v>
      </c>
      <c r="P12" s="16">
        <v>1989</v>
      </c>
      <c r="Q12" s="16">
        <v>2013</v>
      </c>
      <c r="R12" s="16">
        <v>2005</v>
      </c>
      <c r="S12" s="16">
        <v>1982</v>
      </c>
      <c r="T12" s="16">
        <v>2001</v>
      </c>
      <c r="U12" s="16">
        <v>2019</v>
      </c>
      <c r="V12" s="16">
        <v>1981</v>
      </c>
      <c r="W12" s="16">
        <v>2004</v>
      </c>
      <c r="X12" s="16">
        <v>2006</v>
      </c>
      <c r="Y12" s="16">
        <v>2011</v>
      </c>
      <c r="Z12" s="16">
        <v>1993</v>
      </c>
      <c r="AA12" s="16">
        <v>2002</v>
      </c>
      <c r="AB12" s="16">
        <v>1992</v>
      </c>
      <c r="AC12" s="16">
        <v>1980</v>
      </c>
      <c r="AD12" s="16">
        <v>1995</v>
      </c>
      <c r="AE12" s="16">
        <v>1994</v>
      </c>
      <c r="AF12" s="16">
        <v>1999</v>
      </c>
      <c r="AG12" s="16">
        <v>2007</v>
      </c>
      <c r="AH12" s="16">
        <v>2015</v>
      </c>
      <c r="AI12" s="16">
        <v>2008</v>
      </c>
      <c r="AJ12" s="16">
        <v>2000</v>
      </c>
      <c r="AK12" s="16">
        <v>1986</v>
      </c>
      <c r="AL12" s="16">
        <v>1988</v>
      </c>
      <c r="AM12" s="16">
        <v>1983</v>
      </c>
      <c r="AN12" s="16">
        <v>1998</v>
      </c>
      <c r="AO12" s="16">
        <v>1990</v>
      </c>
      <c r="AP12" s="35"/>
    </row>
    <row r="13" spans="1:43">
      <c r="AP13" s="35"/>
    </row>
    <row r="14" spans="1:43">
      <c r="AP14" s="35"/>
    </row>
    <row r="15" spans="1:43">
      <c r="AP15" s="35"/>
    </row>
    <row r="16" spans="1:43">
      <c r="AP16" s="35"/>
    </row>
    <row r="17" spans="42:42">
      <c r="AP17" s="35"/>
    </row>
  </sheetData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71752-A39E-4D94-949D-0D7EEFCB94D9}">
  <sheetPr>
    <tabColor rgb="FF92D050"/>
  </sheetPr>
  <dimension ref="A1:Y54"/>
  <sheetViews>
    <sheetView workbookViewId="0">
      <selection activeCell="H27" sqref="H27"/>
    </sheetView>
  </sheetViews>
  <sheetFormatPr defaultRowHeight="15"/>
  <cols>
    <col min="1" max="1" width="46" customWidth="1"/>
    <col min="2" max="2" width="15.7109375" customWidth="1"/>
    <col min="3" max="3" width="18.140625" customWidth="1"/>
    <col min="5" max="7" width="17.140625" customWidth="1"/>
    <col min="9" max="9" width="28.140625" customWidth="1"/>
    <col min="10" max="10" width="15.42578125" customWidth="1"/>
    <col min="11" max="11" width="15.7109375" customWidth="1"/>
    <col min="12" max="12" width="26.85546875" customWidth="1"/>
    <col min="14" max="14" width="14.7109375" customWidth="1"/>
    <col min="25" max="25" width="11" bestFit="1" customWidth="1"/>
  </cols>
  <sheetData>
    <row r="1" spans="1:25" ht="15.75" thickBot="1">
      <c r="B1" t="s">
        <v>438</v>
      </c>
      <c r="C1" t="s">
        <v>441</v>
      </c>
      <c r="D1" t="s">
        <v>437</v>
      </c>
      <c r="E1" t="s">
        <v>446</v>
      </c>
      <c r="I1" s="13"/>
      <c r="J1" s="13" t="s">
        <v>442</v>
      </c>
      <c r="K1" s="13" t="s">
        <v>447</v>
      </c>
      <c r="L1" s="70" t="s">
        <v>487</v>
      </c>
      <c r="M1" s="13" t="s">
        <v>438</v>
      </c>
      <c r="N1" s="13" t="s">
        <v>448</v>
      </c>
      <c r="P1" s="13" t="s">
        <v>454</v>
      </c>
      <c r="T1" t="s">
        <v>471</v>
      </c>
      <c r="V1" t="s">
        <v>472</v>
      </c>
    </row>
    <row r="2" spans="1:25" ht="15.75" thickBot="1">
      <c r="A2" t="s">
        <v>436</v>
      </c>
      <c r="B2">
        <f>D2</f>
        <v>4</v>
      </c>
      <c r="C2">
        <v>105914</v>
      </c>
      <c r="D2">
        <v>4</v>
      </c>
      <c r="E2" s="16">
        <f>+C2*D2/100</f>
        <v>4236.5600000000004</v>
      </c>
      <c r="F2" s="16">
        <v>4000</v>
      </c>
      <c r="G2" s="16"/>
      <c r="I2" s="13" t="s">
        <v>439</v>
      </c>
      <c r="J2" s="34">
        <f>(C2*D2+C3*D3)/(D2+D3)</f>
        <v>102043.30769230769</v>
      </c>
      <c r="K2" s="68">
        <v>13</v>
      </c>
      <c r="L2" s="71">
        <f>K2/89</f>
        <v>0.14606741573033707</v>
      </c>
      <c r="M2" s="69">
        <f>K2</f>
        <v>13</v>
      </c>
      <c r="N2" s="34">
        <f t="shared" ref="N2:N4" si="0">J2/10</f>
        <v>10204.330769230768</v>
      </c>
      <c r="O2">
        <v>4000</v>
      </c>
      <c r="P2" s="16">
        <f t="shared" ref="P2:P8" si="1">J2/25</f>
        <v>4081.7323076923076</v>
      </c>
    </row>
    <row r="3" spans="1:25" ht="15.75" thickBot="1">
      <c r="A3" t="s">
        <v>435</v>
      </c>
      <c r="B3">
        <f>B2+D3</f>
        <v>13</v>
      </c>
      <c r="C3">
        <v>100323</v>
      </c>
      <c r="D3">
        <v>9</v>
      </c>
      <c r="E3" s="16">
        <f t="shared" ref="E3:E10" si="2">+C3*D3/100</f>
        <v>9029.07</v>
      </c>
      <c r="F3" s="16">
        <v>3999</v>
      </c>
      <c r="G3" s="16"/>
      <c r="I3" s="13" t="s">
        <v>434</v>
      </c>
      <c r="J3" s="34">
        <f>C4</f>
        <v>84942</v>
      </c>
      <c r="K3" s="68">
        <v>13</v>
      </c>
      <c r="L3" s="71">
        <f t="shared" ref="L3:L6" si="3">K3/89</f>
        <v>0.14606741573033707</v>
      </c>
      <c r="M3" s="69">
        <f t="shared" ref="M3:M8" si="4">K3+M2</f>
        <v>26</v>
      </c>
      <c r="N3" s="34">
        <f t="shared" si="0"/>
        <v>8494.2000000000007</v>
      </c>
      <c r="O3">
        <v>4000</v>
      </c>
      <c r="P3" s="16">
        <f t="shared" si="1"/>
        <v>3397.68</v>
      </c>
      <c r="T3" t="s">
        <v>475</v>
      </c>
      <c r="U3">
        <v>33500</v>
      </c>
      <c r="V3">
        <f t="shared" ref="V3:V4" si="5">U3*1.5</f>
        <v>50250</v>
      </c>
    </row>
    <row r="4" spans="1:25" ht="15.75" thickBot="1">
      <c r="A4" t="s">
        <v>434</v>
      </c>
      <c r="B4">
        <f t="shared" ref="B4:B10" si="6">B3+D4</f>
        <v>26</v>
      </c>
      <c r="C4">
        <v>84942</v>
      </c>
      <c r="D4">
        <v>13</v>
      </c>
      <c r="E4" s="16">
        <f t="shared" si="2"/>
        <v>11042.46</v>
      </c>
      <c r="F4" s="16"/>
      <c r="G4" s="16"/>
      <c r="I4" s="13" t="s">
        <v>440</v>
      </c>
      <c r="J4" s="34">
        <f>(C5*D5+C6*D6)/(D5+D6)</f>
        <v>63489.515151515152</v>
      </c>
      <c r="K4" s="68">
        <v>33</v>
      </c>
      <c r="L4" s="71">
        <f t="shared" si="3"/>
        <v>0.3707865168539326</v>
      </c>
      <c r="M4" s="69">
        <f t="shared" si="4"/>
        <v>59</v>
      </c>
      <c r="N4" s="34">
        <f t="shared" si="0"/>
        <v>6348.9515151515152</v>
      </c>
      <c r="O4">
        <v>4000</v>
      </c>
      <c r="P4" s="16">
        <f t="shared" si="1"/>
        <v>2539.580606060606</v>
      </c>
      <c r="T4" t="s">
        <v>473</v>
      </c>
      <c r="U4">
        <v>18700</v>
      </c>
      <c r="V4">
        <f t="shared" si="5"/>
        <v>28050</v>
      </c>
    </row>
    <row r="5" spans="1:25" ht="15.75" thickBot="1">
      <c r="A5" t="s">
        <v>433</v>
      </c>
      <c r="B5">
        <f t="shared" si="6"/>
        <v>31</v>
      </c>
      <c r="C5">
        <v>73186</v>
      </c>
      <c r="D5">
        <v>5</v>
      </c>
      <c r="E5" s="16">
        <f t="shared" si="2"/>
        <v>3659.3</v>
      </c>
      <c r="F5" s="16"/>
      <c r="G5" s="16"/>
      <c r="I5" s="13" t="str">
        <f>A7</f>
        <v>household other</v>
      </c>
      <c r="J5" s="34">
        <f t="shared" ref="J5:J7" si="7">C7</f>
        <v>42700</v>
      </c>
      <c r="K5" s="68">
        <v>9</v>
      </c>
      <c r="L5" s="71">
        <f t="shared" si="3"/>
        <v>0.10112359550561797</v>
      </c>
      <c r="M5" s="69">
        <f t="shared" si="4"/>
        <v>68</v>
      </c>
      <c r="N5" s="34">
        <f>J5/10</f>
        <v>4270</v>
      </c>
      <c r="O5">
        <v>4000</v>
      </c>
      <c r="P5" s="16">
        <f t="shared" si="1"/>
        <v>1708</v>
      </c>
      <c r="T5" t="s">
        <v>354</v>
      </c>
      <c r="U5">
        <v>16380</v>
      </c>
      <c r="V5">
        <f>U5*1.5</f>
        <v>24570</v>
      </c>
    </row>
    <row r="6" spans="1:25" ht="15.75" thickBot="1">
      <c r="A6" t="s">
        <v>432</v>
      </c>
      <c r="B6">
        <f t="shared" si="6"/>
        <v>59</v>
      </c>
      <c r="C6">
        <v>61758</v>
      </c>
      <c r="D6">
        <v>28</v>
      </c>
      <c r="E6" s="16">
        <f t="shared" si="2"/>
        <v>17292.240000000002</v>
      </c>
      <c r="F6" s="16"/>
      <c r="G6" s="16"/>
      <c r="I6" s="13" t="str">
        <f>A8</f>
        <v>household city center</v>
      </c>
      <c r="J6" s="34">
        <f t="shared" si="7"/>
        <v>32723</v>
      </c>
      <c r="K6" s="68">
        <v>21</v>
      </c>
      <c r="L6" s="71">
        <f t="shared" si="3"/>
        <v>0.23595505617977527</v>
      </c>
      <c r="M6" s="69">
        <f t="shared" si="4"/>
        <v>89</v>
      </c>
      <c r="N6" s="34">
        <f t="shared" ref="N6:N8" si="8">J6/10</f>
        <v>3272.3</v>
      </c>
      <c r="O6" s="16">
        <f>+N6</f>
        <v>3272.3</v>
      </c>
      <c r="P6" s="16">
        <f t="shared" si="1"/>
        <v>1308.92</v>
      </c>
      <c r="T6" t="s">
        <v>474</v>
      </c>
      <c r="U6">
        <v>12420</v>
      </c>
      <c r="V6">
        <f>U6*1.5</f>
        <v>18630</v>
      </c>
    </row>
    <row r="7" spans="1:25">
      <c r="A7" t="s">
        <v>431</v>
      </c>
      <c r="B7">
        <f t="shared" si="6"/>
        <v>68</v>
      </c>
      <c r="C7">
        <v>42700</v>
      </c>
      <c r="D7">
        <v>9</v>
      </c>
      <c r="E7" s="16">
        <f t="shared" si="2"/>
        <v>3843</v>
      </c>
      <c r="F7" s="16"/>
      <c r="G7" s="16"/>
      <c r="I7" s="13" t="str">
        <f>A9</f>
        <v>household feed in areas</v>
      </c>
      <c r="J7" s="34">
        <f t="shared" si="7"/>
        <v>30429</v>
      </c>
      <c r="K7" s="68">
        <v>8</v>
      </c>
      <c r="L7" s="71">
        <v>8</v>
      </c>
      <c r="M7" s="69">
        <f t="shared" si="4"/>
        <v>97</v>
      </c>
      <c r="N7" s="34">
        <f t="shared" si="8"/>
        <v>3042.9</v>
      </c>
      <c r="O7" s="16">
        <f t="shared" ref="O7:O8" si="9">+N7</f>
        <v>3042.9</v>
      </c>
      <c r="P7" s="16">
        <f t="shared" si="1"/>
        <v>1217.1600000000001</v>
      </c>
    </row>
    <row r="8" spans="1:25" ht="15.75" thickBot="1">
      <c r="A8" t="s">
        <v>429</v>
      </c>
      <c r="B8">
        <f t="shared" si="6"/>
        <v>89</v>
      </c>
      <c r="C8">
        <v>32723</v>
      </c>
      <c r="D8">
        <v>21</v>
      </c>
      <c r="E8" s="16">
        <f t="shared" si="2"/>
        <v>6871.83</v>
      </c>
      <c r="F8" s="16"/>
      <c r="G8" s="16"/>
      <c r="I8" s="13" t="str">
        <f>A10</f>
        <v>industrySME</v>
      </c>
      <c r="J8" s="34">
        <f>C10</f>
        <v>19785</v>
      </c>
      <c r="K8" s="68">
        <v>3</v>
      </c>
      <c r="L8" s="72">
        <v>3</v>
      </c>
      <c r="M8" s="69">
        <f t="shared" si="4"/>
        <v>100</v>
      </c>
      <c r="N8" s="34">
        <f t="shared" si="8"/>
        <v>1978.5</v>
      </c>
      <c r="O8" s="16">
        <f t="shared" si="9"/>
        <v>1978.5</v>
      </c>
      <c r="P8" s="16">
        <f t="shared" si="1"/>
        <v>791.4</v>
      </c>
    </row>
    <row r="9" spans="1:25">
      <c r="A9" t="s">
        <v>430</v>
      </c>
      <c r="B9">
        <f t="shared" si="6"/>
        <v>97</v>
      </c>
      <c r="C9">
        <v>30429</v>
      </c>
      <c r="D9">
        <v>8</v>
      </c>
      <c r="E9" s="16">
        <f t="shared" si="2"/>
        <v>2434.3200000000002</v>
      </c>
      <c r="F9" s="16"/>
      <c r="G9" s="16"/>
      <c r="J9" t="s">
        <v>469</v>
      </c>
      <c r="P9" t="s">
        <v>453</v>
      </c>
    </row>
    <row r="10" spans="1:25">
      <c r="A10" t="s">
        <v>428</v>
      </c>
      <c r="B10">
        <f t="shared" si="6"/>
        <v>100</v>
      </c>
      <c r="C10">
        <v>19785</v>
      </c>
      <c r="D10">
        <v>3</v>
      </c>
      <c r="E10" s="16">
        <f t="shared" si="2"/>
        <v>593.54999999999995</v>
      </c>
      <c r="F10" s="16"/>
      <c r="G10" s="16"/>
    </row>
    <row r="11" spans="1:25">
      <c r="E11" s="79">
        <f>SUM(E2:E10)</f>
        <v>59002.330000000009</v>
      </c>
      <c r="F11" s="16"/>
      <c r="G11" s="16"/>
      <c r="J11" t="s">
        <v>470</v>
      </c>
    </row>
    <row r="13" spans="1:25">
      <c r="Q13" t="s">
        <v>452</v>
      </c>
    </row>
    <row r="14" spans="1:25">
      <c r="A14" t="s">
        <v>445</v>
      </c>
      <c r="O14" s="16">
        <v>80</v>
      </c>
      <c r="P14" s="16">
        <f>O14</f>
        <v>80</v>
      </c>
      <c r="Q14">
        <v>4000</v>
      </c>
    </row>
    <row r="15" spans="1:25">
      <c r="O15" s="16">
        <v>10</v>
      </c>
      <c r="P15" s="16">
        <f>O15+P14</f>
        <v>90</v>
      </c>
      <c r="Q15">
        <v>1500</v>
      </c>
      <c r="Y15">
        <f>1.023^17</f>
        <v>1.4719253099280327</v>
      </c>
    </row>
    <row r="16" spans="1:25">
      <c r="A16" t="s">
        <v>444</v>
      </c>
      <c r="O16" s="16">
        <v>5</v>
      </c>
      <c r="P16" s="16">
        <f t="shared" ref="P16:P17" si="10">O16+P15</f>
        <v>95</v>
      </c>
      <c r="Q16">
        <v>500</v>
      </c>
    </row>
    <row r="17" spans="15:18">
      <c r="O17" s="16">
        <v>5</v>
      </c>
      <c r="P17" s="16">
        <f t="shared" si="10"/>
        <v>100</v>
      </c>
      <c r="Q17">
        <v>250</v>
      </c>
    </row>
    <row r="29" spans="15:18">
      <c r="P29">
        <v>0</v>
      </c>
      <c r="Q29">
        <v>4000</v>
      </c>
    </row>
    <row r="30" spans="15:18">
      <c r="O30" s="16">
        <v>80</v>
      </c>
      <c r="P30" s="16">
        <f>O30</f>
        <v>80</v>
      </c>
      <c r="Q30">
        <v>4000</v>
      </c>
      <c r="R30" t="s">
        <v>455</v>
      </c>
    </row>
    <row r="31" spans="15:18">
      <c r="P31">
        <v>80</v>
      </c>
      <c r="Q31">
        <v>1500</v>
      </c>
    </row>
    <row r="32" spans="15:18">
      <c r="O32" s="16">
        <v>20</v>
      </c>
      <c r="P32" s="16">
        <v>90</v>
      </c>
      <c r="Q32">
        <v>1500</v>
      </c>
      <c r="R32" t="s">
        <v>456</v>
      </c>
    </row>
    <row r="33" spans="1:20">
      <c r="O33" s="16">
        <v>5</v>
      </c>
      <c r="P33" s="16">
        <f t="shared" ref="P33:P34" si="11">O33+P32</f>
        <v>95</v>
      </c>
      <c r="Q33">
        <v>500</v>
      </c>
    </row>
    <row r="34" spans="1:20">
      <c r="O34" s="16">
        <v>5</v>
      </c>
      <c r="P34" s="16">
        <f t="shared" si="11"/>
        <v>100</v>
      </c>
      <c r="Q34">
        <v>250</v>
      </c>
    </row>
    <row r="38" spans="1:20" ht="27.75" customHeight="1">
      <c r="A38" t="s">
        <v>467</v>
      </c>
      <c r="B38" t="s">
        <v>447</v>
      </c>
      <c r="C38" s="2" t="s">
        <v>464</v>
      </c>
      <c r="D38" s="2" t="s">
        <v>463</v>
      </c>
      <c r="E38" s="2" t="s">
        <v>465</v>
      </c>
      <c r="F38" s="2" t="s">
        <v>466</v>
      </c>
      <c r="G38" s="2"/>
      <c r="Q38" t="s">
        <v>457</v>
      </c>
      <c r="R38" t="s">
        <v>438</v>
      </c>
      <c r="S38" t="s">
        <v>341</v>
      </c>
    </row>
    <row r="39" spans="1:20">
      <c r="A39" t="s">
        <v>458</v>
      </c>
      <c r="B39">
        <v>35</v>
      </c>
      <c r="C39">
        <v>4000</v>
      </c>
      <c r="D39">
        <f>C39*25</f>
        <v>100000</v>
      </c>
      <c r="E39">
        <v>0</v>
      </c>
      <c r="F39">
        <f>D39*E39</f>
        <v>0</v>
      </c>
      <c r="Q39" s="16">
        <v>80</v>
      </c>
      <c r="R39" s="16">
        <f>Q39</f>
        <v>80</v>
      </c>
      <c r="S39">
        <v>4000</v>
      </c>
      <c r="T39" t="s">
        <v>455</v>
      </c>
    </row>
    <row r="40" spans="1:20">
      <c r="A40" t="s">
        <v>462</v>
      </c>
      <c r="B40">
        <v>35</v>
      </c>
      <c r="C40">
        <v>3400</v>
      </c>
      <c r="D40">
        <f>C40*25</f>
        <v>85000</v>
      </c>
      <c r="E40">
        <v>0</v>
      </c>
      <c r="F40">
        <f>D40*E40</f>
        <v>0</v>
      </c>
      <c r="Q40" s="16">
        <v>20</v>
      </c>
      <c r="R40" s="16">
        <v>90</v>
      </c>
      <c r="S40">
        <v>1500</v>
      </c>
      <c r="T40" t="s">
        <v>456</v>
      </c>
    </row>
    <row r="41" spans="1:20">
      <c r="A41" t="s">
        <v>459</v>
      </c>
      <c r="B41">
        <v>10</v>
      </c>
      <c r="C41">
        <v>1700</v>
      </c>
      <c r="D41">
        <f>C41*25</f>
        <v>42500</v>
      </c>
      <c r="E41">
        <v>5</v>
      </c>
      <c r="F41">
        <f>D41*E41</f>
        <v>212500</v>
      </c>
      <c r="Q41" s="16">
        <v>5</v>
      </c>
      <c r="R41" s="16">
        <f t="shared" ref="R41:R42" si="12">Q41+R40</f>
        <v>95</v>
      </c>
      <c r="S41">
        <v>500</v>
      </c>
    </row>
    <row r="42" spans="1:20">
      <c r="A42" t="s">
        <v>460</v>
      </c>
      <c r="B42">
        <v>10</v>
      </c>
      <c r="C42">
        <v>1200</v>
      </c>
      <c r="D42">
        <f>C42*25</f>
        <v>30000</v>
      </c>
      <c r="E42">
        <v>10</v>
      </c>
      <c r="F42">
        <f>D42*E42</f>
        <v>300000</v>
      </c>
      <c r="Q42" s="16">
        <v>5</v>
      </c>
      <c r="R42" s="16">
        <f t="shared" si="12"/>
        <v>100</v>
      </c>
      <c r="S42">
        <v>250</v>
      </c>
    </row>
    <row r="43" spans="1:20">
      <c r="A43" t="s">
        <v>461</v>
      </c>
      <c r="B43">
        <v>10</v>
      </c>
      <c r="C43">
        <v>700</v>
      </c>
      <c r="D43">
        <f>C43*25</f>
        <v>17500</v>
      </c>
      <c r="E43">
        <v>20</v>
      </c>
      <c r="F43">
        <f>D43*E43</f>
        <v>350000</v>
      </c>
    </row>
    <row r="45" spans="1:20" ht="45">
      <c r="A45" t="s">
        <v>468</v>
      </c>
      <c r="B45" t="s">
        <v>447</v>
      </c>
      <c r="C45" s="2" t="s">
        <v>464</v>
      </c>
      <c r="D45" s="2" t="s">
        <v>463</v>
      </c>
      <c r="E45" s="2" t="s">
        <v>465</v>
      </c>
      <c r="F45" s="2" t="s">
        <v>466</v>
      </c>
    </row>
    <row r="46" spans="1:20">
      <c r="A46" t="s">
        <v>458</v>
      </c>
      <c r="B46">
        <v>35</v>
      </c>
      <c r="C46">
        <v>4000</v>
      </c>
      <c r="D46">
        <v>100000</v>
      </c>
      <c r="E46">
        <v>0</v>
      </c>
      <c r="F46">
        <f>D46*E46</f>
        <v>0</v>
      </c>
    </row>
    <row r="47" spans="1:20">
      <c r="A47" t="s">
        <v>462</v>
      </c>
      <c r="B47">
        <v>35</v>
      </c>
      <c r="C47">
        <v>4000</v>
      </c>
      <c r="D47">
        <v>85000</v>
      </c>
      <c r="E47">
        <v>0</v>
      </c>
      <c r="F47">
        <f>D47*E47</f>
        <v>0</v>
      </c>
      <c r="J47" t="str">
        <f>K1</f>
        <v>percentage load</v>
      </c>
      <c r="K47" t="s">
        <v>341</v>
      </c>
      <c r="M47" t="s">
        <v>483</v>
      </c>
    </row>
    <row r="48" spans="1:20">
      <c r="A48" t="s">
        <v>459</v>
      </c>
      <c r="B48">
        <v>10</v>
      </c>
      <c r="C48">
        <v>3999</v>
      </c>
      <c r="D48">
        <v>42500</v>
      </c>
      <c r="E48">
        <v>10</v>
      </c>
      <c r="F48">
        <f>D48*E48</f>
        <v>425000</v>
      </c>
      <c r="I48" t="str">
        <f>I2</f>
        <v>public sector and transport</v>
      </c>
      <c r="J48">
        <f t="shared" ref="J48:J54" si="13">K2</f>
        <v>13</v>
      </c>
      <c r="K48">
        <f t="shared" ref="K48:K54" si="14">J2</f>
        <v>102043.30769230769</v>
      </c>
      <c r="M48" s="16">
        <f t="shared" ref="M48:M54" si="15">P2</f>
        <v>4081.7323076923076</v>
      </c>
    </row>
    <row r="49" spans="1:13">
      <c r="A49" t="s">
        <v>460</v>
      </c>
      <c r="B49">
        <v>10</v>
      </c>
      <c r="C49">
        <v>3999</v>
      </c>
      <c r="D49">
        <v>30000</v>
      </c>
      <c r="E49">
        <v>10</v>
      </c>
      <c r="F49">
        <f>D49*E49</f>
        <v>300000</v>
      </c>
      <c r="I49" t="str">
        <f t="shared" ref="I49:I54" si="16">I3</f>
        <v>commercial and service sector</v>
      </c>
      <c r="J49">
        <f t="shared" si="13"/>
        <v>13</v>
      </c>
      <c r="K49">
        <f t="shared" si="14"/>
        <v>84942</v>
      </c>
      <c r="M49" s="16">
        <f t="shared" si="15"/>
        <v>3397.68</v>
      </c>
    </row>
    <row r="50" spans="1:13">
      <c r="A50" t="s">
        <v>461</v>
      </c>
      <c r="B50">
        <v>10</v>
      </c>
      <c r="C50">
        <v>3999</v>
      </c>
      <c r="D50">
        <v>17500</v>
      </c>
      <c r="E50">
        <v>10</v>
      </c>
      <c r="F50">
        <f>D50*E50</f>
        <v>175000</v>
      </c>
      <c r="I50" t="str">
        <f t="shared" si="16"/>
        <v>industry</v>
      </c>
      <c r="J50">
        <f t="shared" si="13"/>
        <v>33</v>
      </c>
      <c r="K50">
        <f t="shared" si="14"/>
        <v>63489.515151515152</v>
      </c>
      <c r="M50" s="16">
        <f t="shared" si="15"/>
        <v>2539.580606060606</v>
      </c>
    </row>
    <row r="51" spans="1:13">
      <c r="I51" t="str">
        <f t="shared" si="16"/>
        <v>household other</v>
      </c>
      <c r="J51">
        <f t="shared" si="13"/>
        <v>9</v>
      </c>
      <c r="K51">
        <f t="shared" si="14"/>
        <v>42700</v>
      </c>
      <c r="M51" s="16">
        <f t="shared" si="15"/>
        <v>1708</v>
      </c>
    </row>
    <row r="52" spans="1:13">
      <c r="I52" t="str">
        <f t="shared" si="16"/>
        <v>household city center</v>
      </c>
      <c r="J52">
        <f t="shared" si="13"/>
        <v>21</v>
      </c>
      <c r="K52">
        <f t="shared" si="14"/>
        <v>32723</v>
      </c>
      <c r="M52" s="16">
        <f t="shared" si="15"/>
        <v>1308.92</v>
      </c>
    </row>
    <row r="53" spans="1:13">
      <c r="I53" t="str">
        <f t="shared" si="16"/>
        <v>household feed in areas</v>
      </c>
      <c r="J53">
        <f t="shared" si="13"/>
        <v>8</v>
      </c>
      <c r="K53">
        <f t="shared" si="14"/>
        <v>30429</v>
      </c>
      <c r="M53" s="16">
        <f t="shared" si="15"/>
        <v>1217.1600000000001</v>
      </c>
    </row>
    <row r="54" spans="1:13">
      <c r="I54" t="str">
        <f t="shared" si="16"/>
        <v>industrySME</v>
      </c>
      <c r="J54">
        <f t="shared" si="13"/>
        <v>3</v>
      </c>
      <c r="K54">
        <f t="shared" si="14"/>
        <v>19785</v>
      </c>
      <c r="M54" s="16">
        <f t="shared" si="15"/>
        <v>791.4</v>
      </c>
    </row>
  </sheetData>
  <autoFilter ref="A1:D1" xr:uid="{CC571752-A39E-4D94-949D-0D7EEFCB94D9}">
    <sortState xmlns:xlrd2="http://schemas.microsoft.com/office/spreadsheetml/2017/richdata2" ref="A2:D10">
      <sortCondition descending="1" ref="C1"/>
    </sortState>
  </autoFilter>
  <phoneticPr fontId="6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27EF1-3F05-492D-AA20-DDCD97D0E8A4}">
  <dimension ref="A1:M20"/>
  <sheetViews>
    <sheetView zoomScale="115" zoomScaleNormal="115" workbookViewId="0">
      <selection activeCell="L30" sqref="L30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11.85546875" customWidth="1"/>
    <col min="5" max="5" width="20" customWidth="1"/>
    <col min="6" max="7" width="16.5703125" customWidth="1"/>
    <col min="8" max="9" width="17.7109375" customWidth="1"/>
    <col min="10" max="10" width="9.85546875" customWidth="1"/>
    <col min="11" max="11" width="11" customWidth="1"/>
    <col min="12" max="12" width="50.28515625" customWidth="1"/>
    <col min="13" max="13" width="19.85546875" customWidth="1"/>
    <col min="14" max="14" width="15.7109375" customWidth="1"/>
    <col min="15" max="15" width="12.28515625" customWidth="1"/>
  </cols>
  <sheetData>
    <row r="1" spans="1:13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18"/>
      <c r="H1" s="18" t="s">
        <v>412</v>
      </c>
      <c r="I1" s="18" t="s">
        <v>413</v>
      </c>
      <c r="J1" s="44"/>
      <c r="K1" s="44" t="s">
        <v>399</v>
      </c>
      <c r="L1" s="44" t="s">
        <v>400</v>
      </c>
    </row>
    <row r="2" spans="1:13" ht="17.45" customHeight="1">
      <c r="A2" s="13">
        <v>1</v>
      </c>
      <c r="B2" s="13" t="str">
        <f t="shared" ref="B2:B6" si="0">CONCATENATE("amiris-config/data/LS_",A2,".csv")</f>
        <v>amiris-config/data/LS_1.csv</v>
      </c>
      <c r="C2" s="13" t="str">
        <f t="shared" ref="C2:C6" si="1">CONCATENATE("amiris-config/data/future_LS_",A2,".csv")</f>
        <v>amiris-config/data/future_LS_1.csv</v>
      </c>
      <c r="D2" s="13" t="s">
        <v>69</v>
      </c>
      <c r="E2" s="34">
        <v>3</v>
      </c>
      <c r="F2" s="34">
        <v>20000</v>
      </c>
      <c r="G2" s="16"/>
      <c r="H2">
        <f>F2*E2</f>
        <v>60000</v>
      </c>
      <c r="I2">
        <v>500</v>
      </c>
      <c r="J2" s="44"/>
      <c r="K2" s="53">
        <f>$K$10/E2</f>
        <v>15666.666666666666</v>
      </c>
      <c r="L2" s="44">
        <f>+F2*E2</f>
        <v>60000</v>
      </c>
    </row>
    <row r="3" spans="1:13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6</v>
      </c>
      <c r="F3" s="34">
        <v>8000</v>
      </c>
      <c r="G3" s="16"/>
      <c r="H3">
        <f t="shared" ref="H3:H6" si="2">F3*E3</f>
        <v>48000</v>
      </c>
      <c r="J3" s="44"/>
      <c r="K3" s="53">
        <f>L3/E3</f>
        <v>8000</v>
      </c>
      <c r="L3" s="44">
        <f t="shared" ref="L3:L6" si="3">+F3*E3</f>
        <v>48000</v>
      </c>
    </row>
    <row r="4" spans="1:13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10</v>
      </c>
      <c r="F4" s="34">
        <v>4000</v>
      </c>
      <c r="G4" s="16"/>
      <c r="H4">
        <f t="shared" si="2"/>
        <v>40000</v>
      </c>
      <c r="J4" s="44"/>
      <c r="K4" s="53">
        <f>L4/E4</f>
        <v>4000</v>
      </c>
      <c r="L4" s="44">
        <f t="shared" si="3"/>
        <v>40000</v>
      </c>
    </row>
    <row r="5" spans="1:13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20</v>
      </c>
      <c r="F5" s="34">
        <v>1600</v>
      </c>
      <c r="G5" s="16"/>
      <c r="H5">
        <f t="shared" si="2"/>
        <v>32000</v>
      </c>
      <c r="J5" s="44"/>
      <c r="K5" s="53">
        <f>L5/E5</f>
        <v>1600</v>
      </c>
      <c r="L5" s="44">
        <f t="shared" si="3"/>
        <v>32000</v>
      </c>
    </row>
    <row r="6" spans="1:13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30</v>
      </c>
      <c r="F6" s="34">
        <v>1000</v>
      </c>
      <c r="G6" s="16"/>
      <c r="H6">
        <f t="shared" si="2"/>
        <v>30000</v>
      </c>
      <c r="I6">
        <v>490</v>
      </c>
      <c r="J6" s="44"/>
      <c r="K6" s="53">
        <f>L6/E6</f>
        <v>1000</v>
      </c>
      <c r="L6" s="44">
        <f t="shared" si="3"/>
        <v>30000</v>
      </c>
      <c r="M6" s="16"/>
    </row>
    <row r="7" spans="1:13">
      <c r="A7" s="13" t="s">
        <v>103</v>
      </c>
      <c r="B7" s="13" t="s">
        <v>370</v>
      </c>
      <c r="C7" s="13" t="s">
        <v>376</v>
      </c>
      <c r="D7" s="13">
        <f>29090</f>
        <v>29090</v>
      </c>
      <c r="E7" s="13"/>
      <c r="F7" s="13"/>
      <c r="J7" s="44"/>
      <c r="K7" s="44" t="s">
        <v>69</v>
      </c>
      <c r="L7" s="44"/>
    </row>
    <row r="8" spans="1:13">
      <c r="E8" s="42"/>
      <c r="F8" s="16"/>
      <c r="G8" s="16"/>
      <c r="J8" s="44"/>
      <c r="K8" s="53"/>
      <c r="L8" s="44"/>
    </row>
    <row r="9" spans="1:13">
      <c r="J9" s="44"/>
      <c r="K9" s="54" t="s">
        <v>393</v>
      </c>
      <c r="L9" s="54" t="s">
        <v>398</v>
      </c>
    </row>
    <row r="10" spans="1:13">
      <c r="J10" s="44"/>
      <c r="K10" s="54">
        <v>47000</v>
      </c>
      <c r="L10" s="54">
        <v>46000</v>
      </c>
    </row>
    <row r="11" spans="1:13">
      <c r="J11" s="44"/>
      <c r="K11" s="44"/>
      <c r="L11" s="44"/>
    </row>
    <row r="12" spans="1:13">
      <c r="J12" s="44"/>
      <c r="K12" s="44"/>
      <c r="L12" s="44"/>
    </row>
    <row r="13" spans="1:13">
      <c r="J13" s="44"/>
      <c r="K13" s="44"/>
      <c r="L13" s="44"/>
    </row>
    <row r="14" spans="1:13">
      <c r="J14" s="44"/>
      <c r="K14" s="44"/>
      <c r="L14" s="44"/>
    </row>
    <row r="15" spans="1:13">
      <c r="J15" s="44"/>
      <c r="K15" s="44"/>
      <c r="L15" s="44"/>
    </row>
    <row r="16" spans="1:13">
      <c r="E16" s="24"/>
      <c r="J16" s="44"/>
      <c r="K16" s="44"/>
      <c r="L16" s="44"/>
    </row>
    <row r="20" spans="5:5">
      <c r="E20" s="24"/>
    </row>
  </sheetData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99B24-6EF1-43FA-A5C7-1AE1CFCC73D6}">
  <dimension ref="A1:O23"/>
  <sheetViews>
    <sheetView zoomScale="115" zoomScaleNormal="115" workbookViewId="0">
      <selection activeCell="F12" sqref="F12"/>
    </sheetView>
  </sheetViews>
  <sheetFormatPr defaultRowHeight="15"/>
  <cols>
    <col min="1" max="1" width="13.85546875" customWidth="1"/>
    <col min="2" max="2" width="33.85546875" customWidth="1"/>
    <col min="3" max="3" width="43.28515625" customWidth="1"/>
    <col min="4" max="4" width="11.85546875" customWidth="1"/>
    <col min="5" max="5" width="20" customWidth="1"/>
    <col min="6" max="9" width="16.5703125" customWidth="1"/>
    <col min="10" max="11" width="17.7109375" customWidth="1"/>
    <col min="12" max="12" width="9.85546875" customWidth="1"/>
    <col min="13" max="13" width="11" customWidth="1"/>
    <col min="14" max="14" width="50.28515625" customWidth="1"/>
    <col min="15" max="15" width="19.85546875" customWidth="1"/>
    <col min="16" max="16" width="15.7109375" customWidth="1"/>
    <col min="17" max="17" width="12.28515625" customWidth="1"/>
  </cols>
  <sheetData>
    <row r="1" spans="1:15" ht="17.45" customHeight="1">
      <c r="A1" s="13" t="s">
        <v>0</v>
      </c>
      <c r="B1" s="13" t="s">
        <v>342</v>
      </c>
      <c r="C1" s="13" t="s">
        <v>364</v>
      </c>
      <c r="D1" s="13" t="s">
        <v>369</v>
      </c>
      <c r="E1" s="13" t="s">
        <v>394</v>
      </c>
      <c r="F1" s="13" t="s">
        <v>341</v>
      </c>
      <c r="G1" s="66"/>
      <c r="H1" s="18"/>
      <c r="I1" s="18"/>
      <c r="J1" s="18" t="s">
        <v>443</v>
      </c>
      <c r="K1" s="18" t="s">
        <v>413</v>
      </c>
      <c r="L1" s="44"/>
      <c r="M1" s="44" t="s">
        <v>399</v>
      </c>
      <c r="N1" s="44" t="s">
        <v>400</v>
      </c>
    </row>
    <row r="2" spans="1:15" ht="17.45" customHeight="1">
      <c r="A2" s="13">
        <v>1</v>
      </c>
      <c r="B2" s="13" t="str">
        <f t="shared" ref="B2:B8" si="0">CONCATENATE("amiris-config/data/LS_",A2,".csv")</f>
        <v>amiris-config/data/LS_1.csv</v>
      </c>
      <c r="C2" s="13" t="str">
        <f t="shared" ref="C2:C8" si="1">CONCATENATE("amiris-config/data/future_LS_",A2,".csv")</f>
        <v>amiris-config/data/future_LS_1.csv</v>
      </c>
      <c r="D2" s="13" t="s">
        <v>69</v>
      </c>
      <c r="E2" s="34">
        <v>1</v>
      </c>
      <c r="F2" s="34">
        <v>4081.7323076923076</v>
      </c>
      <c r="G2" s="45">
        <v>0.13</v>
      </c>
      <c r="H2" s="16">
        <f>F2*20</f>
        <v>81634.646153846144</v>
      </c>
      <c r="I2" s="16">
        <f>J2/F2</f>
        <v>0.97997607350725147</v>
      </c>
      <c r="J2" s="16">
        <v>4000</v>
      </c>
      <c r="K2">
        <v>500</v>
      </c>
      <c r="L2" s="44"/>
      <c r="M2" s="53">
        <f>$M$10/E2</f>
        <v>47000</v>
      </c>
      <c r="N2" s="44">
        <f>+F2*E2</f>
        <v>4081.7323076923076</v>
      </c>
    </row>
    <row r="3" spans="1:15" ht="17.45" customHeight="1">
      <c r="A3" s="13">
        <v>2</v>
      </c>
      <c r="B3" s="13" t="str">
        <f t="shared" si="0"/>
        <v>amiris-config/data/LS_2.csv</v>
      </c>
      <c r="C3" s="13" t="str">
        <f t="shared" si="1"/>
        <v>amiris-config/data/future_LS_2.csv</v>
      </c>
      <c r="D3" s="13" t="s">
        <v>69</v>
      </c>
      <c r="E3" s="34">
        <v>3</v>
      </c>
      <c r="F3" s="34">
        <v>3397.68</v>
      </c>
      <c r="G3" s="45">
        <v>0.13</v>
      </c>
      <c r="H3" s="16">
        <f t="shared" ref="H3:H9" si="2">F3*20</f>
        <v>67953.599999999991</v>
      </c>
      <c r="I3" s="16">
        <f t="shared" ref="I3:I8" si="3">J3/F3</f>
        <v>1.1772739045466318</v>
      </c>
      <c r="J3" s="16">
        <v>4000</v>
      </c>
      <c r="L3" s="44"/>
      <c r="M3" s="53">
        <f>N3/E3</f>
        <v>3397.68</v>
      </c>
      <c r="N3" s="44">
        <f t="shared" ref="N3:N6" si="4">+F3*E3</f>
        <v>10193.039999999999</v>
      </c>
    </row>
    <row r="4" spans="1:15" ht="17.45" customHeight="1">
      <c r="A4" s="13">
        <v>3</v>
      </c>
      <c r="B4" s="13" t="str">
        <f t="shared" si="0"/>
        <v>amiris-config/data/LS_3.csv</v>
      </c>
      <c r="C4" s="13" t="str">
        <f t="shared" si="1"/>
        <v>amiris-config/data/future_LS_3.csv</v>
      </c>
      <c r="D4" s="13" t="s">
        <v>69</v>
      </c>
      <c r="E4" s="34">
        <v>6</v>
      </c>
      <c r="F4" s="34">
        <v>2539.580606060606</v>
      </c>
      <c r="G4" s="45">
        <v>0.33</v>
      </c>
      <c r="H4" s="16">
        <f t="shared" si="2"/>
        <v>50791.612121212122</v>
      </c>
      <c r="I4" s="16">
        <f t="shared" si="3"/>
        <v>1.5750632173100403</v>
      </c>
      <c r="J4" s="16">
        <v>4000</v>
      </c>
      <c r="L4" s="44"/>
      <c r="M4" s="53">
        <f>N4/E4</f>
        <v>2539.580606060606</v>
      </c>
      <c r="N4" s="44">
        <f t="shared" si="4"/>
        <v>15237.483636363635</v>
      </c>
    </row>
    <row r="5" spans="1:15" ht="17.45" customHeight="1">
      <c r="A5" s="13">
        <v>4</v>
      </c>
      <c r="B5" s="13" t="str">
        <f t="shared" si="0"/>
        <v>amiris-config/data/LS_4.csv</v>
      </c>
      <c r="C5" s="13" t="str">
        <f t="shared" si="1"/>
        <v>amiris-config/data/future_LS_4.csv</v>
      </c>
      <c r="D5" s="13" t="s">
        <v>69</v>
      </c>
      <c r="E5" s="34">
        <v>9</v>
      </c>
      <c r="F5" s="34">
        <v>1708</v>
      </c>
      <c r="G5" s="45">
        <v>0.09</v>
      </c>
      <c r="H5" s="16">
        <f t="shared" si="2"/>
        <v>34160</v>
      </c>
      <c r="I5" s="16">
        <f t="shared" si="3"/>
        <v>2.3419203747072599</v>
      </c>
      <c r="J5" s="16">
        <v>4000</v>
      </c>
      <c r="L5" s="44"/>
      <c r="M5" s="53">
        <f>N5/E5</f>
        <v>1708</v>
      </c>
      <c r="N5" s="44">
        <f t="shared" si="4"/>
        <v>15372</v>
      </c>
    </row>
    <row r="6" spans="1:15">
      <c r="A6" s="13">
        <v>5</v>
      </c>
      <c r="B6" s="13" t="str">
        <f t="shared" si="0"/>
        <v>amiris-config/data/LS_5.csv</v>
      </c>
      <c r="C6" s="13" t="str">
        <f t="shared" si="1"/>
        <v>amiris-config/data/future_LS_5.csv</v>
      </c>
      <c r="D6" s="13" t="s">
        <v>69</v>
      </c>
      <c r="E6" s="34">
        <v>12</v>
      </c>
      <c r="F6" s="34">
        <v>1308.92</v>
      </c>
      <c r="G6" s="45">
        <v>0.21</v>
      </c>
      <c r="H6" s="16">
        <f t="shared" si="2"/>
        <v>26178.400000000001</v>
      </c>
      <c r="I6" s="16">
        <f t="shared" si="3"/>
        <v>3.055954527396632</v>
      </c>
      <c r="J6" s="16">
        <v>4000</v>
      </c>
      <c r="K6">
        <v>490</v>
      </c>
      <c r="L6" s="44"/>
      <c r="M6" s="53">
        <f>N6/E6</f>
        <v>1308.92</v>
      </c>
      <c r="N6" s="44">
        <f t="shared" si="4"/>
        <v>15707.04</v>
      </c>
      <c r="O6" s="16"/>
    </row>
    <row r="7" spans="1:15">
      <c r="A7" s="13">
        <v>6</v>
      </c>
      <c r="B7" s="13" t="str">
        <f t="shared" si="0"/>
        <v>amiris-config/data/LS_6.csv</v>
      </c>
      <c r="C7" s="13" t="str">
        <f t="shared" si="1"/>
        <v>amiris-config/data/future_LS_6.csv</v>
      </c>
      <c r="D7" s="13" t="s">
        <v>69</v>
      </c>
      <c r="E7" s="34">
        <v>15</v>
      </c>
      <c r="F7" s="34">
        <v>1217.1600000000001</v>
      </c>
      <c r="G7" s="45">
        <v>0.08</v>
      </c>
      <c r="H7" s="16">
        <f t="shared" si="2"/>
        <v>24343.200000000001</v>
      </c>
      <c r="I7" s="16">
        <f t="shared" si="3"/>
        <v>3.2863386900653979</v>
      </c>
      <c r="J7" s="16">
        <v>4000</v>
      </c>
      <c r="L7" s="44"/>
      <c r="M7" s="44" t="s">
        <v>69</v>
      </c>
      <c r="N7" s="44"/>
    </row>
    <row r="8" spans="1:15">
      <c r="A8" s="13">
        <v>7</v>
      </c>
      <c r="B8" s="13" t="str">
        <f t="shared" si="0"/>
        <v>amiris-config/data/LS_7.csv</v>
      </c>
      <c r="C8" s="13" t="str">
        <f t="shared" si="1"/>
        <v>amiris-config/data/future_LS_7.csv</v>
      </c>
      <c r="D8" s="13" t="s">
        <v>69</v>
      </c>
      <c r="E8" s="34">
        <v>18</v>
      </c>
      <c r="F8" s="34">
        <v>791.4</v>
      </c>
      <c r="G8" s="45">
        <v>0.03</v>
      </c>
      <c r="H8" s="16">
        <f t="shared" si="2"/>
        <v>15828</v>
      </c>
      <c r="I8" s="16">
        <f t="shared" si="3"/>
        <v>5.0543340914834474</v>
      </c>
      <c r="J8" s="16">
        <v>4000</v>
      </c>
      <c r="L8" s="44"/>
      <c r="M8" s="53"/>
      <c r="N8" s="44"/>
    </row>
    <row r="9" spans="1:15">
      <c r="A9" s="13" t="s">
        <v>103</v>
      </c>
      <c r="B9" s="13" t="s">
        <v>370</v>
      </c>
      <c r="C9" s="13" t="s">
        <v>376</v>
      </c>
      <c r="D9" s="13">
        <f>37450</f>
        <v>37450</v>
      </c>
      <c r="E9" s="13"/>
      <c r="F9" s="13"/>
      <c r="H9" s="16">
        <f t="shared" si="2"/>
        <v>0</v>
      </c>
      <c r="L9" s="44"/>
      <c r="M9" s="54" t="s">
        <v>393</v>
      </c>
      <c r="N9" s="54" t="s">
        <v>398</v>
      </c>
    </row>
    <row r="10" spans="1:15">
      <c r="L10" s="44"/>
      <c r="M10" s="54">
        <v>47000</v>
      </c>
      <c r="N10" s="54">
        <v>46000</v>
      </c>
    </row>
    <row r="11" spans="1:15">
      <c r="L11" s="44"/>
      <c r="M11" s="44"/>
      <c r="N11" s="44"/>
    </row>
    <row r="12" spans="1:15">
      <c r="L12" s="44"/>
      <c r="M12" s="44"/>
      <c r="N12" s="44"/>
    </row>
    <row r="13" spans="1:15">
      <c r="B13" s="13" t="s">
        <v>0</v>
      </c>
      <c r="C13" s="13" t="s">
        <v>394</v>
      </c>
      <c r="D13" s="13" t="s">
        <v>341</v>
      </c>
      <c r="E13" s="13"/>
      <c r="L13" s="44"/>
      <c r="M13" s="44"/>
      <c r="N13" s="44"/>
    </row>
    <row r="14" spans="1:15">
      <c r="B14" s="13">
        <v>1</v>
      </c>
      <c r="C14" s="34">
        <v>1</v>
      </c>
      <c r="D14" s="34">
        <v>4081.7323076923076</v>
      </c>
      <c r="E14" s="13"/>
      <c r="L14" s="44"/>
      <c r="M14" s="44"/>
      <c r="N14" s="44"/>
    </row>
    <row r="15" spans="1:15">
      <c r="B15" s="13">
        <v>2</v>
      </c>
      <c r="C15" s="34">
        <v>3</v>
      </c>
      <c r="D15" s="34">
        <v>3397.68</v>
      </c>
      <c r="E15" s="13"/>
      <c r="L15" s="44"/>
      <c r="M15" s="44"/>
      <c r="N15" s="44"/>
    </row>
    <row r="16" spans="1:15">
      <c r="B16" s="13">
        <v>3</v>
      </c>
      <c r="C16" s="34">
        <v>6</v>
      </c>
      <c r="D16" s="34">
        <v>2539.580606060606</v>
      </c>
      <c r="E16" s="13"/>
      <c r="L16" s="44"/>
      <c r="M16" s="44"/>
      <c r="N16" s="44"/>
    </row>
    <row r="17" spans="2:8">
      <c r="B17" s="13">
        <v>4</v>
      </c>
      <c r="C17" s="34">
        <v>9</v>
      </c>
      <c r="D17" s="34">
        <v>1708</v>
      </c>
      <c r="E17" s="13"/>
    </row>
    <row r="18" spans="2:8">
      <c r="B18" s="13">
        <v>5</v>
      </c>
      <c r="C18" s="34">
        <v>12</v>
      </c>
      <c r="D18" s="34">
        <v>1308.92</v>
      </c>
      <c r="E18" s="13"/>
    </row>
    <row r="19" spans="2:8">
      <c r="B19" s="13">
        <v>6</v>
      </c>
      <c r="C19" s="34">
        <v>15</v>
      </c>
      <c r="D19" s="34">
        <v>1217.1600000000001</v>
      </c>
      <c r="E19" s="13"/>
    </row>
    <row r="20" spans="2:8">
      <c r="B20" s="13">
        <v>7</v>
      </c>
      <c r="C20" s="34">
        <v>18</v>
      </c>
      <c r="D20" s="34">
        <v>791.4</v>
      </c>
      <c r="E20" s="13"/>
    </row>
    <row r="22" spans="2:8">
      <c r="H22" s="44"/>
    </row>
    <row r="23" spans="2:8">
      <c r="H23" s="44"/>
    </row>
  </sheetData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260B-0A2E-4B2F-9996-9AFC8D19CB5C}">
  <sheetPr>
    <tabColor theme="0" tint="-4.9989318521683403E-2"/>
  </sheetPr>
  <dimension ref="A1:K22"/>
  <sheetViews>
    <sheetView topLeftCell="C1" workbookViewId="0">
      <selection activeCell="F3" sqref="F3:F6"/>
    </sheetView>
  </sheetViews>
  <sheetFormatPr defaultRowHeight="15"/>
  <cols>
    <col min="2" max="2" width="42.5703125" customWidth="1"/>
    <col min="3" max="3" width="56.42578125" customWidth="1"/>
    <col min="9" max="10" width="16.42578125" customWidth="1"/>
  </cols>
  <sheetData>
    <row r="1" spans="1:11">
      <c r="A1" t="s">
        <v>0</v>
      </c>
      <c r="B1" t="s">
        <v>342</v>
      </c>
      <c r="C1" t="s">
        <v>364</v>
      </c>
      <c r="D1" t="s">
        <v>369</v>
      </c>
      <c r="E1" t="s">
        <v>359</v>
      </c>
      <c r="F1" t="s">
        <v>394</v>
      </c>
      <c r="H1" t="s">
        <v>397</v>
      </c>
      <c r="I1" t="s">
        <v>399</v>
      </c>
      <c r="J1" t="s">
        <v>400</v>
      </c>
      <c r="K1" t="s">
        <v>396</v>
      </c>
    </row>
    <row r="2" spans="1:11">
      <c r="A2">
        <v>1</v>
      </c>
      <c r="B2" t="str">
        <f t="shared" ref="B2:B6" si="0">CONCATENATE("amiris-config/data/LS_",A2,".csv")</f>
        <v>amiris-config/data/LS_1.csv</v>
      </c>
      <c r="C2" t="str">
        <f t="shared" ref="C2:C6" si="1">CONCATENATE("amiris-config/data/future_LS_",A2,".csv")</f>
        <v>amiris-config/data/future_LS_1.csv</v>
      </c>
      <c r="D2" t="s">
        <v>69</v>
      </c>
      <c r="E2" s="42">
        <f>1-SUM(E3:E8)</f>
        <v>0.8</v>
      </c>
      <c r="F2" s="16">
        <v>6</v>
      </c>
      <c r="H2">
        <f>E2*H14</f>
        <v>36800</v>
      </c>
      <c r="I2" s="16">
        <f>$G$14/F2</f>
        <v>7833.333333333333</v>
      </c>
      <c r="J2">
        <f>+I2*F2</f>
        <v>47000</v>
      </c>
    </row>
    <row r="3" spans="1:11">
      <c r="A3">
        <v>2</v>
      </c>
      <c r="B3" t="str">
        <f t="shared" si="0"/>
        <v>amiris-config/data/LS_2.csv</v>
      </c>
      <c r="C3" t="str">
        <f t="shared" si="1"/>
        <v>amiris-config/data/future_LS_2.csv</v>
      </c>
      <c r="D3" t="s">
        <v>69</v>
      </c>
      <c r="E3" s="42">
        <v>0.05</v>
      </c>
      <c r="F3" s="16">
        <v>10</v>
      </c>
      <c r="H3">
        <f>E3*H14+H2</f>
        <v>39100</v>
      </c>
      <c r="I3" s="16">
        <f>J3/F3</f>
        <v>4500</v>
      </c>
      <c r="J3">
        <v>45000</v>
      </c>
    </row>
    <row r="4" spans="1:11">
      <c r="A4">
        <v>3</v>
      </c>
      <c r="B4" t="str">
        <f t="shared" si="0"/>
        <v>amiris-config/data/LS_3.csv</v>
      </c>
      <c r="C4" t="str">
        <f t="shared" si="1"/>
        <v>amiris-config/data/future_LS_3.csv</v>
      </c>
      <c r="D4" t="s">
        <v>69</v>
      </c>
      <c r="E4" s="42">
        <v>0.05</v>
      </c>
      <c r="F4" s="16">
        <v>20</v>
      </c>
      <c r="H4">
        <f t="shared" ref="H4:H6" si="2">E4*43000+H3</f>
        <v>41250</v>
      </c>
      <c r="I4" s="16">
        <f>J4/F4</f>
        <v>2000</v>
      </c>
      <c r="J4">
        <v>40000</v>
      </c>
    </row>
    <row r="5" spans="1:11">
      <c r="A5">
        <v>4</v>
      </c>
      <c r="B5" t="str">
        <f t="shared" si="0"/>
        <v>amiris-config/data/LS_4.csv</v>
      </c>
      <c r="C5" t="str">
        <f t="shared" si="1"/>
        <v>amiris-config/data/future_LS_4.csv</v>
      </c>
      <c r="D5" t="s">
        <v>69</v>
      </c>
      <c r="E5" s="42">
        <v>0.05</v>
      </c>
      <c r="F5" s="16">
        <v>30</v>
      </c>
      <c r="H5">
        <f t="shared" si="2"/>
        <v>43400</v>
      </c>
      <c r="I5" s="16">
        <f t="shared" ref="I5" si="3">J5/F5</f>
        <v>1000</v>
      </c>
      <c r="J5">
        <v>30000</v>
      </c>
    </row>
    <row r="6" spans="1:11">
      <c r="A6">
        <v>5</v>
      </c>
      <c r="B6" t="str">
        <f t="shared" si="0"/>
        <v>amiris-config/data/LS_5.csv</v>
      </c>
      <c r="C6" t="str">
        <f t="shared" si="1"/>
        <v>amiris-config/data/future_LS_5.csv</v>
      </c>
      <c r="D6" t="s">
        <v>69</v>
      </c>
      <c r="E6" s="42">
        <v>0.05</v>
      </c>
      <c r="F6" s="16">
        <v>40</v>
      </c>
      <c r="H6">
        <f t="shared" si="2"/>
        <v>45550</v>
      </c>
      <c r="I6" s="16">
        <f>J6/F6</f>
        <v>500</v>
      </c>
      <c r="J6">
        <v>20000</v>
      </c>
    </row>
    <row r="7" spans="1:11">
      <c r="A7" t="s">
        <v>103</v>
      </c>
      <c r="B7" t="s">
        <v>370</v>
      </c>
      <c r="C7" t="s">
        <v>376</v>
      </c>
      <c r="D7">
        <f>29090</f>
        <v>29090</v>
      </c>
      <c r="E7" t="s">
        <v>69</v>
      </c>
      <c r="I7" t="s">
        <v>69</v>
      </c>
    </row>
    <row r="8" spans="1:11">
      <c r="E8" s="42"/>
      <c r="F8" s="16"/>
      <c r="I8" s="16"/>
    </row>
    <row r="13" spans="1:11">
      <c r="G13" s="47" t="s">
        <v>393</v>
      </c>
      <c r="H13" s="47" t="s">
        <v>398</v>
      </c>
    </row>
    <row r="14" spans="1:11">
      <c r="G14" s="47">
        <v>47000</v>
      </c>
      <c r="H14" s="47">
        <v>46000</v>
      </c>
    </row>
    <row r="19" spans="5:7">
      <c r="F19" s="42"/>
    </row>
    <row r="20" spans="5:7">
      <c r="F20" s="42"/>
      <c r="G20" s="16"/>
    </row>
    <row r="21" spans="5:7">
      <c r="F21" s="42"/>
    </row>
    <row r="22" spans="5:7">
      <c r="E22" s="16"/>
      <c r="F22" s="42"/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24C87-F638-44E5-93E6-66127C8D89C9}">
  <sheetPr>
    <tabColor theme="0" tint="-4.9989318521683403E-2"/>
  </sheetPr>
  <dimension ref="A1:L21"/>
  <sheetViews>
    <sheetView workbookViewId="0">
      <selection activeCell="G23" sqref="G23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16.5703125" customWidth="1"/>
    <col min="7" max="7" width="17.7109375" customWidth="1"/>
    <col min="8" max="9" width="6.42578125" customWidth="1"/>
    <col min="10" max="10" width="50.28515625" customWidth="1"/>
    <col min="11" max="11" width="19.85546875" customWidth="1"/>
    <col min="12" max="12" width="15.7109375" customWidth="1"/>
    <col min="13" max="13" width="12.28515625" customWidth="1"/>
  </cols>
  <sheetData>
    <row r="1" spans="1:12" ht="17.45" customHeight="1">
      <c r="A1" t="s">
        <v>0</v>
      </c>
      <c r="B1" t="s">
        <v>341</v>
      </c>
      <c r="C1" t="s">
        <v>342</v>
      </c>
      <c r="D1" t="s">
        <v>364</v>
      </c>
      <c r="E1" t="s">
        <v>369</v>
      </c>
      <c r="F1" t="s">
        <v>359</v>
      </c>
      <c r="G1" t="s">
        <v>394</v>
      </c>
    </row>
    <row r="2" spans="1:12" ht="17.45" customHeight="1">
      <c r="A2" t="s">
        <v>264</v>
      </c>
      <c r="B2">
        <v>4000</v>
      </c>
      <c r="C2" t="s">
        <v>378</v>
      </c>
      <c r="D2" t="s">
        <v>377</v>
      </c>
      <c r="E2" t="s">
        <v>69</v>
      </c>
      <c r="F2" s="42">
        <f>1-F3-F4-F5</f>
        <v>0.79999999999999993</v>
      </c>
      <c r="G2">
        <f>$J$11/B2</f>
        <v>10</v>
      </c>
      <c r="I2">
        <f>G2*B2</f>
        <v>40000</v>
      </c>
      <c r="J2" t="s">
        <v>264</v>
      </c>
    </row>
    <row r="3" spans="1:12" ht="17.45" customHeight="1">
      <c r="A3" t="s">
        <v>343</v>
      </c>
      <c r="B3">
        <v>1500</v>
      </c>
      <c r="C3" t="s">
        <v>348</v>
      </c>
      <c r="D3" t="s">
        <v>361</v>
      </c>
      <c r="E3" t="s">
        <v>69</v>
      </c>
      <c r="F3" s="42">
        <v>0.1</v>
      </c>
      <c r="G3" s="16">
        <v>20</v>
      </c>
      <c r="H3" s="16"/>
      <c r="I3">
        <f t="shared" ref="I3:I5" si="0">G3*B3</f>
        <v>30000</v>
      </c>
      <c r="J3" t="s">
        <v>353</v>
      </c>
    </row>
    <row r="4" spans="1:12" ht="17.45" customHeight="1">
      <c r="A4" t="s">
        <v>357</v>
      </c>
      <c r="B4">
        <v>500</v>
      </c>
      <c r="C4" t="s">
        <v>356</v>
      </c>
      <c r="D4" t="s">
        <v>362</v>
      </c>
      <c r="E4" t="s">
        <v>69</v>
      </c>
      <c r="F4" s="42">
        <v>0.05</v>
      </c>
      <c r="G4">
        <v>100</v>
      </c>
      <c r="I4">
        <f t="shared" si="0"/>
        <v>50000</v>
      </c>
      <c r="J4" t="s">
        <v>354</v>
      </c>
    </row>
    <row r="5" spans="1:12" ht="17.45" customHeight="1">
      <c r="A5" t="s">
        <v>344</v>
      </c>
      <c r="B5">
        <v>250</v>
      </c>
      <c r="C5" t="s">
        <v>349</v>
      </c>
      <c r="D5" t="s">
        <v>363</v>
      </c>
      <c r="E5" s="16" t="s">
        <v>69</v>
      </c>
      <c r="F5" s="42">
        <v>0.05</v>
      </c>
      <c r="G5">
        <f t="shared" ref="G5" si="1">$J$11/B5</f>
        <v>160</v>
      </c>
      <c r="I5">
        <f t="shared" si="0"/>
        <v>40000</v>
      </c>
      <c r="J5" t="s">
        <v>355</v>
      </c>
      <c r="L5" t="s">
        <v>360</v>
      </c>
    </row>
    <row r="6" spans="1:12">
      <c r="A6" t="s">
        <v>103</v>
      </c>
      <c r="B6" t="s">
        <v>69</v>
      </c>
      <c r="C6" t="s">
        <v>370</v>
      </c>
      <c r="D6" t="s">
        <v>376</v>
      </c>
      <c r="E6">
        <f>29090</f>
        <v>29090</v>
      </c>
      <c r="F6" t="s">
        <v>69</v>
      </c>
      <c r="G6">
        <v>1000</v>
      </c>
      <c r="J6" t="s">
        <v>358</v>
      </c>
      <c r="K6" s="16">
        <f>LoadShifterCap!B3*12</f>
        <v>36756965</v>
      </c>
      <c r="L6">
        <f>[1]nodeOLD!$C$34*0.74</f>
        <v>33.374000000000002</v>
      </c>
    </row>
    <row r="7" spans="1:12">
      <c r="E7" s="16"/>
      <c r="J7" t="s">
        <v>392</v>
      </c>
      <c r="K7">
        <f>K6*0.74</f>
        <v>27200154.100000001</v>
      </c>
    </row>
    <row r="8" spans="1:12">
      <c r="J8" s="16">
        <v>41070</v>
      </c>
      <c r="K8" t="s">
        <v>390</v>
      </c>
    </row>
    <row r="10" spans="1:12">
      <c r="J10" s="47" t="s">
        <v>393</v>
      </c>
    </row>
    <row r="11" spans="1:12">
      <c r="J11" s="47">
        <v>40000</v>
      </c>
    </row>
    <row r="13" spans="1:12">
      <c r="J13" t="s">
        <v>401</v>
      </c>
    </row>
    <row r="14" spans="1:12">
      <c r="J14">
        <f>AVERAGE(I2:I5)</f>
        <v>40000</v>
      </c>
    </row>
    <row r="16" spans="1:12">
      <c r="E16" s="24"/>
    </row>
    <row r="17" spans="3:5">
      <c r="D17" t="s">
        <v>496</v>
      </c>
    </row>
    <row r="18" spans="3:5">
      <c r="C18" s="42">
        <f>1-C19-C20-C21</f>
        <v>0.79999999999999993</v>
      </c>
      <c r="D18">
        <v>4000</v>
      </c>
    </row>
    <row r="19" spans="3:5">
      <c r="C19" s="42">
        <v>0.1</v>
      </c>
      <c r="D19">
        <v>1500</v>
      </c>
    </row>
    <row r="20" spans="3:5">
      <c r="C20" s="42">
        <v>0.05</v>
      </c>
      <c r="D20">
        <v>500</v>
      </c>
      <c r="E20" s="24"/>
    </row>
    <row r="21" spans="3:5">
      <c r="C21" s="42">
        <v>0.05</v>
      </c>
      <c r="D21">
        <v>250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dimension ref="A1:B8"/>
  <sheetViews>
    <sheetView workbookViewId="0">
      <selection activeCell="P33" sqref="P33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158</v>
      </c>
      <c r="B1" t="s">
        <v>174</v>
      </c>
    </row>
    <row r="2" spans="1:2">
      <c r="A2" s="3" t="s">
        <v>176</v>
      </c>
      <c r="B2" t="s">
        <v>183</v>
      </c>
    </row>
    <row r="3" spans="1:2">
      <c r="A3" t="s">
        <v>178</v>
      </c>
      <c r="B3" t="s">
        <v>186</v>
      </c>
    </row>
    <row r="4" spans="1:2">
      <c r="A4" t="s">
        <v>179</v>
      </c>
      <c r="B4" t="s">
        <v>184</v>
      </c>
    </row>
    <row r="5" spans="1:2">
      <c r="A5" t="s">
        <v>180</v>
      </c>
      <c r="B5" t="s">
        <v>184</v>
      </c>
    </row>
    <row r="6" spans="1:2">
      <c r="A6" t="s">
        <v>181</v>
      </c>
      <c r="B6" t="s">
        <v>168</v>
      </c>
    </row>
    <row r="7" spans="1:2">
      <c r="A7" t="s">
        <v>182</v>
      </c>
      <c r="B7" t="s">
        <v>168</v>
      </c>
    </row>
    <row r="8" spans="1:2">
      <c r="A8" t="s">
        <v>177</v>
      </c>
      <c r="B8" t="s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26"/>
  <sheetViews>
    <sheetView workbookViewId="0">
      <selection activeCell="K28" sqref="K28"/>
    </sheetView>
  </sheetViews>
  <sheetFormatPr defaultRowHeight="15"/>
  <cols>
    <col min="1" max="1" width="24.5703125" customWidth="1"/>
    <col min="2" max="3" width="19.42578125" customWidth="1"/>
    <col min="4" max="4" width="17.28515625" customWidth="1"/>
    <col min="5" max="5" width="24" customWidth="1"/>
    <col min="6" max="6" width="25.28515625" customWidth="1"/>
  </cols>
  <sheetData>
    <row r="1" spans="1:5">
      <c r="A1" s="13" t="s">
        <v>188</v>
      </c>
      <c r="B1" s="13" t="s">
        <v>189</v>
      </c>
      <c r="C1" s="13" t="s">
        <v>187</v>
      </c>
      <c r="E1" t="s">
        <v>296</v>
      </c>
    </row>
    <row r="2" spans="1:5">
      <c r="A2" s="13" t="s">
        <v>102</v>
      </c>
      <c r="B2" s="13" t="s">
        <v>157</v>
      </c>
      <c r="C2" s="13">
        <v>1</v>
      </c>
      <c r="E2" s="20"/>
    </row>
    <row r="3" spans="1:5">
      <c r="A3" s="13" t="s">
        <v>104</v>
      </c>
      <c r="B3" s="13" t="s">
        <v>171</v>
      </c>
      <c r="C3" s="13">
        <v>2</v>
      </c>
      <c r="E3" s="20"/>
    </row>
    <row r="4" spans="1:5">
      <c r="A4" s="13" t="s">
        <v>107</v>
      </c>
      <c r="B4" s="13" t="s">
        <v>261</v>
      </c>
      <c r="C4" s="13">
        <v>3</v>
      </c>
    </row>
    <row r="5" spans="1:5">
      <c r="A5" s="13" t="s">
        <v>99</v>
      </c>
      <c r="B5" s="48" t="s">
        <v>99</v>
      </c>
      <c r="C5" s="13">
        <v>4</v>
      </c>
    </row>
    <row r="6" spans="1:5">
      <c r="A6" s="13" t="s">
        <v>414</v>
      </c>
      <c r="B6" s="13" t="s">
        <v>156</v>
      </c>
      <c r="C6" s="13">
        <v>5</v>
      </c>
      <c r="E6" s="20"/>
    </row>
    <row r="7" spans="1:5">
      <c r="A7" s="13" t="s">
        <v>103</v>
      </c>
      <c r="B7" s="48" t="s">
        <v>172</v>
      </c>
      <c r="C7" s="13">
        <v>6</v>
      </c>
    </row>
    <row r="8" spans="1:5">
      <c r="A8" s="13" t="s">
        <v>105</v>
      </c>
      <c r="B8" s="13" t="s">
        <v>155</v>
      </c>
      <c r="C8" s="13">
        <v>8</v>
      </c>
    </row>
    <row r="9" spans="1:5">
      <c r="A9" s="13" t="s">
        <v>106</v>
      </c>
      <c r="B9" s="13" t="s">
        <v>70</v>
      </c>
      <c r="C9" s="13">
        <v>9</v>
      </c>
      <c r="E9" s="20"/>
    </row>
    <row r="10" spans="1:5">
      <c r="A10" s="13" t="s">
        <v>100</v>
      </c>
      <c r="B10" s="48" t="s">
        <v>173</v>
      </c>
      <c r="C10" s="13">
        <v>12</v>
      </c>
    </row>
    <row r="11" spans="1:5">
      <c r="A11" s="59" t="s">
        <v>101</v>
      </c>
      <c r="B11" s="13" t="s">
        <v>63</v>
      </c>
      <c r="C11" s="13">
        <v>13</v>
      </c>
      <c r="E11" t="s">
        <v>427</v>
      </c>
    </row>
    <row r="12" spans="1:5">
      <c r="A12" s="13" t="s">
        <v>352</v>
      </c>
      <c r="B12" s="48" t="s">
        <v>352</v>
      </c>
      <c r="C12" s="13">
        <v>14</v>
      </c>
    </row>
    <row r="17" spans="1:1">
      <c r="A17" s="9"/>
    </row>
    <row r="18" spans="1:1">
      <c r="A18" s="9"/>
    </row>
    <row r="19" spans="1:1">
      <c r="A19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2" t="s">
        <v>262</v>
      </c>
    </row>
    <row r="2" spans="1:10">
      <c r="A2" t="s">
        <v>270</v>
      </c>
      <c r="B2">
        <v>1</v>
      </c>
      <c r="C2">
        <v>700</v>
      </c>
      <c r="D2">
        <v>700</v>
      </c>
      <c r="E2">
        <v>700</v>
      </c>
    </row>
    <row r="3" spans="1:10">
      <c r="A3" t="s">
        <v>267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268</v>
      </c>
      <c r="B4">
        <v>1</v>
      </c>
      <c r="C4">
        <v>700</v>
      </c>
      <c r="D4">
        <v>700</v>
      </c>
      <c r="E4">
        <v>700</v>
      </c>
    </row>
    <row r="5" spans="1:10">
      <c r="A5" t="s">
        <v>269</v>
      </c>
      <c r="B5">
        <v>1</v>
      </c>
      <c r="C5">
        <f>D5</f>
        <v>10000</v>
      </c>
      <c r="D5">
        <v>10000</v>
      </c>
      <c r="E5">
        <v>0</v>
      </c>
      <c r="J5" s="10"/>
    </row>
    <row r="7" spans="1:10" ht="17.25">
      <c r="A7" t="s">
        <v>272</v>
      </c>
      <c r="B7">
        <v>10</v>
      </c>
      <c r="D7" s="16"/>
      <c r="E7" s="16">
        <v>290.54545454545456</v>
      </c>
      <c r="G7" s="37" t="s">
        <v>322</v>
      </c>
    </row>
    <row r="8" spans="1:10">
      <c r="A8" t="s">
        <v>271</v>
      </c>
      <c r="B8">
        <v>10</v>
      </c>
      <c r="D8" s="16"/>
      <c r="E8" s="16">
        <v>1821.6363636363637</v>
      </c>
    </row>
    <row r="9" spans="1:10">
      <c r="A9" t="s">
        <v>273</v>
      </c>
      <c r="B9">
        <v>10</v>
      </c>
      <c r="D9" s="16"/>
      <c r="E9" s="16">
        <v>1724.3181818181818</v>
      </c>
    </row>
    <row r="10" spans="1:10">
      <c r="A10" t="s">
        <v>272</v>
      </c>
      <c r="B10">
        <v>20</v>
      </c>
      <c r="E10">
        <v>228.4</v>
      </c>
    </row>
    <row r="11" spans="1:10">
      <c r="A11" t="s">
        <v>271</v>
      </c>
      <c r="B11">
        <v>20</v>
      </c>
      <c r="E11">
        <v>2450</v>
      </c>
    </row>
    <row r="12" spans="1:10">
      <c r="A12" t="s">
        <v>273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257</v>
      </c>
      <c r="B1" t="s">
        <v>289</v>
      </c>
      <c r="C1" t="s">
        <v>290</v>
      </c>
      <c r="D1" t="s">
        <v>259</v>
      </c>
      <c r="E1" t="s">
        <v>292</v>
      </c>
    </row>
    <row r="2" spans="1:16">
      <c r="A2" t="s">
        <v>76</v>
      </c>
      <c r="B2" t="s">
        <v>1</v>
      </c>
      <c r="C2" t="s">
        <v>291</v>
      </c>
      <c r="D2" s="30">
        <v>2019</v>
      </c>
      <c r="E2" s="30">
        <f>(K8+K13)*1000</f>
        <v>10630</v>
      </c>
      <c r="F2" s="16"/>
      <c r="K2" s="16"/>
      <c r="L2" s="16"/>
    </row>
    <row r="3" spans="1:16">
      <c r="A3" t="s">
        <v>76</v>
      </c>
      <c r="B3" t="s">
        <v>1</v>
      </c>
      <c r="C3" t="s">
        <v>291</v>
      </c>
      <c r="D3" s="30">
        <v>2020</v>
      </c>
      <c r="E3" s="30">
        <f>(K9+K14)*1000</f>
        <v>10630</v>
      </c>
      <c r="F3" s="16"/>
      <c r="K3" s="16"/>
    </row>
    <row r="4" spans="1:16">
      <c r="A4" t="s">
        <v>76</v>
      </c>
      <c r="B4" t="s">
        <v>1</v>
      </c>
      <c r="C4" t="s">
        <v>291</v>
      </c>
      <c r="D4" s="30">
        <v>2030</v>
      </c>
      <c r="E4" s="30">
        <f>(K10+K15)*1000</f>
        <v>11100</v>
      </c>
      <c r="F4" s="16"/>
      <c r="K4" s="16"/>
      <c r="L4" s="16"/>
    </row>
    <row r="5" spans="1:16">
      <c r="A5" t="s">
        <v>76</v>
      </c>
      <c r="B5" t="s">
        <v>1</v>
      </c>
      <c r="C5" t="s">
        <v>291</v>
      </c>
      <c r="D5" s="30">
        <v>2040</v>
      </c>
      <c r="E5" s="30">
        <f>(K11+K16)*1000</f>
        <v>11570</v>
      </c>
      <c r="F5" s="30"/>
    </row>
    <row r="6" spans="1:16">
      <c r="A6" t="s">
        <v>76</v>
      </c>
      <c r="B6" t="s">
        <v>1</v>
      </c>
      <c r="C6" t="s">
        <v>291</v>
      </c>
      <c r="D6" s="30">
        <v>2050</v>
      </c>
      <c r="E6" s="30">
        <f>(K12+K17)*1000</f>
        <v>12040</v>
      </c>
      <c r="F6" s="30"/>
      <c r="H6" s="32"/>
      <c r="L6" s="29" t="s">
        <v>276</v>
      </c>
      <c r="M6" s="29" t="s">
        <v>277</v>
      </c>
      <c r="N6" s="29" t="s">
        <v>278</v>
      </c>
      <c r="O6" s="29" t="s">
        <v>280</v>
      </c>
      <c r="P6" s="29" t="s">
        <v>258</v>
      </c>
    </row>
    <row r="7" spans="1:16" ht="15" customHeight="1">
      <c r="A7" t="s">
        <v>76</v>
      </c>
      <c r="B7" t="s">
        <v>164</v>
      </c>
      <c r="C7" t="s">
        <v>291</v>
      </c>
      <c r="D7" s="30">
        <v>2019</v>
      </c>
      <c r="E7" s="30">
        <f>(J8+J13)*1000</f>
        <v>89450</v>
      </c>
      <c r="F7" s="30"/>
      <c r="H7" s="80" t="s">
        <v>285</v>
      </c>
      <c r="J7" s="31" t="s">
        <v>164</v>
      </c>
      <c r="K7" s="31" t="s">
        <v>1</v>
      </c>
      <c r="L7" s="31"/>
      <c r="M7" s="31"/>
      <c r="N7" s="31" t="s">
        <v>164</v>
      </c>
      <c r="O7" s="31" t="s">
        <v>1</v>
      </c>
      <c r="P7" s="31"/>
    </row>
    <row r="8" spans="1:16" ht="14.45" customHeight="1">
      <c r="A8" t="s">
        <v>76</v>
      </c>
      <c r="B8" t="s">
        <v>164</v>
      </c>
      <c r="C8" t="s">
        <v>291</v>
      </c>
      <c r="D8" s="30">
        <v>2020</v>
      </c>
      <c r="E8" s="30">
        <f>(J9+J14)*1000</f>
        <v>69440</v>
      </c>
      <c r="F8" s="30"/>
      <c r="H8" s="80"/>
      <c r="I8" s="30">
        <v>2019</v>
      </c>
      <c r="J8" s="30">
        <v>17.2</v>
      </c>
      <c r="K8" s="30">
        <v>7.66</v>
      </c>
      <c r="L8" t="s">
        <v>101</v>
      </c>
      <c r="M8">
        <v>2019</v>
      </c>
      <c r="N8">
        <v>110</v>
      </c>
      <c r="O8">
        <v>49</v>
      </c>
      <c r="P8" t="s">
        <v>260</v>
      </c>
    </row>
    <row r="9" spans="1:16" ht="14.45" customHeight="1">
      <c r="A9" t="s">
        <v>76</v>
      </c>
      <c r="B9" t="s">
        <v>164</v>
      </c>
      <c r="C9" t="s">
        <v>291</v>
      </c>
      <c r="D9" s="30">
        <v>2030</v>
      </c>
      <c r="E9" s="30">
        <f>(J10+J15)*1000</f>
        <v>65680</v>
      </c>
      <c r="F9" s="30"/>
      <c r="H9" s="80"/>
      <c r="I9" s="30">
        <v>2020</v>
      </c>
      <c r="J9" s="30">
        <v>17.05</v>
      </c>
      <c r="K9" s="30">
        <v>7.66</v>
      </c>
      <c r="L9" t="s">
        <v>101</v>
      </c>
      <c r="M9">
        <v>2020</v>
      </c>
      <c r="N9">
        <v>109</v>
      </c>
      <c r="O9">
        <v>49</v>
      </c>
      <c r="P9" t="s">
        <v>260</v>
      </c>
    </row>
    <row r="10" spans="1:16">
      <c r="A10" t="s">
        <v>76</v>
      </c>
      <c r="B10" t="s">
        <v>164</v>
      </c>
      <c r="C10" t="s">
        <v>291</v>
      </c>
      <c r="D10" s="30">
        <v>2040</v>
      </c>
      <c r="E10" s="30">
        <f>(J11+J16)*1000</f>
        <v>64430.000000000007</v>
      </c>
      <c r="F10" s="16"/>
      <c r="H10" s="80"/>
      <c r="I10" s="30">
        <v>2030</v>
      </c>
      <c r="J10" s="30">
        <v>17.36</v>
      </c>
      <c r="K10" s="30">
        <v>7.66</v>
      </c>
      <c r="L10" t="s">
        <v>101</v>
      </c>
      <c r="M10">
        <v>2030</v>
      </c>
      <c r="N10">
        <v>111</v>
      </c>
      <c r="O10">
        <v>49</v>
      </c>
      <c r="P10" t="s">
        <v>260</v>
      </c>
    </row>
    <row r="11" spans="1:16">
      <c r="A11" t="s">
        <v>76</v>
      </c>
      <c r="B11" t="s">
        <v>164</v>
      </c>
      <c r="C11" t="s">
        <v>291</v>
      </c>
      <c r="D11" s="30">
        <v>2050</v>
      </c>
      <c r="E11" s="30">
        <f>(J12+J17)*1000</f>
        <v>68340</v>
      </c>
      <c r="H11" s="80"/>
      <c r="I11" s="30">
        <v>2040</v>
      </c>
      <c r="J11" s="30">
        <v>17.670000000000002</v>
      </c>
      <c r="K11" s="30">
        <v>7.66</v>
      </c>
      <c r="L11" t="s">
        <v>101</v>
      </c>
      <c r="M11">
        <v>2040</v>
      </c>
      <c r="N11">
        <v>113</v>
      </c>
      <c r="O11">
        <v>49</v>
      </c>
      <c r="P11" t="s">
        <v>260</v>
      </c>
    </row>
    <row r="12" spans="1:16">
      <c r="F12" s="16"/>
      <c r="H12" s="80"/>
      <c r="I12" s="30">
        <v>2050</v>
      </c>
      <c r="J12" s="30">
        <v>18.14</v>
      </c>
      <c r="K12" s="30">
        <v>7.66</v>
      </c>
      <c r="L12" t="s">
        <v>101</v>
      </c>
      <c r="M12">
        <v>2050</v>
      </c>
      <c r="N12">
        <v>116</v>
      </c>
      <c r="O12">
        <v>49</v>
      </c>
      <c r="P12" t="s">
        <v>260</v>
      </c>
    </row>
    <row r="13" spans="1:16">
      <c r="F13" s="30"/>
      <c r="H13" s="80"/>
      <c r="I13" s="30">
        <v>2019</v>
      </c>
      <c r="J13" s="30">
        <v>72.25</v>
      </c>
      <c r="K13" s="30">
        <v>2.97</v>
      </c>
      <c r="L13" s="30" t="s">
        <v>279</v>
      </c>
      <c r="M13">
        <v>2019</v>
      </c>
      <c r="N13">
        <v>462</v>
      </c>
      <c r="O13">
        <v>19</v>
      </c>
      <c r="P13" t="s">
        <v>260</v>
      </c>
    </row>
    <row r="14" spans="1:16">
      <c r="F14" s="30"/>
      <c r="H14" s="80"/>
      <c r="I14" s="30">
        <v>2020</v>
      </c>
      <c r="J14" s="30">
        <v>52.39</v>
      </c>
      <c r="K14" s="30">
        <v>2.97</v>
      </c>
      <c r="L14" s="30" t="s">
        <v>279</v>
      </c>
      <c r="M14">
        <v>2020</v>
      </c>
      <c r="N14">
        <v>335</v>
      </c>
      <c r="O14">
        <v>19</v>
      </c>
      <c r="P14" t="s">
        <v>260</v>
      </c>
    </row>
    <row r="15" spans="1:16">
      <c r="F15" s="30"/>
      <c r="H15" s="80"/>
      <c r="I15" s="30">
        <v>2030</v>
      </c>
      <c r="J15" s="30">
        <v>48.32</v>
      </c>
      <c r="K15" s="30">
        <v>3.44</v>
      </c>
      <c r="L15" s="30" t="s">
        <v>279</v>
      </c>
      <c r="M15">
        <v>2030</v>
      </c>
      <c r="N15">
        <v>309</v>
      </c>
      <c r="O15">
        <v>22</v>
      </c>
      <c r="P15" t="s">
        <v>260</v>
      </c>
    </row>
    <row r="16" spans="1:16">
      <c r="F16" s="30"/>
      <c r="H16" s="80"/>
      <c r="I16" s="30">
        <v>2040</v>
      </c>
      <c r="J16" s="30">
        <v>46.76</v>
      </c>
      <c r="K16" s="30">
        <v>3.91</v>
      </c>
      <c r="L16" s="30" t="s">
        <v>279</v>
      </c>
      <c r="M16">
        <v>2040</v>
      </c>
      <c r="N16">
        <v>299</v>
      </c>
      <c r="O16">
        <v>25</v>
      </c>
      <c r="P16" t="s">
        <v>260</v>
      </c>
    </row>
    <row r="17" spans="5:16">
      <c r="F17" s="30"/>
      <c r="H17" s="80"/>
      <c r="I17" s="30">
        <v>2050</v>
      </c>
      <c r="J17" s="30">
        <v>50.2</v>
      </c>
      <c r="K17" s="30">
        <v>4.38</v>
      </c>
      <c r="L17" s="30" t="s">
        <v>279</v>
      </c>
      <c r="M17">
        <v>2050</v>
      </c>
      <c r="N17">
        <v>321</v>
      </c>
      <c r="O17">
        <v>28</v>
      </c>
      <c r="P17" t="s">
        <v>260</v>
      </c>
    </row>
    <row r="20" spans="5:16">
      <c r="E20" s="16"/>
      <c r="F20" s="16"/>
      <c r="I20" s="30"/>
      <c r="J20" s="30"/>
      <c r="K20" s="30"/>
      <c r="L20" s="30"/>
      <c r="M20" s="30"/>
      <c r="N20" s="30"/>
      <c r="O20" s="30"/>
    </row>
    <row r="21" spans="5:16">
      <c r="I21" s="30"/>
      <c r="J21" s="30"/>
      <c r="K21" s="30"/>
      <c r="L21" s="30"/>
      <c r="M21" s="30"/>
      <c r="N21" s="30"/>
      <c r="O21" s="30"/>
    </row>
    <row r="22" spans="5:16">
      <c r="I22" s="30"/>
      <c r="J22" s="30"/>
      <c r="K22" s="30"/>
      <c r="L22" s="30"/>
      <c r="M22" s="30"/>
      <c r="N22" s="30"/>
      <c r="O22" s="30"/>
    </row>
    <row r="23" spans="5:16">
      <c r="I23" s="30"/>
      <c r="J23" s="30"/>
      <c r="K23" s="30"/>
      <c r="L23" s="30"/>
      <c r="M23" s="30"/>
      <c r="N23" s="30"/>
      <c r="O23" s="30"/>
    </row>
    <row r="24" spans="5:16">
      <c r="I24" s="30"/>
      <c r="J24" s="30"/>
      <c r="K24" s="30"/>
      <c r="L24" s="30"/>
      <c r="M24" s="30"/>
      <c r="N24" s="30"/>
      <c r="O24" s="30"/>
    </row>
    <row r="25" spans="5:16">
      <c r="I25" s="30"/>
      <c r="J25" s="30"/>
      <c r="K25" s="30"/>
      <c r="L25" s="30"/>
      <c r="M25" s="30"/>
      <c r="N25" s="30"/>
      <c r="O25" s="30"/>
    </row>
    <row r="26" spans="5:16">
      <c r="I26" s="30"/>
      <c r="J26" s="30"/>
      <c r="K26" s="30"/>
      <c r="L26" s="30"/>
      <c r="M26" s="30"/>
      <c r="N26" s="30"/>
      <c r="O26" s="30"/>
    </row>
    <row r="27" spans="5:16">
      <c r="I27" s="30"/>
      <c r="J27" s="30"/>
      <c r="K27" s="30"/>
      <c r="L27" s="30"/>
      <c r="M27" s="30"/>
      <c r="N27" s="30"/>
      <c r="O27" s="30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topLeftCell="A4"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259</v>
      </c>
      <c r="B1" t="s">
        <v>286</v>
      </c>
      <c r="C1" t="s">
        <v>287</v>
      </c>
      <c r="D1" t="s">
        <v>72</v>
      </c>
    </row>
    <row r="2" spans="1:4">
      <c r="A2" s="23">
        <v>2019</v>
      </c>
      <c r="B2" s="24">
        <v>290.54545454545456</v>
      </c>
      <c r="C2" s="24">
        <v>1821.6363636363637</v>
      </c>
      <c r="D2" s="24">
        <v>1724.3181818181818</v>
      </c>
    </row>
    <row r="3" spans="1:4">
      <c r="A3">
        <v>2020</v>
      </c>
      <c r="B3" s="24">
        <v>290.54545454545456</v>
      </c>
      <c r="C3" s="24">
        <v>1821.6363636363637</v>
      </c>
      <c r="D3" s="24">
        <v>1724.3181818181818</v>
      </c>
    </row>
    <row r="4" spans="1:4">
      <c r="A4" s="23">
        <v>2021</v>
      </c>
      <c r="B4" s="24">
        <v>290.54545454545456</v>
      </c>
      <c r="C4" s="24">
        <v>1821.6363636363637</v>
      </c>
      <c r="D4" s="24">
        <v>1724.3181818181818</v>
      </c>
    </row>
    <row r="5" spans="1:4">
      <c r="A5">
        <v>2022</v>
      </c>
      <c r="B5" s="24">
        <v>290.54545454545456</v>
      </c>
      <c r="C5" s="24">
        <v>1821.6363636363637</v>
      </c>
      <c r="D5" s="24">
        <v>1724.3181818181818</v>
      </c>
    </row>
    <row r="6" spans="1:4">
      <c r="A6" s="23">
        <v>2023</v>
      </c>
      <c r="B6" s="24">
        <v>290.54545454545456</v>
      </c>
      <c r="C6" s="24">
        <v>1821.6363636363637</v>
      </c>
      <c r="D6" s="24">
        <v>1724.3181818181818</v>
      </c>
    </row>
    <row r="7" spans="1:4">
      <c r="A7">
        <v>2024</v>
      </c>
      <c r="B7" s="24">
        <v>290.54545454545456</v>
      </c>
      <c r="C7" s="24">
        <v>1821.6363636363637</v>
      </c>
      <c r="D7" s="24">
        <v>1724.3181818181818</v>
      </c>
    </row>
    <row r="8" spans="1:4">
      <c r="A8" s="23">
        <v>2025</v>
      </c>
      <c r="B8" s="24">
        <v>290.54545454545456</v>
      </c>
      <c r="C8" s="24">
        <v>1821.6363636363637</v>
      </c>
      <c r="D8" s="24">
        <v>1724.3181818181818</v>
      </c>
    </row>
    <row r="9" spans="1:4">
      <c r="A9">
        <v>2026</v>
      </c>
      <c r="B9" s="24">
        <v>290.54545454545456</v>
      </c>
      <c r="C9" s="24">
        <v>1821.6363636363637</v>
      </c>
      <c r="D9" s="24">
        <v>1724.3181818181818</v>
      </c>
    </row>
    <row r="10" spans="1:4">
      <c r="A10" s="23">
        <v>2027</v>
      </c>
      <c r="B10" s="24">
        <v>290.54545454545456</v>
      </c>
      <c r="C10" s="24">
        <v>1821.6363636363637</v>
      </c>
      <c r="D10" s="24">
        <v>1724.3181818181818</v>
      </c>
    </row>
    <row r="11" spans="1:4">
      <c r="A11">
        <v>2028</v>
      </c>
      <c r="B11" s="24">
        <v>290.54545454545456</v>
      </c>
      <c r="C11" s="24">
        <v>1821.6363636363637</v>
      </c>
      <c r="D11" s="24">
        <v>1724.3181818181818</v>
      </c>
    </row>
    <row r="12" spans="1:4">
      <c r="A12">
        <v>2029</v>
      </c>
      <c r="B12" s="24">
        <v>290.54545454545456</v>
      </c>
      <c r="C12" s="24">
        <v>1821.6363636363637</v>
      </c>
      <c r="D12" s="24">
        <v>1724.3181818181818</v>
      </c>
    </row>
    <row r="13" spans="1:4">
      <c r="A13" s="23">
        <v>2030</v>
      </c>
      <c r="B13" s="24">
        <v>228.4</v>
      </c>
      <c r="C13" s="24">
        <v>2450</v>
      </c>
      <c r="D13" s="24">
        <v>3298.8249999999998</v>
      </c>
    </row>
    <row r="14" spans="1:4">
      <c r="A14" s="23">
        <v>2031</v>
      </c>
      <c r="B14" s="24">
        <v>228.4</v>
      </c>
      <c r="C14" s="24">
        <v>2450</v>
      </c>
      <c r="D14" s="24">
        <v>3298.8249999999998</v>
      </c>
    </row>
    <row r="15" spans="1:4">
      <c r="A15">
        <v>2032</v>
      </c>
      <c r="B15" s="24">
        <v>228.4</v>
      </c>
      <c r="C15" s="24">
        <v>2450</v>
      </c>
      <c r="D15" s="24">
        <v>3298.8249999999998</v>
      </c>
    </row>
    <row r="16" spans="1:4">
      <c r="A16">
        <v>2033</v>
      </c>
      <c r="B16" s="24">
        <v>228.4</v>
      </c>
      <c r="C16" s="24">
        <v>2450</v>
      </c>
      <c r="D16" s="24">
        <v>3298.8249999999998</v>
      </c>
    </row>
    <row r="17" spans="1:4">
      <c r="A17" s="23">
        <v>2034</v>
      </c>
      <c r="B17" s="24">
        <v>228.4</v>
      </c>
      <c r="C17" s="24">
        <v>2450</v>
      </c>
      <c r="D17" s="24">
        <v>3298.8249999999998</v>
      </c>
    </row>
    <row r="18" spans="1:4">
      <c r="A18" s="23">
        <v>2035</v>
      </c>
      <c r="B18" s="24">
        <v>228.4</v>
      </c>
      <c r="C18" s="24">
        <v>2450</v>
      </c>
      <c r="D18" s="24">
        <v>3298.8249999999998</v>
      </c>
    </row>
    <row r="19" spans="1:4">
      <c r="A19">
        <v>2036</v>
      </c>
      <c r="B19" s="24">
        <v>228.4</v>
      </c>
      <c r="C19" s="24">
        <v>2450</v>
      </c>
      <c r="D19" s="24">
        <v>3298.8249999999998</v>
      </c>
    </row>
    <row r="20" spans="1:4">
      <c r="A20">
        <v>2037</v>
      </c>
      <c r="B20" s="24">
        <v>228.4</v>
      </c>
      <c r="C20" s="24">
        <v>2450</v>
      </c>
      <c r="D20" s="24">
        <v>3298.8249999999998</v>
      </c>
    </row>
    <row r="21" spans="1:4">
      <c r="A21" s="23">
        <v>2038</v>
      </c>
      <c r="B21" s="24">
        <v>228.4</v>
      </c>
      <c r="C21" s="24">
        <v>2450</v>
      </c>
      <c r="D21" s="24">
        <v>3298.8249999999998</v>
      </c>
    </row>
    <row r="22" spans="1:4">
      <c r="A22" s="23">
        <v>2039</v>
      </c>
      <c r="B22" s="24">
        <v>228.4</v>
      </c>
      <c r="C22" s="24">
        <v>2450</v>
      </c>
      <c r="D22" s="24">
        <v>3298.8249999999998</v>
      </c>
    </row>
    <row r="23" spans="1:4">
      <c r="A23">
        <v>2040</v>
      </c>
      <c r="B23" s="24">
        <v>228.4</v>
      </c>
      <c r="C23" s="24">
        <v>2450</v>
      </c>
      <c r="D23" s="24">
        <v>3298.8249999999998</v>
      </c>
    </row>
    <row r="24" spans="1:4">
      <c r="A24">
        <v>2041</v>
      </c>
      <c r="B24" s="24">
        <v>228.4</v>
      </c>
      <c r="C24" s="24">
        <v>2450</v>
      </c>
      <c r="D24" s="24">
        <v>3298.8249999999998</v>
      </c>
    </row>
    <row r="25" spans="1:4">
      <c r="A25" s="23">
        <v>2042</v>
      </c>
      <c r="B25" s="24">
        <v>228.4</v>
      </c>
      <c r="C25" s="24">
        <v>2450</v>
      </c>
      <c r="D25" s="24">
        <v>3298.8249999999998</v>
      </c>
    </row>
    <row r="26" spans="1:4">
      <c r="A26" s="23">
        <v>2043</v>
      </c>
      <c r="B26" s="24">
        <v>228.4</v>
      </c>
      <c r="C26" s="24">
        <v>2450</v>
      </c>
      <c r="D26" s="24">
        <v>3298.8249999999998</v>
      </c>
    </row>
    <row r="27" spans="1:4">
      <c r="A27">
        <v>2044</v>
      </c>
      <c r="B27" s="24">
        <v>228.4</v>
      </c>
      <c r="C27" s="24">
        <v>2450</v>
      </c>
      <c r="D27" s="24">
        <v>3298.8249999999998</v>
      </c>
    </row>
    <row r="28" spans="1:4">
      <c r="A28">
        <v>2045</v>
      </c>
      <c r="B28" s="24">
        <v>228.4</v>
      </c>
      <c r="C28" s="24">
        <v>2450</v>
      </c>
      <c r="D28" s="24">
        <v>3298.8249999999998</v>
      </c>
    </row>
    <row r="29" spans="1:4">
      <c r="A29" s="23">
        <v>2046</v>
      </c>
      <c r="B29" s="24">
        <v>228.4</v>
      </c>
      <c r="C29" s="24">
        <v>2450</v>
      </c>
      <c r="D29" s="24">
        <v>3298.8249999999998</v>
      </c>
    </row>
    <row r="30" spans="1:4">
      <c r="A30" s="23">
        <v>2047</v>
      </c>
      <c r="B30" s="24">
        <v>228.4</v>
      </c>
      <c r="C30" s="24">
        <v>2450</v>
      </c>
      <c r="D30" s="24">
        <v>3298.8249999999998</v>
      </c>
    </row>
    <row r="31" spans="1:4">
      <c r="A31">
        <v>2048</v>
      </c>
      <c r="B31" s="24">
        <v>228.4</v>
      </c>
      <c r="C31" s="24">
        <v>2450</v>
      </c>
      <c r="D31" s="24">
        <v>3298.8249999999998</v>
      </c>
    </row>
    <row r="32" spans="1:4">
      <c r="A32">
        <v>2049</v>
      </c>
      <c r="B32" s="24">
        <v>228.4</v>
      </c>
      <c r="C32" s="24">
        <v>2450</v>
      </c>
      <c r="D32" s="24">
        <v>3298.8249999999998</v>
      </c>
    </row>
    <row r="33" spans="1:4">
      <c r="A33" s="23">
        <v>2050</v>
      </c>
      <c r="B33" s="24">
        <v>228.4</v>
      </c>
      <c r="C33" s="24">
        <v>2450</v>
      </c>
      <c r="D33" s="24">
        <v>3298.8249999999998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259</v>
      </c>
      <c r="B1" t="s">
        <v>164</v>
      </c>
      <c r="D1" t="s">
        <v>275</v>
      </c>
    </row>
    <row r="2" spans="1:4">
      <c r="A2">
        <v>2019</v>
      </c>
      <c r="B2">
        <v>19.7</v>
      </c>
      <c r="D2" t="s">
        <v>207</v>
      </c>
    </row>
    <row r="3" spans="1:4">
      <c r="A3">
        <v>2020</v>
      </c>
      <c r="B3">
        <v>20.399999999999999</v>
      </c>
      <c r="D3" t="s">
        <v>207</v>
      </c>
    </row>
    <row r="4" spans="1:4">
      <c r="A4">
        <v>2021</v>
      </c>
      <c r="B4">
        <v>21.7</v>
      </c>
      <c r="D4" t="s">
        <v>207</v>
      </c>
    </row>
    <row r="5" spans="1:4">
      <c r="A5">
        <v>2030</v>
      </c>
      <c r="B5">
        <v>53</v>
      </c>
      <c r="D5" t="s">
        <v>207</v>
      </c>
    </row>
    <row r="6" spans="1:4">
      <c r="A6">
        <v>2040</v>
      </c>
      <c r="B6">
        <v>100</v>
      </c>
      <c r="D6" t="s">
        <v>207</v>
      </c>
    </row>
    <row r="7" spans="1:4">
      <c r="A7">
        <v>2050</v>
      </c>
      <c r="B7">
        <v>120</v>
      </c>
      <c r="D7" t="s">
        <v>207</v>
      </c>
    </row>
    <row r="8" spans="1:4" ht="15.75" thickBot="1"/>
    <row r="9" spans="1:4" ht="15.75" thickBot="1">
      <c r="A9" s="25"/>
      <c r="B9" s="25"/>
      <c r="C9" s="26"/>
    </row>
    <row r="10" spans="1:4" ht="15.75" thickBot="1">
      <c r="A10" s="25"/>
      <c r="B10" s="25"/>
      <c r="C10" s="26"/>
    </row>
    <row r="11" spans="1:4" ht="15.75" thickBot="1">
      <c r="A11" s="25"/>
      <c r="B11" s="25"/>
      <c r="C11" s="26"/>
    </row>
    <row r="12" spans="1:4" ht="15.75" thickBot="1">
      <c r="A12" s="25"/>
      <c r="B12" s="25"/>
      <c r="C12" s="26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4" t="s">
        <v>123</v>
      </c>
      <c r="B1" s="5" t="s">
        <v>112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91</v>
      </c>
      <c r="M1" t="s">
        <v>263</v>
      </c>
      <c r="N1" t="s">
        <v>264</v>
      </c>
      <c r="O1">
        <v>93.904775180000001</v>
      </c>
    </row>
    <row r="2" spans="1:15">
      <c r="A2" t="s">
        <v>76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92</v>
      </c>
      <c r="M2" t="s">
        <v>263</v>
      </c>
      <c r="N2" t="s">
        <v>264</v>
      </c>
      <c r="O2">
        <v>97.012060739999995</v>
      </c>
    </row>
    <row r="3" spans="1:15">
      <c r="A3" t="s">
        <v>77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93</v>
      </c>
      <c r="M3" t="s">
        <v>263</v>
      </c>
      <c r="N3" t="s">
        <v>264</v>
      </c>
      <c r="O3">
        <v>796.91070000000002</v>
      </c>
    </row>
    <row r="4" spans="1:15">
      <c r="A4" t="s">
        <v>95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95</v>
      </c>
      <c r="M4" t="s">
        <v>263</v>
      </c>
      <c r="N4" t="s">
        <v>264</v>
      </c>
      <c r="O4">
        <v>10.29</v>
      </c>
    </row>
    <row r="5" spans="1:15">
      <c r="A5" t="s">
        <v>96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96</v>
      </c>
      <c r="M5" t="s">
        <v>263</v>
      </c>
      <c r="N5" t="s">
        <v>264</v>
      </c>
      <c r="O5">
        <v>42.191125290000002</v>
      </c>
    </row>
    <row r="6" spans="1:15">
      <c r="A6" t="s">
        <v>97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91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92</v>
      </c>
    </row>
    <row r="9" spans="1:15">
      <c r="A9" t="s">
        <v>93</v>
      </c>
      <c r="B9">
        <v>0.01</v>
      </c>
    </row>
    <row r="10" spans="1:15">
      <c r="A10" t="s">
        <v>94</v>
      </c>
    </row>
    <row r="11" spans="1:15">
      <c r="A11" t="s">
        <v>80</v>
      </c>
    </row>
    <row r="12" spans="1:15">
      <c r="A12" t="s">
        <v>81</v>
      </c>
    </row>
    <row r="13" spans="1:15">
      <c r="A13" t="s">
        <v>82</v>
      </c>
    </row>
    <row r="14" spans="1:15">
      <c r="A14" t="s">
        <v>83</v>
      </c>
      <c r="B14">
        <v>0.01</v>
      </c>
    </row>
    <row r="15" spans="1:15">
      <c r="A15" t="s">
        <v>84</v>
      </c>
    </row>
    <row r="16" spans="1:15">
      <c r="A16" t="s">
        <v>85</v>
      </c>
      <c r="B16">
        <f t="shared" ref="B16" si="0">B14</f>
        <v>0.01</v>
      </c>
    </row>
    <row r="17" spans="1:2">
      <c r="A17" t="s">
        <v>86</v>
      </c>
    </row>
    <row r="18" spans="1:2">
      <c r="A18" t="s">
        <v>67</v>
      </c>
      <c r="B18">
        <v>0.01</v>
      </c>
    </row>
    <row r="19" spans="1:2">
      <c r="A19" t="s">
        <v>78</v>
      </c>
    </row>
    <row r="20" spans="1:2">
      <c r="A20" t="s">
        <v>79</v>
      </c>
    </row>
    <row r="21" spans="1:2">
      <c r="A21" t="s">
        <v>65</v>
      </c>
    </row>
    <row r="22" spans="1:2">
      <c r="A22" t="s">
        <v>41</v>
      </c>
      <c r="B22">
        <v>0.01</v>
      </c>
    </row>
    <row r="23" spans="1:2">
      <c r="A23" t="s">
        <v>87</v>
      </c>
    </row>
    <row r="24" spans="1:2">
      <c r="A24" t="s">
        <v>88</v>
      </c>
    </row>
    <row r="25" spans="1:2">
      <c r="A25" t="s">
        <v>89</v>
      </c>
      <c r="B25">
        <v>0.01</v>
      </c>
    </row>
    <row r="26" spans="1:2">
      <c r="A26" t="s">
        <v>90</v>
      </c>
    </row>
    <row r="27" spans="1:2" ht="12.95" customHeight="1">
      <c r="A27" s="2" t="s">
        <v>148</v>
      </c>
      <c r="B27" s="8">
        <v>0.2</v>
      </c>
    </row>
    <row r="28" spans="1:2">
      <c r="A28" s="2" t="s">
        <v>147</v>
      </c>
      <c r="B28" s="8">
        <v>0.2</v>
      </c>
    </row>
    <row r="29" spans="1:2">
      <c r="A29" s="11" t="s">
        <v>152</v>
      </c>
      <c r="B29">
        <v>0.01</v>
      </c>
    </row>
    <row r="30" spans="1:2">
      <c r="A30" s="11" t="s">
        <v>153</v>
      </c>
      <c r="B30">
        <v>0.01</v>
      </c>
    </row>
    <row r="31" spans="1:2">
      <c r="A31" s="11" t="s">
        <v>154</v>
      </c>
      <c r="B31">
        <v>0.01</v>
      </c>
    </row>
  </sheetData>
  <pageMargins left="0.7" right="0.7" top="0.75" bottom="0.75" header="0.3" footer="0.3"/>
  <legacy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43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318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302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303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304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305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306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307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308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309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310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311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312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313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314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315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371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43" t="s">
        <v>317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302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303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304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305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306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307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308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309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310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311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312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313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314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315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371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317</v>
      </c>
      <c r="B38" t="s">
        <v>318</v>
      </c>
    </row>
    <row r="39" spans="1:41">
      <c r="A39" s="35">
        <v>0</v>
      </c>
      <c r="B39" s="35">
        <v>1980</v>
      </c>
    </row>
    <row r="40" spans="1:41">
      <c r="A40" s="35">
        <v>1</v>
      </c>
      <c r="B40" s="35">
        <v>1981</v>
      </c>
    </row>
    <row r="41" spans="1:41">
      <c r="A41" s="35">
        <v>2</v>
      </c>
      <c r="B41" s="35">
        <v>1982</v>
      </c>
    </row>
    <row r="42" spans="1:41">
      <c r="A42" s="35">
        <v>3</v>
      </c>
      <c r="B42" s="35">
        <v>1983</v>
      </c>
    </row>
    <row r="43" spans="1:41">
      <c r="A43" s="35">
        <v>4</v>
      </c>
      <c r="B43" s="35">
        <v>1984</v>
      </c>
    </row>
    <row r="44" spans="1:41">
      <c r="A44" s="35">
        <v>5</v>
      </c>
      <c r="B44" s="35">
        <v>1985</v>
      </c>
    </row>
    <row r="45" spans="1:41">
      <c r="A45" s="35">
        <v>6</v>
      </c>
      <c r="B45" s="35">
        <v>1986</v>
      </c>
    </row>
    <row r="46" spans="1:41">
      <c r="A46" s="35">
        <v>7</v>
      </c>
      <c r="B46" s="35">
        <v>1987</v>
      </c>
    </row>
    <row r="47" spans="1:41">
      <c r="A47" s="35">
        <v>8</v>
      </c>
      <c r="B47" s="35">
        <v>1988</v>
      </c>
    </row>
    <row r="48" spans="1:41">
      <c r="A48" s="35">
        <v>9</v>
      </c>
      <c r="B48" s="35">
        <v>1989</v>
      </c>
    </row>
    <row r="49" spans="1:2">
      <c r="A49" s="35">
        <v>10</v>
      </c>
      <c r="B49" s="35">
        <v>1990</v>
      </c>
    </row>
    <row r="50" spans="1:2">
      <c r="A50" s="35">
        <v>11</v>
      </c>
      <c r="B50" s="35">
        <v>1991</v>
      </c>
    </row>
    <row r="51" spans="1:2">
      <c r="A51" s="35">
        <v>12</v>
      </c>
      <c r="B51" s="35">
        <v>1992</v>
      </c>
    </row>
    <row r="52" spans="1:2">
      <c r="A52" s="35">
        <v>13</v>
      </c>
      <c r="B52" s="35">
        <v>1993</v>
      </c>
    </row>
    <row r="53" spans="1:2">
      <c r="A53" s="35">
        <v>14</v>
      </c>
      <c r="B53" s="35">
        <v>1994</v>
      </c>
    </row>
    <row r="54" spans="1:2">
      <c r="A54" s="35">
        <v>15</v>
      </c>
      <c r="B54" s="35">
        <v>1995</v>
      </c>
    </row>
    <row r="55" spans="1:2">
      <c r="A55" s="35">
        <v>16</v>
      </c>
      <c r="B55" s="35">
        <v>1996</v>
      </c>
    </row>
    <row r="56" spans="1:2">
      <c r="A56" s="35">
        <v>17</v>
      </c>
      <c r="B56" s="35">
        <v>1997</v>
      </c>
    </row>
    <row r="57" spans="1:2">
      <c r="A57" s="35">
        <v>18</v>
      </c>
      <c r="B57" s="35">
        <v>1998</v>
      </c>
    </row>
    <row r="58" spans="1:2">
      <c r="A58" s="35">
        <v>19</v>
      </c>
      <c r="B58" s="35">
        <v>1999</v>
      </c>
    </row>
    <row r="59" spans="1:2">
      <c r="A59" s="35">
        <v>20</v>
      </c>
      <c r="B59" s="35">
        <v>2000</v>
      </c>
    </row>
    <row r="60" spans="1:2">
      <c r="A60" s="35">
        <v>21</v>
      </c>
      <c r="B60" s="35">
        <v>2001</v>
      </c>
    </row>
    <row r="61" spans="1:2">
      <c r="A61" s="35">
        <v>22</v>
      </c>
      <c r="B61" s="35">
        <v>2002</v>
      </c>
    </row>
    <row r="62" spans="1:2">
      <c r="A62" s="35">
        <v>23</v>
      </c>
      <c r="B62" s="35">
        <v>2003</v>
      </c>
    </row>
    <row r="63" spans="1:2">
      <c r="A63" s="35">
        <v>24</v>
      </c>
      <c r="B63" s="35">
        <v>2004</v>
      </c>
    </row>
    <row r="64" spans="1:2">
      <c r="A64" s="35">
        <v>25</v>
      </c>
      <c r="B64" s="35">
        <v>2005</v>
      </c>
    </row>
    <row r="65" spans="1:41">
      <c r="A65" s="35">
        <v>26</v>
      </c>
      <c r="B65" s="35">
        <v>2006</v>
      </c>
    </row>
    <row r="66" spans="1:41">
      <c r="A66" s="35">
        <v>27</v>
      </c>
      <c r="B66" s="35">
        <v>2007</v>
      </c>
    </row>
    <row r="67" spans="1:41">
      <c r="A67" s="35">
        <v>28</v>
      </c>
      <c r="B67" s="35">
        <v>2008</v>
      </c>
    </row>
    <row r="68" spans="1:41">
      <c r="A68" s="35">
        <v>29</v>
      </c>
      <c r="B68" s="35">
        <v>2009</v>
      </c>
    </row>
    <row r="69" spans="1:41">
      <c r="A69" s="35">
        <v>30</v>
      </c>
      <c r="B69" s="35">
        <v>2010</v>
      </c>
    </row>
    <row r="70" spans="1:41">
      <c r="A70" s="35">
        <v>31</v>
      </c>
      <c r="B70" s="35">
        <v>2011</v>
      </c>
    </row>
    <row r="71" spans="1:41">
      <c r="A71" s="35">
        <v>32</v>
      </c>
      <c r="B71" s="35">
        <v>2012</v>
      </c>
    </row>
    <row r="72" spans="1:41">
      <c r="A72" s="35">
        <v>33</v>
      </c>
      <c r="B72" s="35">
        <v>2013</v>
      </c>
    </row>
    <row r="73" spans="1:41">
      <c r="A73" s="35">
        <v>34</v>
      </c>
      <c r="B73" s="35">
        <v>2014</v>
      </c>
    </row>
    <row r="74" spans="1:41">
      <c r="A74" s="35">
        <v>35</v>
      </c>
      <c r="B74" s="35">
        <v>2015</v>
      </c>
    </row>
    <row r="75" spans="1:41">
      <c r="A75" s="35">
        <v>36</v>
      </c>
      <c r="B75" s="35">
        <v>2016</v>
      </c>
    </row>
    <row r="76" spans="1:41">
      <c r="A76" s="35">
        <v>37</v>
      </c>
      <c r="B76" s="35">
        <v>2017</v>
      </c>
    </row>
    <row r="77" spans="1:41">
      <c r="A77" s="35">
        <v>38</v>
      </c>
      <c r="B77" s="35">
        <v>2018</v>
      </c>
    </row>
    <row r="78" spans="1:41">
      <c r="A78" s="35"/>
      <c r="B78" s="35"/>
    </row>
    <row r="80" spans="1:41">
      <c r="A80" t="s">
        <v>317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318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302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303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304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305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306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307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308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309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310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281</v>
      </c>
    </row>
    <row r="4" spans="4:14">
      <c r="N4" t="s">
        <v>282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7" t="s">
        <v>132</v>
      </c>
      <c r="B1" s="7" t="s">
        <v>133</v>
      </c>
      <c r="C1" s="7" t="s">
        <v>149</v>
      </c>
      <c r="D1" s="7" t="s">
        <v>134</v>
      </c>
      <c r="E1" s="7" t="s">
        <v>145</v>
      </c>
      <c r="F1" s="7" t="s">
        <v>135</v>
      </c>
      <c r="G1" s="7" t="s">
        <v>150</v>
      </c>
      <c r="H1" s="7" t="s">
        <v>136</v>
      </c>
      <c r="I1" s="7" t="s">
        <v>144</v>
      </c>
    </row>
    <row r="2" spans="1:9" ht="30">
      <c r="A2" t="s">
        <v>83</v>
      </c>
      <c r="B2" s="2" t="s">
        <v>137</v>
      </c>
      <c r="C2" t="s">
        <v>120</v>
      </c>
      <c r="D2" t="s">
        <v>2</v>
      </c>
      <c r="E2" t="s">
        <v>138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93</v>
      </c>
      <c r="B3" s="2" t="s">
        <v>137</v>
      </c>
      <c r="C3" t="s">
        <v>120</v>
      </c>
      <c r="D3" t="s">
        <v>2</v>
      </c>
      <c r="E3" t="s">
        <v>138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96</v>
      </c>
      <c r="B4" s="2" t="s">
        <v>137</v>
      </c>
      <c r="C4" t="s">
        <v>120</v>
      </c>
      <c r="D4" t="s">
        <v>2</v>
      </c>
      <c r="E4" t="s">
        <v>138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76</v>
      </c>
      <c r="B5" s="2" t="s">
        <v>141</v>
      </c>
      <c r="C5" t="s">
        <v>120</v>
      </c>
      <c r="D5" t="s">
        <v>2</v>
      </c>
      <c r="E5" t="s">
        <v>138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85</v>
      </c>
      <c r="B6" s="2" t="s">
        <v>137</v>
      </c>
      <c r="C6" t="s">
        <v>120</v>
      </c>
      <c r="D6" t="s">
        <v>2</v>
      </c>
      <c r="E6" t="s">
        <v>138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89</v>
      </c>
      <c r="B7" s="2" t="s">
        <v>137</v>
      </c>
      <c r="C7" t="s">
        <v>119</v>
      </c>
      <c r="D7" t="s">
        <v>2</v>
      </c>
      <c r="E7" t="s">
        <v>138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142</v>
      </c>
      <c r="B8" s="2" t="s">
        <v>141</v>
      </c>
      <c r="C8" t="s">
        <v>119</v>
      </c>
      <c r="D8" t="s">
        <v>2</v>
      </c>
      <c r="E8" t="s">
        <v>138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95</v>
      </c>
      <c r="B9" s="2" t="s">
        <v>137</v>
      </c>
      <c r="C9" t="s">
        <v>120</v>
      </c>
      <c r="D9" t="s">
        <v>2</v>
      </c>
      <c r="E9" t="s">
        <v>138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84</v>
      </c>
      <c r="B10" s="2" t="s">
        <v>137</v>
      </c>
      <c r="C10" t="s">
        <v>119</v>
      </c>
      <c r="D10" t="s">
        <v>2</v>
      </c>
      <c r="E10" t="s">
        <v>138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67</v>
      </c>
      <c r="B11" s="2" t="s">
        <v>137</v>
      </c>
      <c r="C11" t="s">
        <v>119</v>
      </c>
      <c r="D11" t="s">
        <v>2</v>
      </c>
      <c r="E11" t="s">
        <v>138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147</v>
      </c>
      <c r="B12" s="2" t="s">
        <v>143</v>
      </c>
      <c r="C12" t="s">
        <v>146</v>
      </c>
      <c r="D12" t="s">
        <v>2</v>
      </c>
      <c r="E12" t="s">
        <v>139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148</v>
      </c>
      <c r="B13" s="2" t="s">
        <v>143</v>
      </c>
      <c r="C13" t="s">
        <v>146</v>
      </c>
      <c r="D13" t="s">
        <v>2</v>
      </c>
      <c r="E13" t="s">
        <v>138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26"/>
  <sheetViews>
    <sheetView zoomScaleNormal="100" workbookViewId="0">
      <selection activeCell="D30" sqref="D30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s="13" t="s">
        <v>167</v>
      </c>
      <c r="B1" s="13" t="s">
        <v>266</v>
      </c>
      <c r="C1" s="13" t="s">
        <v>274</v>
      </c>
    </row>
    <row r="2" spans="1:3">
      <c r="A2" s="13" t="s">
        <v>272</v>
      </c>
      <c r="B2" s="13" t="s">
        <v>1</v>
      </c>
      <c r="C2" s="13" t="s">
        <v>384</v>
      </c>
    </row>
    <row r="3" spans="1:3">
      <c r="A3" s="13" t="s">
        <v>271</v>
      </c>
      <c r="B3" s="13" t="s">
        <v>1</v>
      </c>
      <c r="C3" s="13" t="s">
        <v>385</v>
      </c>
    </row>
    <row r="4" spans="1:3">
      <c r="A4" s="13" t="s">
        <v>273</v>
      </c>
      <c r="B4" s="13" t="s">
        <v>1</v>
      </c>
      <c r="C4" s="13" t="s">
        <v>382</v>
      </c>
    </row>
    <row r="7" spans="1:3">
      <c r="A7" s="9"/>
    </row>
    <row r="8" spans="1:3">
      <c r="A8" s="9"/>
    </row>
    <row r="9" spans="1:3">
      <c r="A9" s="9"/>
    </row>
    <row r="10" spans="1:3">
      <c r="A10" s="9"/>
    </row>
    <row r="11" spans="1:3">
      <c r="A11" s="9"/>
    </row>
    <row r="12" spans="1:3">
      <c r="A12" s="9"/>
    </row>
    <row r="13" spans="1:3">
      <c r="A13" s="9"/>
    </row>
    <row r="14" spans="1:3">
      <c r="A14" s="9"/>
    </row>
    <row r="15" spans="1:3">
      <c r="A15" s="9"/>
    </row>
    <row r="20" spans="1:1">
      <c r="A20" s="9"/>
    </row>
    <row r="21" spans="1:1">
      <c r="A21" s="9"/>
    </row>
    <row r="22" spans="1:1">
      <c r="A22" s="9"/>
    </row>
    <row r="23" spans="1:1">
      <c r="A23" s="9"/>
    </row>
    <row r="24" spans="1:1">
      <c r="A24" s="9"/>
    </row>
    <row r="25" spans="1:1">
      <c r="A25" s="9"/>
    </row>
    <row r="26" spans="1:1">
      <c r="A26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M10"/>
  <sheetViews>
    <sheetView zoomScale="123" workbookViewId="0">
      <selection activeCell="G13" sqref="G13"/>
    </sheetView>
  </sheetViews>
  <sheetFormatPr defaultRowHeight="15"/>
  <cols>
    <col min="1" max="1" width="28.42578125" customWidth="1"/>
    <col min="2" max="2" width="22" customWidth="1"/>
    <col min="3" max="3" width="14.5703125" customWidth="1"/>
    <col min="4" max="9" width="12" customWidth="1"/>
    <col min="10" max="10" width="9" customWidth="1"/>
    <col min="11" max="11" width="14.140625" customWidth="1"/>
    <col min="12" max="12" width="9" customWidth="1"/>
    <col min="13" max="13" width="12" customWidth="1"/>
  </cols>
  <sheetData>
    <row r="1" spans="1:13">
      <c r="A1" s="13" t="s">
        <v>0</v>
      </c>
      <c r="B1" s="13" t="s">
        <v>28</v>
      </c>
      <c r="C1" s="13" t="s">
        <v>482</v>
      </c>
      <c r="D1" s="13" t="s">
        <v>29</v>
      </c>
      <c r="E1" s="13" t="s">
        <v>30</v>
      </c>
      <c r="F1" s="13" t="s">
        <v>501</v>
      </c>
      <c r="G1" s="13" t="s">
        <v>31</v>
      </c>
      <c r="H1" s="13" t="s">
        <v>214</v>
      </c>
      <c r="I1" s="13" t="s">
        <v>476</v>
      </c>
      <c r="J1" s="13" t="s">
        <v>395</v>
      </c>
      <c r="K1" s="13" t="s">
        <v>380</v>
      </c>
      <c r="L1" s="13" t="s">
        <v>478</v>
      </c>
      <c r="M1" s="13" t="s">
        <v>450</v>
      </c>
    </row>
    <row r="2" spans="1:13">
      <c r="A2" s="13" t="s">
        <v>209</v>
      </c>
      <c r="B2" s="13">
        <v>0</v>
      </c>
      <c r="C2" s="13">
        <v>25500</v>
      </c>
      <c r="D2" s="13">
        <v>3.5000000000000003E-2</v>
      </c>
      <c r="E2" s="13">
        <v>3.5000000000000003E-2</v>
      </c>
      <c r="F2" s="13">
        <v>0</v>
      </c>
      <c r="G2" s="13">
        <v>30000</v>
      </c>
      <c r="H2" s="13" t="s">
        <v>164</v>
      </c>
      <c r="I2" s="13" t="b">
        <v>0</v>
      </c>
      <c r="J2" s="13">
        <v>1</v>
      </c>
      <c r="K2" s="13">
        <v>1</v>
      </c>
      <c r="L2" s="13">
        <v>1</v>
      </c>
      <c r="M2" s="13" t="s">
        <v>500</v>
      </c>
    </row>
    <row r="3" spans="1:13">
      <c r="A3" s="13" t="s">
        <v>213</v>
      </c>
      <c r="B3" s="13">
        <v>0</v>
      </c>
      <c r="C3" s="13">
        <v>26776</v>
      </c>
      <c r="D3" s="13">
        <v>0.05</v>
      </c>
      <c r="E3" s="13">
        <v>0.05</v>
      </c>
      <c r="F3" s="13">
        <v>0</v>
      </c>
      <c r="G3" s="13">
        <v>40000</v>
      </c>
      <c r="H3" s="13" t="s">
        <v>1</v>
      </c>
      <c r="I3" s="13" t="b">
        <v>0</v>
      </c>
      <c r="J3" s="65">
        <v>1.5</v>
      </c>
      <c r="K3" s="13">
        <v>1</v>
      </c>
      <c r="L3" s="13">
        <v>1</v>
      </c>
      <c r="M3" s="13" t="s">
        <v>500</v>
      </c>
    </row>
    <row r="4" spans="1:13">
      <c r="A4" s="13" t="s">
        <v>477</v>
      </c>
      <c r="B4" s="13">
        <v>0</v>
      </c>
      <c r="C4" s="13">
        <v>26776</v>
      </c>
      <c r="D4" s="13">
        <v>0.05</v>
      </c>
      <c r="E4" s="13">
        <v>0.05</v>
      </c>
      <c r="F4" s="13">
        <v>0</v>
      </c>
      <c r="G4" s="13">
        <v>40000</v>
      </c>
      <c r="H4" s="13" t="s">
        <v>1</v>
      </c>
      <c r="I4" s="13" t="b">
        <v>1</v>
      </c>
      <c r="J4" s="13">
        <v>1.5</v>
      </c>
      <c r="K4" s="13">
        <v>4</v>
      </c>
      <c r="L4" s="13">
        <v>15</v>
      </c>
      <c r="M4" s="13" t="s">
        <v>500</v>
      </c>
    </row>
    <row r="6" spans="1:13">
      <c r="D6" s="13">
        <v>26500</v>
      </c>
      <c r="E6" t="s">
        <v>480</v>
      </c>
      <c r="G6" t="s">
        <v>502</v>
      </c>
    </row>
    <row r="7" spans="1:13">
      <c r="F7" t="s">
        <v>503</v>
      </c>
    </row>
    <row r="10" spans="1:13">
      <c r="M10" s="13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K18"/>
  <sheetViews>
    <sheetView topLeftCell="B1" workbookViewId="0">
      <selection activeCell="F17" sqref="F17"/>
    </sheetView>
  </sheetViews>
  <sheetFormatPr defaultRowHeight="15"/>
  <cols>
    <col min="1" max="1" width="8.140625" customWidth="1"/>
    <col min="2" max="2" width="20.140625" customWidth="1"/>
    <col min="3" max="3" width="21.5703125" customWidth="1"/>
    <col min="4" max="4" width="12.140625" customWidth="1"/>
    <col min="5" max="5" width="20.140625" customWidth="1"/>
    <col min="6" max="6" width="22.7109375" customWidth="1"/>
    <col min="7" max="7" width="9.5703125" customWidth="1"/>
  </cols>
  <sheetData>
    <row r="1" spans="1:11" ht="51.75" customHeight="1">
      <c r="A1" s="49" t="s">
        <v>183</v>
      </c>
      <c r="B1" s="49" t="s">
        <v>221</v>
      </c>
      <c r="C1" s="49" t="s">
        <v>222</v>
      </c>
      <c r="D1" s="49" t="s">
        <v>4</v>
      </c>
      <c r="E1" s="49" t="s">
        <v>375</v>
      </c>
      <c r="F1" s="49" t="s">
        <v>379</v>
      </c>
      <c r="G1" s="49" t="s">
        <v>19</v>
      </c>
      <c r="H1" s="49" t="s">
        <v>218</v>
      </c>
      <c r="I1" s="49" t="s">
        <v>223</v>
      </c>
      <c r="K1" t="s">
        <v>404</v>
      </c>
    </row>
    <row r="2" spans="1:11">
      <c r="A2" s="13" t="s">
        <v>219</v>
      </c>
      <c r="B2" s="13">
        <f>1500-110</f>
        <v>1390</v>
      </c>
      <c r="C2" s="13">
        <v>0.15</v>
      </c>
      <c r="D2" s="13" t="s">
        <v>164</v>
      </c>
      <c r="E2" s="13">
        <f>6+F2</f>
        <v>10</v>
      </c>
      <c r="F2" s="13">
        <v>4</v>
      </c>
      <c r="G2" s="13">
        <v>0</v>
      </c>
      <c r="H2" s="13"/>
      <c r="I2" s="13">
        <v>0</v>
      </c>
      <c r="K2" t="s">
        <v>405</v>
      </c>
    </row>
    <row r="3" spans="1:11">
      <c r="A3" s="13" t="s">
        <v>220</v>
      </c>
      <c r="B3" s="13">
        <f>1500-110</f>
        <v>1390</v>
      </c>
      <c r="C3" s="13">
        <v>0.15</v>
      </c>
      <c r="D3" s="13" t="s">
        <v>1</v>
      </c>
      <c r="E3" s="13">
        <f>6+F3</f>
        <v>10</v>
      </c>
      <c r="F3" s="13">
        <v>4</v>
      </c>
      <c r="G3" s="13">
        <v>0</v>
      </c>
      <c r="H3" s="13"/>
      <c r="I3" s="13">
        <v>0</v>
      </c>
      <c r="K3" t="s">
        <v>406</v>
      </c>
    </row>
    <row r="18" spans="5:5">
      <c r="E18" s="1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zoomScale="130" zoomScaleNormal="130" workbookViewId="0">
      <selection activeCell="G25" sqref="G2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44" customWidth="1"/>
    <col min="6" max="6" width="11.5703125" customWidth="1"/>
    <col min="7" max="7" width="43.42578125" customWidth="1"/>
  </cols>
  <sheetData>
    <row r="1" spans="1:6">
      <c r="A1" s="13" t="s">
        <v>0</v>
      </c>
      <c r="B1" s="13" t="s">
        <v>3</v>
      </c>
      <c r="C1" s="13" t="s">
        <v>214</v>
      </c>
      <c r="F1" s="44" t="s">
        <v>372</v>
      </c>
    </row>
    <row r="2" spans="1:6">
      <c r="A2" s="13" t="str">
        <f>CONCATENATE("ElectricitySpotMarket",C2)</f>
        <v>ElectricitySpotMarketDE</v>
      </c>
      <c r="B2" s="13">
        <v>4000</v>
      </c>
      <c r="C2" s="13" t="s">
        <v>164</v>
      </c>
      <c r="F2" s="44">
        <v>1.0860000000000001</v>
      </c>
    </row>
    <row r="3" spans="1:6">
      <c r="A3" s="13" t="str">
        <f>CONCATENATE("ElectricitySpotMarket",C3)</f>
        <v>ElectricitySpotMarketNL</v>
      </c>
      <c r="B3" s="13">
        <v>4000</v>
      </c>
      <c r="C3" s="13" t="s">
        <v>1</v>
      </c>
      <c r="F3" s="44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I4"/>
  <sheetViews>
    <sheetView zoomScale="130" zoomScaleNormal="130" workbookViewId="0">
      <selection activeCell="J22" sqref="J22"/>
    </sheetView>
  </sheetViews>
  <sheetFormatPr defaultRowHeight="15"/>
  <cols>
    <col min="1" max="1" width="11" customWidth="1"/>
    <col min="2" max="2" width="17.85546875" customWidth="1"/>
    <col min="9" max="9" width="17.5703125" customWidth="1"/>
    <col min="10" max="10" width="9.28515625" customWidth="1"/>
  </cols>
  <sheetData>
    <row r="1" spans="1:9">
      <c r="A1" s="13" t="s">
        <v>259</v>
      </c>
      <c r="B1" s="13" t="s">
        <v>373</v>
      </c>
    </row>
    <row r="2" spans="1:9">
      <c r="A2" s="13">
        <v>2020</v>
      </c>
      <c r="B2" s="13">
        <v>20000</v>
      </c>
      <c r="E2" t="s">
        <v>407</v>
      </c>
      <c r="H2" s="45"/>
      <c r="I2" s="16"/>
    </row>
    <row r="3" spans="1:9">
      <c r="A3" s="13">
        <v>2050</v>
      </c>
      <c r="B3" s="13">
        <v>0</v>
      </c>
      <c r="D3">
        <f>35000+LoadShifterCap!B2</f>
        <v>41155</v>
      </c>
      <c r="E3" t="s">
        <v>408</v>
      </c>
      <c r="H3" s="45"/>
      <c r="I3" s="16"/>
    </row>
    <row r="4" spans="1:9">
      <c r="H4" s="45"/>
      <c r="I4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J15"/>
  <sheetViews>
    <sheetView zoomScale="115" zoomScaleNormal="115" workbookViewId="0">
      <selection activeCell="D28" sqref="D28"/>
    </sheetView>
  </sheetViews>
  <sheetFormatPr defaultRowHeight="15"/>
  <cols>
    <col min="1" max="1" width="23.140625" customWidth="1"/>
    <col min="2" max="2" width="21.42578125" customWidth="1"/>
    <col min="3" max="3" width="29.425781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19" t="s">
        <v>98</v>
      </c>
      <c r="B1" s="50" t="s">
        <v>37</v>
      </c>
      <c r="C1" s="51" t="s">
        <v>254</v>
      </c>
      <c r="E1" s="52" t="s">
        <v>35</v>
      </c>
      <c r="F1" s="52" t="s">
        <v>288</v>
      </c>
      <c r="G1" s="52"/>
    </row>
    <row r="2" spans="1:10">
      <c r="A2" s="13" t="s">
        <v>101</v>
      </c>
      <c r="B2" s="13" t="s">
        <v>416</v>
      </c>
      <c r="C2" s="13">
        <v>0</v>
      </c>
      <c r="D2" s="59"/>
      <c r="E2" s="52"/>
      <c r="F2" s="52"/>
      <c r="G2" s="52"/>
    </row>
    <row r="3" spans="1:10">
      <c r="A3" s="13" t="s">
        <v>2</v>
      </c>
      <c r="B3" s="13" t="s">
        <v>210</v>
      </c>
      <c r="C3" s="13">
        <v>0</v>
      </c>
      <c r="D3" s="59"/>
      <c r="E3" s="52"/>
      <c r="F3" s="52"/>
      <c r="G3" s="52"/>
    </row>
    <row r="4" spans="1:10">
      <c r="A4" s="13" t="s">
        <v>102</v>
      </c>
      <c r="B4" s="13" t="s">
        <v>38</v>
      </c>
      <c r="C4" s="13">
        <v>0.34055972755000002</v>
      </c>
      <c r="D4" s="59"/>
      <c r="E4" s="52">
        <v>0.34</v>
      </c>
      <c r="F4" s="52"/>
      <c r="G4" s="52"/>
    </row>
    <row r="5" spans="1:10">
      <c r="A5" s="13" t="s">
        <v>414</v>
      </c>
      <c r="B5" s="13" t="s">
        <v>415</v>
      </c>
      <c r="C5" s="13">
        <v>0.26676</v>
      </c>
      <c r="D5" s="59"/>
      <c r="E5" s="52"/>
      <c r="F5" s="52"/>
      <c r="G5" s="52"/>
    </row>
    <row r="6" spans="1:10">
      <c r="A6" s="13" t="s">
        <v>104</v>
      </c>
      <c r="B6" s="13" t="s">
        <v>40</v>
      </c>
      <c r="C6" s="13">
        <v>0.36399999999999999</v>
      </c>
      <c r="D6" s="59"/>
      <c r="E6" s="52">
        <v>0.26750000000000002</v>
      </c>
      <c r="F6" s="52"/>
      <c r="G6" s="52"/>
      <c r="J6" s="20"/>
    </row>
    <row r="7" spans="1:10">
      <c r="A7" s="13" t="s">
        <v>105</v>
      </c>
      <c r="B7" s="13" t="s">
        <v>39</v>
      </c>
      <c r="C7" s="13">
        <v>0.20195983840000001</v>
      </c>
      <c r="D7" s="59"/>
      <c r="E7" s="52">
        <v>0.41</v>
      </c>
      <c r="F7" s="52"/>
      <c r="G7" s="52"/>
    </row>
    <row r="8" spans="1:10">
      <c r="A8" s="13" t="s">
        <v>106</v>
      </c>
      <c r="B8" s="13" t="s">
        <v>42</v>
      </c>
      <c r="C8" s="13">
        <v>0</v>
      </c>
      <c r="D8" s="59"/>
      <c r="E8" s="52">
        <v>0.20448</v>
      </c>
      <c r="F8" s="52"/>
      <c r="G8" s="52"/>
    </row>
    <row r="9" spans="1:10">
      <c r="A9" s="13" t="s">
        <v>107</v>
      </c>
      <c r="B9" s="13" t="s">
        <v>424</v>
      </c>
      <c r="C9" s="13">
        <v>0</v>
      </c>
      <c r="D9" s="59"/>
      <c r="E9" s="52">
        <v>0</v>
      </c>
      <c r="F9" s="52"/>
      <c r="G9" s="52"/>
      <c r="J9" s="20"/>
    </row>
    <row r="10" spans="1:10">
      <c r="A10" s="13" t="s">
        <v>103</v>
      </c>
      <c r="B10" s="13" t="s">
        <v>294</v>
      </c>
      <c r="C10" s="13">
        <v>0</v>
      </c>
      <c r="D10" s="59"/>
      <c r="E10" s="52"/>
      <c r="F10" s="52"/>
      <c r="G10" s="52"/>
    </row>
    <row r="11" spans="1:10">
      <c r="E11" s="52"/>
      <c r="F11" s="52"/>
      <c r="G11" s="52"/>
      <c r="J11" s="20"/>
    </row>
    <row r="12" spans="1:10">
      <c r="E12" s="52"/>
      <c r="F12" s="52"/>
      <c r="G12" s="52"/>
    </row>
    <row r="14" spans="1:10">
      <c r="A14" s="52"/>
      <c r="E14" s="52"/>
    </row>
    <row r="15" spans="1:10">
      <c r="A15" s="52"/>
      <c r="E15" s="52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explanation</vt:lpstr>
      <vt:lpstr>dictTech</vt:lpstr>
      <vt:lpstr>dictFuel</vt:lpstr>
      <vt:lpstr>TechnologyTargets</vt:lpstr>
      <vt:lpstr>CapacityMarkets</vt:lpstr>
      <vt:lpstr>StrategicReserveOperator</vt:lpstr>
      <vt:lpstr>ElectricitySpotMarkets</vt:lpstr>
      <vt:lpstr>peakLoad</vt:lpstr>
      <vt:lpstr>Fuels</vt:lpstr>
      <vt:lpstr>FuelPriceTrends</vt:lpstr>
      <vt:lpstr>CandidatePowerPlants</vt:lpstr>
      <vt:lpstr>TechnologiesEmlab</vt:lpstr>
      <vt:lpstr>derating</vt:lpstr>
      <vt:lpstr>TechnologyTrends</vt:lpstr>
      <vt:lpstr>EnergyProducers</vt:lpstr>
      <vt:lpstr>LoadShifterCap</vt:lpstr>
      <vt:lpstr>CSvolume</vt:lpstr>
      <vt:lpstr>CapacitySubscriptionConsumer</vt:lpstr>
      <vt:lpstr>CS_subscribed</vt:lpstr>
      <vt:lpstr>LoadShedders</vt:lpstr>
      <vt:lpstr>LSyearly</vt:lpstr>
      <vt:lpstr>Dismantled</vt:lpstr>
      <vt:lpstr>weatherYears40</vt:lpstr>
      <vt:lpstr>LS_NL</vt:lpstr>
      <vt:lpstr>LoadShedders_feb24</vt:lpstr>
      <vt:lpstr>LoadShedders (2)</vt:lpstr>
      <vt:lpstr>LoadShedders2</vt:lpstr>
      <vt:lpstr>LoadShedders_copy</vt:lpstr>
      <vt:lpstr>dictvariables</vt:lpstr>
      <vt:lpstr>StepTrends</vt:lpstr>
      <vt:lpstr>EnergyConsumers</vt:lpstr>
      <vt:lpstr>yearlytechnologyPotentials2</vt:lpstr>
      <vt:lpstr>graphs</vt:lpstr>
      <vt:lpstr>CO2DE</vt:lpstr>
      <vt:lpstr>backup</vt:lpstr>
      <vt:lpstr>weatherYearsOLD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2024-06-21T10:58:42Z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