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toolbox-amiris-emlab\data\traderes\"/>
    </mc:Choice>
  </mc:AlternateContent>
  <xr:revisionPtr revIDLastSave="0" documentId="13_ncr:1_{64E67949-3751-4926-AE1F-349DB50D1C53}" xr6:coauthVersionLast="47" xr6:coauthVersionMax="47" xr10:uidLastSave="{00000000-0000-0000-0000-000000000000}"/>
  <bookViews>
    <workbookView xWindow="-28920" yWindow="-15" windowWidth="29040" windowHeight="15840" tabRatio="921" firstSheet="2" activeTab="12" xr2:uid="{00000000-000D-0000-FFFF-FFFF00000000}"/>
  </bookViews>
  <sheets>
    <sheet name="Info" sheetId="3" r:id="rId1"/>
    <sheet name="Index" sheetId="4" r:id="rId2"/>
    <sheet name="Scenarios" sheetId="2" r:id="rId3"/>
    <sheet name="Emission_prices" sheetId="6" r:id="rId4"/>
    <sheet name="Commodity_prices (2)" sheetId="15" r:id="rId5"/>
    <sheet name="technologyPotentials" sheetId="16" r:id="rId6"/>
    <sheet name="Biomass_potential" sheetId="10" r:id="rId7"/>
    <sheet name="New_technology_data" sheetId="8" r:id="rId8"/>
    <sheet name="New_transmission_data" sheetId="9" r:id="rId9"/>
    <sheet name="Wind_potential" sheetId="11" r:id="rId10"/>
    <sheet name="Solar_potential" sheetId="12" r:id="rId11"/>
    <sheet name="Transmission_capacities" sheetId="13" r:id="rId12"/>
    <sheet name="Generation_capacities" sheetId="14" r:id="rId13"/>
  </sheets>
  <definedNames>
    <definedName name="_xlnm._FilterDatabase" localSheetId="7"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5" i="8" l="1"/>
  <c r="S116" i="8"/>
  <c r="S33" i="8" l="1"/>
  <c r="F3" i="12"/>
  <c r="G3" i="12"/>
  <c r="H3" i="12"/>
  <c r="I3" i="12"/>
  <c r="J3" i="12"/>
  <c r="K3" i="12"/>
  <c r="L3" i="12"/>
  <c r="M3" i="12"/>
  <c r="N3" i="12"/>
  <c r="O3" i="12"/>
  <c r="P3" i="12"/>
  <c r="Q3" i="12"/>
  <c r="R3" i="12"/>
  <c r="S3" i="12"/>
  <c r="T3" i="12"/>
  <c r="U3" i="12"/>
  <c r="V3" i="12"/>
  <c r="W3" i="12"/>
  <c r="X3" i="12"/>
  <c r="Y3" i="12"/>
  <c r="Z3" i="12"/>
  <c r="AA3" i="12"/>
  <c r="AB3" i="12"/>
  <c r="AC3" i="12"/>
  <c r="AD3" i="12"/>
  <c r="AE3" i="12"/>
  <c r="E3" i="12"/>
  <c r="B3" i="16"/>
  <c r="D4" i="16"/>
  <c r="C4" i="16"/>
  <c r="B4" i="16"/>
  <c r="A4" i="16"/>
  <c r="B1" i="16"/>
  <c r="C1" i="16"/>
  <c r="D1" i="16"/>
  <c r="B2" i="16"/>
  <c r="C2" i="16"/>
  <c r="D2" i="16"/>
  <c r="C3" i="16"/>
  <c r="D3" i="16"/>
  <c r="A2" i="16"/>
  <c r="A3" i="16"/>
  <c r="A1" i="16"/>
  <c r="AF3" i="12"/>
  <c r="AG3" i="12"/>
  <c r="AH3" i="12"/>
  <c r="AI3" i="12"/>
  <c r="AJ3" i="12"/>
  <c r="AK3" i="12"/>
  <c r="AL3" i="12"/>
  <c r="AM3" i="12"/>
  <c r="AN3" i="12"/>
  <c r="AO3" i="12"/>
  <c r="C3" i="12"/>
  <c r="T4" i="11"/>
  <c r="U4" i="11"/>
  <c r="V4" i="11"/>
  <c r="W4" i="11"/>
  <c r="X4" i="11"/>
  <c r="Y4" i="11"/>
  <c r="Z4" i="11"/>
  <c r="AA4" i="11"/>
  <c r="AB4" i="11"/>
  <c r="AC4" i="11"/>
  <c r="AD4" i="11"/>
  <c r="AE4" i="11"/>
  <c r="AF4" i="11"/>
  <c r="AG4" i="11"/>
  <c r="AH4" i="11"/>
  <c r="AI4" i="11"/>
  <c r="AJ4" i="11"/>
  <c r="AK4" i="11"/>
  <c r="AL4" i="11"/>
  <c r="AM4" i="11"/>
  <c r="AN4" i="11"/>
  <c r="E4" i="11"/>
  <c r="F4" i="11"/>
  <c r="G4" i="11"/>
  <c r="H4" i="11"/>
  <c r="I4" i="11"/>
  <c r="J4" i="11"/>
  <c r="K4" i="11"/>
  <c r="L4" i="11"/>
  <c r="M4" i="11"/>
  <c r="N4" i="11"/>
  <c r="O4" i="11"/>
  <c r="P4" i="11"/>
  <c r="Q4" i="11"/>
  <c r="R4" i="11"/>
  <c r="S4" i="11"/>
  <c r="D4" i="11"/>
  <c r="I27" i="8"/>
  <c r="I18" i="15"/>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T33" i="8"/>
  <c r="K33" i="8"/>
  <c r="S32" i="8"/>
  <c r="K32" i="8"/>
  <c r="S31" i="8"/>
  <c r="I31" i="8"/>
  <c r="K31" i="8" s="1"/>
  <c r="S30" i="8"/>
  <c r="K30" i="8"/>
  <c r="I26" i="8"/>
  <c r="I28" i="8"/>
  <c r="S29" i="8"/>
  <c r="T29" i="8" s="1"/>
  <c r="K29" i="8"/>
  <c r="S28" i="8"/>
  <c r="K28" i="8"/>
  <c r="S27" i="8"/>
  <c r="K27" i="8"/>
  <c r="S26" i="8"/>
  <c r="K26" i="8"/>
  <c r="S22" i="8"/>
  <c r="S23" i="8"/>
  <c r="T23" i="8" s="1"/>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T116" i="8"/>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T95" i="8"/>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tc={83CCD862-1323-4D9B-9E87-F514D78ADD27}</author>
    <author>tc={9203EDA1-ECBE-4012-8077-3BF3A58A45DF}</author>
  </authors>
  <commentList>
    <comment ref="A3" authorId="0" shapeId="0" xr:uid="{83CCD862-1323-4D9B-9E87-F514D78ADD27}">
      <text>
        <t>[Threaded comment]
Your version of Excel allows you to read this threaded comment; however, any edits to it will get removed if the file is opened in a newer version of Excel. Learn more: https://go.microsoft.com/fwlink/?linkid=870924
Comment:
    original name was biogas</t>
      </text>
    </comment>
    <comment ref="A8" authorId="1" shapeId="0" xr:uid="{9203EDA1-ECBE-4012-8077-3BF3A58A45DF}">
      <text>
        <t>[Threaded comment]
Your version of Excel allows you to read this threaded comment; however, any edits to it will get removed if the file is opened in a newer version of Excel. Learn more: https://go.microsoft.com/fwlink/?linkid=870924
Comment:
    original name was Solid Biomass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tc={78CAD986-7849-4E13-880C-52DCAE95F489}</author>
  </authors>
  <commentList>
    <comment ref="B3" authorId="0" shapeId="0" xr:uid="{78CAD986-7849-4E13-880C-52DCAE95F489}">
      <text>
        <t>[Threaded comment]
Your version of Excel allows you to read this threaded comment; however, any edits to it will get removed if the file is opened in a newer version of Excel. Learn more: https://go.microsoft.com/fwlink/?linkid=870924
Comment:
    classified by Ingrid</t>
      </text>
    </comment>
  </commentList>
</comments>
</file>

<file path=xl/sharedStrings.xml><?xml version="1.0" encoding="utf-8"?>
<sst xmlns="http://schemas.openxmlformats.org/spreadsheetml/2006/main" count="3416" uniqueCount="614">
  <si>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</si>
  <si>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</si>
  <si>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</si>
  <si>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</si>
  <si>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</si>
  <si>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</si>
  <si>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</si>
  <si>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</si>
  <si>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</si>
  <si>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</si>
  <si>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</si>
  <si>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</si>
  <si>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</si>
  <si>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</si>
  <si>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</si>
  <si>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</si>
  <si>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</si>
  <si>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</si>
  <si>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</si>
  <si>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</si>
  <si>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</si>
  <si>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</si>
  <si>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</si>
  <si>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</si>
  <si>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</si>
  <si>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</si>
  <si>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</si>
  <si>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</si>
  <si>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</si>
  <si>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</si>
  <si>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</si>
  <si>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</si>
  <si>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</si>
  <si>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</si>
  <si>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</si>
  <si>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</si>
  <si>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</si>
  <si>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</si>
  <si>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</si>
  <si>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</si>
  <si>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</si>
  <si>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</si>
  <si>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</si>
  <si>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</si>
  <si>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</si>
  <si>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</si>
  <si>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</si>
  <si>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</si>
  <si>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</si>
  <si>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</si>
  <si>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</si>
  <si>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</si>
  <si>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</si>
  <si>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</si>
  <si>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</si>
  <si>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</si>
  <si>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</si>
  <si>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</si>
  <si>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</si>
  <si>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</si>
  <si>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</si>
  <si>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</si>
  <si>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</si>
  <si>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</si>
  <si>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</si>
  <si>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</si>
  <si>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</si>
  <si>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</si>
  <si>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</si>
  <si>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</si>
  <si>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</si>
  <si>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</si>
  <si>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</si>
  <si>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</si>
  <si>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</si>
  <si>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</si>
  <si>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</si>
  <si>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</si>
  <si>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</si>
  <si>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</si>
  <si>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</si>
  <si>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</si>
  <si>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</si>
  <si>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</si>
  <si>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</si>
  <si>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</si>
  <si>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</si>
  <si>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</si>
  <si>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</si>
  <si>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</si>
  <si>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</si>
  <si>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</si>
  <si>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</si>
  <si>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</si>
  <si>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</si>
  <si>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</si>
  <si>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</si>
  <si>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</si>
  <si>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</si>
  <si>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</si>
  <si>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</si>
  <si>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</si>
  <si>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</si>
  <si>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</si>
  <si>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</si>
  <si>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</si>
  <si>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</si>
  <si>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</si>
  <si>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</si>
  <si>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</si>
  <si>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</si>
  <si>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</si>
  <si>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</si>
  <si>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</si>
  <si>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</si>
  <si>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</si>
  <si>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</si>
  <si>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</si>
  <si>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</si>
  <si>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</si>
  <si>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</si>
  <si>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</si>
  <si>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</si>
  <si>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</si>
  <si>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</si>
  <si>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</si>
  <si>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</si>
  <si>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</si>
  <si>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</si>
  <si>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</si>
  <si>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</si>
  <si>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</si>
  <si>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</si>
  <si>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</si>
  <si>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</si>
  <si>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</si>
  <si>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</si>
  <si>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</si>
  <si>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</si>
  <si>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</si>
  <si>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</si>
  <si>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</si>
  <si>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</si>
  <si>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</si>
  <si>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</si>
  <si>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</si>
  <si>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</si>
  <si>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</si>
  <si>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</si>
  <si>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</si>
  <si>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</si>
  <si>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</si>
  <si>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</si>
  <si>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</si>
  <si>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</si>
  <si>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</si>
  <si>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</si>
  <si>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</si>
  <si>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</si>
  <si>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</si>
  <si>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</si>
  <si>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</si>
  <si>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</si>
  <si>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</si>
  <si>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</si>
  <si>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</si>
  <si>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</si>
  <si>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</si>
  <si>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</si>
  <si>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</si>
  <si>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</si>
  <si>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</si>
  <si>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</si>
  <si>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</si>
  <si>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</si>
  <si>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</si>
  <si>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</si>
  <si>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</si>
  <si>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</si>
  <si>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</si>
  <si>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</si>
  <si>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</si>
  <si>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</si>
  <si>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</si>
  <si>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</si>
  <si>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</si>
  <si>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</si>
  <si>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</si>
  <si>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</si>
  <si>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</si>
  <si>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</si>
  <si>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</si>
  <si>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</si>
  <si>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</si>
  <si>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</si>
  <si>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</si>
  <si>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</si>
  <si>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</si>
  <si>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</si>
  <si>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</si>
  <si>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</si>
  <si>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</si>
  <si>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</si>
  <si>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</si>
  <si>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</si>
  <si>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</si>
  <si>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</si>
  <si>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</si>
  <si>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</si>
  <si>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</si>
  <si>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</si>
  <si>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</si>
  <si>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</si>
  <si>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</si>
  <si>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</si>
  <si>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</si>
  <si>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</si>
  <si>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</si>
  <si>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</si>
  <si>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</si>
  <si>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</si>
  <si>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</si>
  <si>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</si>
  <si>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</si>
  <si>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</si>
  <si>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</si>
  <si>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</si>
  <si>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</si>
  <si>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</si>
  <si>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</si>
  <si>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</si>
  <si>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</si>
  <si>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</si>
  <si>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</si>
  <si>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</si>
  <si>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</si>
  <si>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</si>
  <si>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</si>
  <si>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</si>
  <si>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</si>
  <si>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</si>
  <si>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</si>
  <si>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</si>
  <si>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</si>
  <si>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</si>
  <si>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</si>
  <si>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</si>
  <si>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</si>
  <si>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</si>
  <si>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</si>
  <si>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</si>
  <si>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</si>
  <si>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</si>
  <si>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</si>
  <si>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</si>
  <si>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</si>
  <si>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</si>
  <si>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</si>
  <si>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</si>
  <si>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</si>
  <si>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</si>
  <si>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</si>
  <si>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</si>
  <si>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</si>
  <si>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</si>
  <si>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</si>
  <si>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</si>
  <si>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</si>
  <si>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</si>
  <si>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</si>
  <si>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</si>
  <si>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</si>
  <si>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</si>
  <si>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</si>
  <si>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</si>
  <si>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</si>
  <si>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</si>
  <si>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</si>
  <si>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</si>
  <si>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</si>
  <si>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</si>
  <si>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</si>
  <si>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</si>
  <si>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</si>
  <si>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</si>
  <si>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</si>
  <si>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</si>
  <si>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</si>
  <si>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</si>
  <si>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</si>
  <si>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</si>
  <si>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</si>
  <si>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</si>
  <si>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</si>
  <si>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</si>
  <si>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</si>
  <si>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</si>
  <si>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</si>
  <si>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</si>
  <si>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</si>
  <si>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</si>
  <si>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</si>
  <si>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</si>
  <si>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</si>
  <si>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</si>
  <si>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</si>
  <si>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</si>
  <si>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</si>
  <si>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</si>
  <si>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</si>
  <si>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</si>
  <si>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</si>
  <si>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</si>
  <si>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</si>
  <si>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</si>
  <si>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</si>
  <si>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</si>
  <si>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</si>
  <si>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</si>
  <si>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</si>
  <si>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</si>
  <si>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</si>
  <si>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</si>
  <si>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</si>
  <si>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</si>
  <si>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</si>
  <si>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</si>
  <si>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</si>
  <si>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</si>
  <si>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</si>
  <si>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</si>
  <si>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</si>
  <si>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</si>
  <si>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</si>
  <si>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</si>
  <si>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</si>
  <si>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</si>
  <si>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</si>
  <si>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</si>
  <si>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</si>
  <si>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</si>
  <si>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</si>
  <si>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</si>
  <si>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</si>
  <si>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</si>
  <si>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</si>
  <si>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</si>
  <si>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</si>
  <si>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</si>
  <si>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</si>
  <si>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</si>
  <si>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</si>
  <si>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</si>
  <si>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</si>
  <si>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</si>
  <si>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</si>
  <si>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</si>
  <si>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</si>
  <si>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</si>
  <si>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</si>
  <si>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</si>
  <si>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</si>
  <si>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</si>
  <si>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</si>
  <si>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</si>
  <si>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</si>
  <si>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</si>
  <si>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</si>
  <si>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</si>
  <si>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</si>
  <si>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</si>
  <si>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</si>
  <si>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</si>
  <si>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</si>
  <si>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</si>
  <si>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</si>
  <si>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</si>
  <si>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</si>
  <si>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</si>
  <si>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</si>
  <si>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</si>
  <si>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</si>
  <si>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</si>
  <si>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</si>
  <si>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</si>
  <si>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</si>
  <si>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</si>
  <si>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</si>
  <si>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</si>
  <si>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</si>
  <si>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</si>
  <si>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</si>
  <si>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</si>
  <si>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</si>
  <si>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</si>
  <si>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</si>
  <si>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</si>
  <si>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</si>
  <si>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</si>
  <si>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</si>
  <si>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</si>
  <si>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</si>
  <si>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</si>
  <si>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</si>
  <si>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</si>
  <si>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</si>
  <si>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</si>
  <si>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</si>
  <si>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</si>
  <si>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</si>
  <si>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</si>
  <si>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</si>
  <si>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</si>
  <si>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</si>
  <si>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</si>
  <si>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</si>
  <si>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</si>
  <si>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</si>
  <si>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</si>
  <si>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</si>
  <si>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</si>
  <si>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</si>
  <si>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</si>
  <si>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</si>
  <si>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</si>
  <si>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</si>
  <si>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</si>
  <si>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</si>
  <si>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</si>
  <si>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</si>
  <si>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</si>
  <si>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</si>
  <si>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</si>
  <si>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</si>
  <si>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</si>
  <si>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</si>
  <si>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</si>
  <si>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</si>
  <si>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</si>
  <si>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</si>
  <si>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</si>
  <si>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</si>
  <si>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</si>
  <si>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</si>
  <si>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</si>
  <si>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</si>
  <si>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</si>
  <si>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</si>
  <si>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</si>
  <si>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</si>
  <si>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</si>
  <si>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</si>
  <si>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</si>
  <si>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</si>
  <si>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TWh</t>
  </si>
  <si>
    <t>Solid Biomass (Wood, primary, secondary residues)</t>
  </si>
  <si>
    <t>no crops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</si>
  <si>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</si>
  <si>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</si>
  <si>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</si>
  <si>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</si>
  <si>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</si>
  <si>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</si>
  <si>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</si>
  <si>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</si>
  <si>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</si>
  <si>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</si>
  <si>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</si>
  <si>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</si>
  <si>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</si>
  <si>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</si>
  <si>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</si>
  <si>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</si>
  <si>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</si>
  <si>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</si>
  <si>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</si>
  <si>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</si>
  <si>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</si>
  <si>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</si>
  <si>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</si>
  <si>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</si>
  <si>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</si>
  <si>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</si>
  <si>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</si>
  <si>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</si>
  <si>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</si>
  <si>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</si>
  <si>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</si>
  <si>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</si>
  <si>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</si>
  <si>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</si>
  <si>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</si>
  <si>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</si>
  <si>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</si>
  <si>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</si>
  <si>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</si>
  <si>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</si>
  <si>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</si>
  <si>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</si>
  <si>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</si>
  <si>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</si>
  <si>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</si>
  <si>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</si>
  <si>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</si>
  <si>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</si>
  <si>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</si>
  <si>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</si>
  <si>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</si>
  <si>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</si>
  <si>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</si>
  <si>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</si>
  <si>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</si>
  <si>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</si>
  <si>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</si>
  <si>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</si>
  <si>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</si>
  <si>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</si>
  <si>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</si>
  <si>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</si>
  <si>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</si>
  <si>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</si>
  <si>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</si>
  <si>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</si>
  <si>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</si>
  <si>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</si>
  <si>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</si>
  <si>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</si>
  <si>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</si>
  <si>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</si>
  <si>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</si>
  <si>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</si>
  <si>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</si>
  <si>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</si>
  <si>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</si>
  <si>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</si>
  <si>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</si>
  <si>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</si>
  <si>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</si>
  <si>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</si>
  <si>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</si>
  <si>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</si>
  <si>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</si>
  <si>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</si>
  <si>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</si>
  <si>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</si>
  <si>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</si>
  <si>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</si>
  <si>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</si>
  <si>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</si>
  <si>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</si>
  <si>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</si>
  <si>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</si>
  <si>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</si>
  <si>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</si>
  <si>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</si>
  <si>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</si>
  <si>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</si>
  <si>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</si>
  <si>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</si>
  <si>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</si>
  <si>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</si>
  <si>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</si>
  <si>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</si>
  <si>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</si>
  <si>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</si>
  <si>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</si>
  <si>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</si>
  <si>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</si>
  <si>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</si>
  <si>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</si>
  <si>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</si>
  <si>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</si>
  <si>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</si>
  <si>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</si>
  <si>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</si>
  <si>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</si>
  <si>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</si>
  <si>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</si>
  <si>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</si>
  <si>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</si>
  <si>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</si>
  <si>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</si>
  <si>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</si>
  <si>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</si>
  <si>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</si>
  <si>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</si>
  <si>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</si>
  <si>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</si>
  <si>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</si>
  <si>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</si>
  <si>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</si>
  <si>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</si>
  <si>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</si>
  <si>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</si>
  <si>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</si>
  <si>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</si>
  <si>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</si>
  <si>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</si>
  <si>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</si>
  <si>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</si>
  <si>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</si>
  <si>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</si>
  <si>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</si>
  <si>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</si>
  <si>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</si>
  <si>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</si>
  <si>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</si>
  <si>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</si>
  <si>
    <t>traderesTechnology</t>
  </si>
  <si>
    <t>WTG_onshore</t>
  </si>
  <si>
    <t>WTG_offshore</t>
  </si>
  <si>
    <t>PV_utility_systems</t>
  </si>
  <si>
    <t>biomethane</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</si>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</sst>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
      <patternFill patternType="solid">
        <fgColor rgb="FFFFFF00"/>
        <bgColor indexed="64"/>
      </patternFill>
    </fill>
    <fill>
      <patternFill patternType="solid">
        <fgColor rgb="FFFF6699"/>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0" fillId="0" borderId="5" xfId="0" applyBorder="1"/>
    <xf numFmtId="0" fontId="2" fillId="0" borderId="6" xfId="0" applyFont="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6" fillId="9" borderId="0" xfId="0" applyFont="1" applyFill="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xf numFmtId="0" fontId="11" fillId="12" borderId="0" xfId="0" applyFont="1" applyFill="1"/>
    <xf numFmtId="0" fontId="11" fillId="11" borderId="0" xfId="0" applyFont="1" applyFill="1" applyAlignment="1">
      <alignment wrapText="1"/>
    </xf>
    <xf numFmtId="0" fontId="11" fillId="12" borderId="0" xfId="0" applyFont="1" applyFill="1" applyAlignment="1">
      <alignment textRotation="90" wrapText="1"/>
    </xf>
    <xf numFmtId="0" fontId="11" fillId="12" borderId="0" xfId="0" quotePrefix="1" applyFont="1" applyFill="1" applyAlignment="1">
      <alignment wrapText="1"/>
    </xf>
    <xf numFmtId="0" fontId="11" fillId="12" borderId="0" xfId="0" applyFont="1" applyFill="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xf numFmtId="0" fontId="13" fillId="2" borderId="0" xfId="0" applyFont="1" applyFill="1"/>
    <xf numFmtId="0" fontId="14" fillId="8" borderId="0" xfId="0" applyFont="1" applyFill="1"/>
    <xf numFmtId="0" fontId="13" fillId="8" borderId="0" xfId="0" applyFont="1" applyFill="1"/>
    <xf numFmtId="0" fontId="11" fillId="0" borderId="0" xfId="0" applyFo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0" fillId="15" borderId="0" xfId="0" applyFill="1" applyAlignment="1">
      <alignment wrapText="1"/>
    </xf>
    <xf numFmtId="0" fontId="0" fillId="15" borderId="0" xfId="0" applyFill="1"/>
    <xf numFmtId="0" fontId="0" fillId="16" borderId="0" xfId="0" applyFill="1" applyAlignment="1">
      <alignment wrapText="1"/>
    </xf>
    <xf numFmtId="0" fontId="11" fillId="11" borderId="0" xfId="0" applyFont="1" applyFill="1" applyAlignment="1">
      <alignment horizontal="center"/>
    </xf>
    <xf numFmtId="0" fontId="12" fillId="0" borderId="0" xfId="0" applyFont="1" applyAlignment="1">
      <alignment horizontal="left" vertical="center" wrapText="1"/>
    </xf>
    <xf numFmtId="0" fontId="11" fillId="11" borderId="0" xfId="0" applyFont="1" applyFill="1" applyAlignment="1">
      <alignment horizontal="center"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ngrid Sanchez Jimenez" id="{99080569-BF4E-4A29-A2C6-B03208CDF96C}" userId="S::isanchezjimene@tudelft.nl::cc90341c-89c3-4988-92a9-0175758ccb6e" providerId="AD"/>
</personList>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4T09:03:11.68" personId="{99080569-BF4E-4A29-A2C6-B03208CDF96C}" id="{83CCD862-1323-4D9B-9E87-F514D78ADD27}">
    <text>original name was biogas</text>
  </threadedComment>
  <threadedComment ref="A8" dT="2022-07-14T09:03:37.58" personId="{99080569-BF4E-4A29-A2C6-B03208CDF96C}" id="{9203EDA1-ECBE-4012-8077-3BF3A58A45DF}">
    <text>original name was Solid Biomass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2-04-13T10:58:01.50" personId="{99080569-BF4E-4A29-A2C6-B03208CDF96C}" id="{78CAD986-7849-4E13-880C-52DCAE95F489}">
    <text>classified by Ingrid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0" t="s">
        <v>0</v>
      </c>
    </row>
    <row r="20" spans="2:12" x14ac:dyDescent="0.3">
      <c r="I20" s="13" t="s">
        <v>1</v>
      </c>
      <c r="J20" s="14" t="s">
        <v>2</v>
      </c>
      <c r="K20" s="14"/>
      <c r="L20" s="15"/>
    </row>
    <row r="21" spans="2:12" x14ac:dyDescent="0.3">
      <c r="I21" s="16" t="s">
        <v>3</v>
      </c>
      <c r="J21" t="s">
        <v>4</v>
      </c>
      <c r="L21" s="17"/>
    </row>
    <row r="22" spans="2:12" x14ac:dyDescent="0.3">
      <c r="I22" s="16" t="s">
        <v>5</v>
      </c>
      <c r="J22" t="s">
        <v>6</v>
      </c>
      <c r="L22" s="17"/>
    </row>
    <row r="23" spans="2:12" x14ac:dyDescent="0.3">
      <c r="I23" s="18"/>
      <c r="L23" s="17"/>
    </row>
    <row r="24" spans="2:12" x14ac:dyDescent="0.3">
      <c r="I24" s="16" t="s">
        <v>7</v>
      </c>
      <c r="J24" s="1"/>
      <c r="K24" s="1"/>
      <c r="L24" s="19"/>
    </row>
    <row r="25" spans="2:12" x14ac:dyDescent="0.3">
      <c r="I25" s="16" t="s">
        <v>8</v>
      </c>
      <c r="J25" s="1" t="s">
        <v>9</v>
      </c>
      <c r="K25" s="1" t="s">
        <v>10</v>
      </c>
      <c r="L25" s="19"/>
    </row>
    <row r="26" spans="2:12" x14ac:dyDescent="0.3">
      <c r="I26" s="18" t="s">
        <v>11</v>
      </c>
      <c r="J26" t="s">
        <v>6</v>
      </c>
      <c r="K26" t="s">
        <v>12</v>
      </c>
      <c r="L26" s="17"/>
    </row>
    <row r="27" spans="2:12" x14ac:dyDescent="0.3">
      <c r="I27" s="18" t="s">
        <v>13</v>
      </c>
      <c r="J27" t="s">
        <v>6</v>
      </c>
      <c r="K27" t="s">
        <v>14</v>
      </c>
      <c r="L27" s="17"/>
    </row>
    <row r="28" spans="2:12" x14ac:dyDescent="0.3">
      <c r="I28" s="18" t="s">
        <v>15</v>
      </c>
      <c r="J28" t="s">
        <v>6</v>
      </c>
      <c r="L28" s="17"/>
    </row>
    <row r="29" spans="2:12" x14ac:dyDescent="0.3">
      <c r="I29" s="18" t="s">
        <v>16</v>
      </c>
      <c r="J29" t="s">
        <v>17</v>
      </c>
      <c r="L29" s="17"/>
    </row>
    <row r="30" spans="2:12" x14ac:dyDescent="0.3">
      <c r="I30" s="18" t="s">
        <v>18</v>
      </c>
      <c r="J30" t="s">
        <v>19</v>
      </c>
      <c r="L30" s="17"/>
    </row>
    <row r="31" spans="2:12" x14ac:dyDescent="0.3">
      <c r="I31" s="18"/>
      <c r="L31" s="17"/>
    </row>
    <row r="32" spans="2:12" x14ac:dyDescent="0.3">
      <c r="I32" s="18"/>
      <c r="L32" s="17"/>
    </row>
    <row r="33" spans="9:12" x14ac:dyDescent="0.3">
      <c r="I33" s="18"/>
      <c r="L33" s="17"/>
    </row>
    <row r="34" spans="9:12" x14ac:dyDescent="0.3">
      <c r="I34" s="18"/>
      <c r="L34" s="17"/>
    </row>
    <row r="35" spans="9:12" x14ac:dyDescent="0.3">
      <c r="I35" s="18"/>
      <c r="L35" s="17"/>
    </row>
    <row r="36" spans="9:12" x14ac:dyDescent="0.3">
      <c r="I36" s="18"/>
      <c r="L36" s="17"/>
    </row>
    <row r="37" spans="9:12" x14ac:dyDescent="0.3">
      <c r="I37" s="18"/>
      <c r="L37" s="17"/>
    </row>
    <row r="38" spans="9:12" x14ac:dyDescent="0.3">
      <c r="I38" s="16" t="s">
        <v>20</v>
      </c>
      <c r="J38" s="1"/>
      <c r="K38" s="1"/>
      <c r="L38" s="19"/>
    </row>
    <row r="39" spans="9:12" x14ac:dyDescent="0.3">
      <c r="I39" s="16" t="s">
        <v>8</v>
      </c>
      <c r="J39" s="1" t="s">
        <v>9</v>
      </c>
      <c r="K39" s="1" t="s">
        <v>10</v>
      </c>
      <c r="L39" s="19"/>
    </row>
    <row r="40" spans="9:12" x14ac:dyDescent="0.3">
      <c r="I40" s="18"/>
      <c r="L40" s="17"/>
    </row>
    <row r="41" spans="9:12" x14ac:dyDescent="0.3">
      <c r="I41" s="18"/>
      <c r="L41" s="17"/>
    </row>
    <row r="42" spans="9:12" x14ac:dyDescent="0.3">
      <c r="I42" s="18"/>
      <c r="L42" s="17"/>
    </row>
    <row r="43" spans="9:12" x14ac:dyDescent="0.3">
      <c r="I43" s="18"/>
      <c r="L43" s="17"/>
    </row>
    <row r="44" spans="9:12" x14ac:dyDescent="0.3">
      <c r="I44" s="16" t="s">
        <v>21</v>
      </c>
      <c r="J44" s="1"/>
      <c r="K44" s="1"/>
      <c r="L44" s="19"/>
    </row>
    <row r="45" spans="9:12" x14ac:dyDescent="0.3">
      <c r="I45" s="16" t="s">
        <v>22</v>
      </c>
      <c r="J45" s="1" t="s">
        <v>23</v>
      </c>
      <c r="K45" s="1" t="s">
        <v>24</v>
      </c>
      <c r="L45" s="19" t="s">
        <v>25</v>
      </c>
    </row>
    <row r="46" spans="9:12" x14ac:dyDescent="0.3">
      <c r="I46" s="18"/>
      <c r="L46" s="17"/>
    </row>
    <row r="47" spans="9:12" x14ac:dyDescent="0.3">
      <c r="I47" s="18"/>
      <c r="J47" s="1" t="s">
        <v>26</v>
      </c>
      <c r="K47" s="1" t="s">
        <v>27</v>
      </c>
      <c r="L47" s="19" t="s">
        <v>28</v>
      </c>
    </row>
    <row r="48" spans="9:12" x14ac:dyDescent="0.3">
      <c r="I48" s="18"/>
      <c r="L48" s="17"/>
    </row>
    <row r="49" spans="9:12" x14ac:dyDescent="0.3">
      <c r="I49" s="18"/>
      <c r="L49" s="17"/>
    </row>
    <row r="50" spans="9:12" x14ac:dyDescent="0.3">
      <c r="I50" s="18"/>
      <c r="L50" s="17"/>
    </row>
    <row r="51" spans="9:12" x14ac:dyDescent="0.3">
      <c r="I51" s="20"/>
      <c r="J51" s="21"/>
      <c r="K51" s="21"/>
      <c r="L51" s="2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
  <sheetViews>
    <sheetView workbookViewId="0">
      <pane xSplit="3" ySplit="2" topLeftCell="G3" activePane="bottomRight" state="frozen"/>
      <selection pane="topRight" activeCell="C1" sqref="C1"/>
      <selection pane="bottomLeft" activeCell="A3" sqref="A3"/>
      <selection pane="bottomRight" activeCell="N3" sqref="N3"/>
    </sheetView>
  </sheetViews>
  <sheetFormatPr defaultRowHeight="14" x14ac:dyDescent="0.3"/>
  <cols>
    <col min="1" max="2" width="25.83203125" customWidth="1"/>
    <col min="3" max="3" width="23.58203125" customWidth="1"/>
    <col min="4" max="6" width="8.58203125" customWidth="1"/>
    <col min="42" max="45" width="15.58203125" customWidth="1"/>
  </cols>
  <sheetData>
    <row r="1" spans="1:45" s="24" customFormat="1" ht="14.5" x14ac:dyDescent="0.35">
      <c r="D1" s="24" t="s">
        <v>382</v>
      </c>
      <c r="E1" s="24" t="s">
        <v>383</v>
      </c>
      <c r="F1" s="24" t="s">
        <v>384</v>
      </c>
      <c r="G1" s="24" t="s">
        <v>385</v>
      </c>
      <c r="H1" s="24" t="s">
        <v>386</v>
      </c>
      <c r="I1" s="24" t="s">
        <v>387</v>
      </c>
      <c r="J1" s="24" t="s">
        <v>388</v>
      </c>
      <c r="K1" s="24" t="s">
        <v>389</v>
      </c>
      <c r="L1" s="24" t="s">
        <v>390</v>
      </c>
      <c r="M1" s="24" t="s">
        <v>391</v>
      </c>
      <c r="N1" s="24" t="s">
        <v>392</v>
      </c>
      <c r="O1" s="24" t="s">
        <v>393</v>
      </c>
      <c r="P1" s="24" t="s">
        <v>459</v>
      </c>
      <c r="Q1" s="24" t="s">
        <v>395</v>
      </c>
      <c r="R1" s="24" t="s">
        <v>396</v>
      </c>
      <c r="S1" s="24" t="s">
        <v>397</v>
      </c>
      <c r="T1" s="24" t="s">
        <v>398</v>
      </c>
      <c r="U1" s="45" t="s">
        <v>399</v>
      </c>
      <c r="V1" s="24" t="s">
        <v>400</v>
      </c>
      <c r="W1" s="24" t="s">
        <v>401</v>
      </c>
      <c r="X1" s="24" t="s">
        <v>402</v>
      </c>
      <c r="Y1" s="24" t="s">
        <v>403</v>
      </c>
      <c r="Z1" s="24" t="s">
        <v>404</v>
      </c>
      <c r="AA1" s="24" t="s">
        <v>405</v>
      </c>
      <c r="AB1" s="24" t="s">
        <v>406</v>
      </c>
      <c r="AC1" s="24" t="s">
        <v>407</v>
      </c>
      <c r="AD1" s="24" t="s">
        <v>408</v>
      </c>
      <c r="AE1" s="24" t="s">
        <v>409</v>
      </c>
      <c r="AF1" s="24" t="s">
        <v>410</v>
      </c>
      <c r="AG1" s="24" t="s">
        <v>411</v>
      </c>
      <c r="AH1" s="24" t="s">
        <v>412</v>
      </c>
      <c r="AI1" s="24" t="s">
        <v>413</v>
      </c>
      <c r="AJ1" s="24" t="s">
        <v>414</v>
      </c>
      <c r="AK1" s="24" t="s">
        <v>415</v>
      </c>
      <c r="AL1" s="24" t="s">
        <v>416</v>
      </c>
      <c r="AM1" s="24" t="s">
        <v>417</v>
      </c>
      <c r="AN1" s="24" t="s">
        <v>418</v>
      </c>
      <c r="AP1" s="52" t="s">
        <v>460</v>
      </c>
      <c r="AQ1" s="52" t="s">
        <v>461</v>
      </c>
      <c r="AR1" s="52" t="s">
        <v>462</v>
      </c>
      <c r="AS1" s="52" t="s">
        <v>71</v>
      </c>
    </row>
    <row r="2" spans="1:45" s="41" customFormat="1" ht="14.5" x14ac:dyDescent="0.35">
      <c r="A2" s="24" t="s">
        <v>105</v>
      </c>
      <c r="B2" s="24" t="s">
        <v>608</v>
      </c>
      <c r="C2" s="24" t="s">
        <v>72</v>
      </c>
      <c r="D2" s="41" t="s">
        <v>420</v>
      </c>
      <c r="E2" s="41" t="s">
        <v>421</v>
      </c>
      <c r="F2" s="41" t="s">
        <v>422</v>
      </c>
      <c r="G2" s="41" t="s">
        <v>423</v>
      </c>
      <c r="H2" s="41" t="s">
        <v>463</v>
      </c>
      <c r="I2" s="41" t="s">
        <v>424</v>
      </c>
      <c r="J2" s="41" t="s">
        <v>425</v>
      </c>
      <c r="K2" s="41" t="s">
        <v>426</v>
      </c>
      <c r="L2" s="41" t="s">
        <v>427</v>
      </c>
      <c r="M2" s="41" t="s">
        <v>428</v>
      </c>
      <c r="N2" s="41" t="s">
        <v>429</v>
      </c>
      <c r="O2" s="41" t="s">
        <v>430</v>
      </c>
      <c r="P2" s="41" t="s">
        <v>431</v>
      </c>
      <c r="Q2" s="41" t="s">
        <v>432</v>
      </c>
      <c r="R2" s="41" t="s">
        <v>433</v>
      </c>
      <c r="S2" s="41" t="s">
        <v>434</v>
      </c>
      <c r="T2" s="41" t="s">
        <v>464</v>
      </c>
      <c r="U2" s="41" t="s">
        <v>465</v>
      </c>
      <c r="V2" s="41" t="s">
        <v>435</v>
      </c>
      <c r="W2" s="41" t="s">
        <v>436</v>
      </c>
      <c r="X2" s="41" t="s">
        <v>437</v>
      </c>
      <c r="Y2" s="41" t="s">
        <v>438</v>
      </c>
      <c r="Z2" s="41" t="s">
        <v>439</v>
      </c>
      <c r="AA2" s="41" t="s">
        <v>440</v>
      </c>
      <c r="AB2" s="41" t="s">
        <v>441</v>
      </c>
      <c r="AC2" s="41" t="s">
        <v>442</v>
      </c>
      <c r="AD2" s="41" t="s">
        <v>443</v>
      </c>
      <c r="AE2" s="41" t="s">
        <v>444</v>
      </c>
      <c r="AF2" s="41" t="s">
        <v>445</v>
      </c>
      <c r="AG2" s="41" t="s">
        <v>446</v>
      </c>
      <c r="AH2" s="41" t="s">
        <v>447</v>
      </c>
      <c r="AI2" s="41" t="s">
        <v>448</v>
      </c>
      <c r="AJ2" s="41" t="s">
        <v>449</v>
      </c>
      <c r="AK2" s="41" t="s">
        <v>450</v>
      </c>
      <c r="AL2" s="41" t="s">
        <v>451</v>
      </c>
      <c r="AM2" s="41" t="s">
        <v>452</v>
      </c>
      <c r="AN2" s="41" t="s">
        <v>453</v>
      </c>
      <c r="AP2" s="53"/>
      <c r="AQ2" s="53"/>
      <c r="AR2" s="53"/>
      <c r="AS2" s="53"/>
    </row>
    <row r="3" spans="1:45" ht="14.5" x14ac:dyDescent="0.35">
      <c r="A3" t="s">
        <v>466</v>
      </c>
      <c r="B3" t="s">
        <v>609</v>
      </c>
      <c r="C3" t="s">
        <v>467</v>
      </c>
      <c r="D3">
        <v>5.9277311929999996</v>
      </c>
      <c r="E3">
        <v>2.1997291969999999</v>
      </c>
      <c r="F3">
        <v>6.2951871659999998</v>
      </c>
      <c r="G3">
        <v>6.9488544890000004</v>
      </c>
      <c r="H3">
        <v>0</v>
      </c>
      <c r="I3">
        <v>38.420576016999995</v>
      </c>
      <c r="J3">
        <v>54.669999999999995</v>
      </c>
      <c r="K3">
        <v>20.522405229</v>
      </c>
      <c r="L3">
        <v>19.732288789999998</v>
      </c>
      <c r="M3">
        <v>550.36595464199991</v>
      </c>
      <c r="N3">
        <v>42.191125290999999</v>
      </c>
      <c r="O3">
        <v>102.344410838</v>
      </c>
      <c r="P3">
        <v>12.700797691</v>
      </c>
      <c r="Q3">
        <v>146.5</v>
      </c>
      <c r="R3">
        <v>64.533586133</v>
      </c>
      <c r="S3">
        <v>60.058632353</v>
      </c>
      <c r="T3">
        <v>111.245754476</v>
      </c>
      <c r="U3">
        <v>0</v>
      </c>
      <c r="V3">
        <v>3.7723528999999999E-2</v>
      </c>
      <c r="W3">
        <v>43.336125919000004</v>
      </c>
      <c r="X3">
        <v>78.77191075799999</v>
      </c>
      <c r="Y3" s="35">
        <v>5.1598039709999997</v>
      </c>
      <c r="Z3">
        <v>29.214642775000002</v>
      </c>
      <c r="AA3">
        <v>14.168210658</v>
      </c>
      <c r="AB3">
        <v>0.366633761</v>
      </c>
      <c r="AC3">
        <v>321.44443629400007</v>
      </c>
      <c r="AD3">
        <v>109.76137360599998</v>
      </c>
      <c r="AN3">
        <v>220.19681822100011</v>
      </c>
      <c r="AP3" s="51" t="s">
        <v>468</v>
      </c>
      <c r="AQ3" s="51" t="s">
        <v>466</v>
      </c>
      <c r="AR3" s="51" t="s">
        <v>469</v>
      </c>
      <c r="AS3" s="51" t="s">
        <v>470</v>
      </c>
    </row>
    <row r="4" spans="1:45" x14ac:dyDescent="0.3">
      <c r="B4" t="s">
        <v>610</v>
      </c>
      <c r="D4">
        <f>SUM(D5:D7)</f>
        <v>0</v>
      </c>
      <c r="E4">
        <f t="shared" ref="E4:T4" si="0">SUM(E5:E7)</f>
        <v>1.85</v>
      </c>
      <c r="F4">
        <f t="shared" si="0"/>
        <v>0.44500000000000001</v>
      </c>
      <c r="G4">
        <f t="shared" si="0"/>
        <v>2.0859999999999999</v>
      </c>
      <c r="H4">
        <f t="shared" si="0"/>
        <v>0</v>
      </c>
      <c r="I4">
        <f t="shared" si="0"/>
        <v>0</v>
      </c>
      <c r="J4">
        <f t="shared" si="0"/>
        <v>27.31</v>
      </c>
      <c r="K4">
        <f t="shared" si="0"/>
        <v>1.28</v>
      </c>
      <c r="L4">
        <f t="shared" si="0"/>
        <v>21.265000000000001</v>
      </c>
      <c r="M4">
        <f t="shared" si="0"/>
        <v>15.645</v>
      </c>
      <c r="N4">
        <f t="shared" si="0"/>
        <v>27.84</v>
      </c>
      <c r="O4">
        <f t="shared" si="0"/>
        <v>1.7999999999999999E-2</v>
      </c>
      <c r="P4">
        <f t="shared" si="0"/>
        <v>0</v>
      </c>
      <c r="Q4">
        <f t="shared" si="0"/>
        <v>0.99</v>
      </c>
      <c r="R4">
        <f t="shared" si="0"/>
        <v>3.4090000000000003</v>
      </c>
      <c r="S4">
        <f t="shared" si="0"/>
        <v>14.969999999999999</v>
      </c>
      <c r="T4">
        <f t="shared" si="0"/>
        <v>2.9400000000000004</v>
      </c>
      <c r="U4">
        <f t="shared" ref="U4" si="1">SUM(U5:U7)</f>
        <v>0</v>
      </c>
      <c r="V4">
        <f t="shared" ref="V4" si="2">SUM(V5:V7)</f>
        <v>0</v>
      </c>
      <c r="W4">
        <f t="shared" ref="W4" si="3">SUM(W5:W7)</f>
        <v>47.744999999999997</v>
      </c>
      <c r="X4">
        <f t="shared" ref="X4" si="4">SUM(X5:X7)</f>
        <v>12.31</v>
      </c>
      <c r="Y4">
        <f t="shared" ref="Y4" si="5">SUM(Y5:Y7)</f>
        <v>5.0000000000000001E-3</v>
      </c>
      <c r="Z4">
        <f t="shared" ref="Z4" si="6">SUM(Z5:Z7)</f>
        <v>8.7650000000000006</v>
      </c>
      <c r="AA4">
        <f t="shared" ref="AA4" si="7">SUM(AA5:AA7)</f>
        <v>0</v>
      </c>
      <c r="AB4">
        <f t="shared" ref="AB4" si="8">SUM(AB5:AB7)</f>
        <v>0</v>
      </c>
      <c r="AC4">
        <f t="shared" ref="AC4" si="9">SUM(AC5:AC7)</f>
        <v>0.65800000000000003</v>
      </c>
      <c r="AD4">
        <f t="shared" ref="AD4" si="10">SUM(AD5:AD7)</f>
        <v>31.035</v>
      </c>
      <c r="AE4">
        <f t="shared" ref="AE4" si="11">SUM(AE5:AE7)</f>
        <v>0</v>
      </c>
      <c r="AF4">
        <f t="shared" ref="AF4" si="12">SUM(AF5:AF7)</f>
        <v>0</v>
      </c>
      <c r="AG4">
        <f t="shared" ref="AG4" si="13">SUM(AG5:AG7)</f>
        <v>0</v>
      </c>
      <c r="AH4">
        <f t="shared" ref="AH4" si="14">SUM(AH5:AH7)</f>
        <v>0</v>
      </c>
      <c r="AI4">
        <f t="shared" ref="AI4:AJ4" si="15">SUM(AI5:AI7)</f>
        <v>0</v>
      </c>
      <c r="AJ4">
        <f t="shared" si="15"/>
        <v>0</v>
      </c>
      <c r="AK4">
        <f t="shared" ref="AK4" si="16">SUM(AK5:AK7)</f>
        <v>0</v>
      </c>
      <c r="AL4">
        <f t="shared" ref="AL4" si="17">SUM(AL5:AL7)</f>
        <v>0</v>
      </c>
      <c r="AM4">
        <f t="shared" ref="AM4" si="18">SUM(AM5:AM7)</f>
        <v>0</v>
      </c>
      <c r="AN4">
        <f t="shared" ref="AN4" si="19">SUM(AN5:AN7)</f>
        <v>103.60499999999999</v>
      </c>
    </row>
    <row r="5" spans="1:45" ht="14.5" x14ac:dyDescent="0.35">
      <c r="A5" t="s">
        <v>471</v>
      </c>
      <c r="C5" t="s">
        <v>467</v>
      </c>
      <c r="E5">
        <v>0</v>
      </c>
      <c r="F5">
        <v>0</v>
      </c>
      <c r="G5">
        <v>0</v>
      </c>
      <c r="H5">
        <v>0</v>
      </c>
      <c r="J5">
        <v>0</v>
      </c>
      <c r="K5">
        <v>0</v>
      </c>
      <c r="L5">
        <v>0</v>
      </c>
      <c r="M5">
        <v>0</v>
      </c>
      <c r="N5">
        <v>0</v>
      </c>
      <c r="O5">
        <v>0</v>
      </c>
      <c r="Q5">
        <v>0</v>
      </c>
      <c r="R5">
        <v>0</v>
      </c>
      <c r="S5">
        <v>0</v>
      </c>
      <c r="T5">
        <v>0</v>
      </c>
      <c r="V5">
        <v>0</v>
      </c>
      <c r="W5">
        <v>0</v>
      </c>
      <c r="X5">
        <v>0</v>
      </c>
      <c r="Y5" s="35">
        <v>0</v>
      </c>
      <c r="Z5">
        <v>0</v>
      </c>
      <c r="AC5">
        <v>0</v>
      </c>
      <c r="AD5">
        <v>0</v>
      </c>
      <c r="AN5">
        <v>0</v>
      </c>
      <c r="AP5" s="42" t="s">
        <v>468</v>
      </c>
      <c r="AQ5" s="42" t="s">
        <v>472</v>
      </c>
      <c r="AR5" s="42" t="s">
        <v>469</v>
      </c>
      <c r="AS5" s="42" t="s">
        <v>470</v>
      </c>
    </row>
    <row r="6" spans="1:45" ht="14.5" x14ac:dyDescent="0.35">
      <c r="A6" t="s">
        <v>473</v>
      </c>
      <c r="C6" t="s">
        <v>467</v>
      </c>
      <c r="E6">
        <v>0.14499999999999999</v>
      </c>
      <c r="F6">
        <v>0.435</v>
      </c>
      <c r="G6">
        <v>2.0819999999999999</v>
      </c>
      <c r="H6">
        <v>0</v>
      </c>
      <c r="J6">
        <v>22.33</v>
      </c>
      <c r="K6">
        <v>1.2</v>
      </c>
      <c r="L6">
        <v>15.065</v>
      </c>
      <c r="M6">
        <v>13.9</v>
      </c>
      <c r="N6">
        <v>17.55</v>
      </c>
      <c r="O6">
        <v>7.0000000000000001E-3</v>
      </c>
      <c r="Q6">
        <v>0.99</v>
      </c>
      <c r="R6">
        <v>2.9950000000000001</v>
      </c>
      <c r="S6">
        <v>12.77</v>
      </c>
      <c r="T6">
        <v>2.5550000000000002</v>
      </c>
      <c r="V6">
        <v>0</v>
      </c>
      <c r="W6">
        <v>41.674999999999997</v>
      </c>
      <c r="X6">
        <v>6.57</v>
      </c>
      <c r="Y6" s="35">
        <v>0</v>
      </c>
      <c r="Z6">
        <v>8.75</v>
      </c>
      <c r="AC6">
        <v>0.55300000000000005</v>
      </c>
      <c r="AD6">
        <v>21.05</v>
      </c>
      <c r="AN6">
        <v>56.945</v>
      </c>
      <c r="AP6" s="42" t="s">
        <v>468</v>
      </c>
      <c r="AQ6" s="42" t="s">
        <v>472</v>
      </c>
      <c r="AR6" s="42" t="s">
        <v>469</v>
      </c>
      <c r="AS6" s="42" t="s">
        <v>470</v>
      </c>
    </row>
    <row r="7" spans="1:45" ht="14.5" x14ac:dyDescent="0.35">
      <c r="A7" t="s">
        <v>474</v>
      </c>
      <c r="C7" t="s">
        <v>467</v>
      </c>
      <c r="E7">
        <v>1.7050000000000001</v>
      </c>
      <c r="F7">
        <v>0.01</v>
      </c>
      <c r="G7">
        <v>4.0000000000000001E-3</v>
      </c>
      <c r="H7">
        <v>0</v>
      </c>
      <c r="J7">
        <v>4.9800000000000004</v>
      </c>
      <c r="K7">
        <v>0.08</v>
      </c>
      <c r="L7">
        <v>6.2</v>
      </c>
      <c r="M7">
        <v>1.7450000000000001</v>
      </c>
      <c r="N7">
        <v>10.29</v>
      </c>
      <c r="O7">
        <v>1.0999999999999999E-2</v>
      </c>
      <c r="Q7">
        <v>0</v>
      </c>
      <c r="R7">
        <v>0.41399999999999998</v>
      </c>
      <c r="S7">
        <v>2.2000000000000002</v>
      </c>
      <c r="T7">
        <v>0.38500000000000001</v>
      </c>
      <c r="V7">
        <v>0</v>
      </c>
      <c r="W7">
        <v>6.07</v>
      </c>
      <c r="X7">
        <v>5.74</v>
      </c>
      <c r="Y7" s="35">
        <v>5.0000000000000001E-3</v>
      </c>
      <c r="Z7">
        <v>1.4999999999999999E-2</v>
      </c>
      <c r="AC7">
        <v>0.105</v>
      </c>
      <c r="AD7">
        <v>9.9849999999999994</v>
      </c>
      <c r="AN7">
        <v>46.66</v>
      </c>
      <c r="AP7" s="42" t="s">
        <v>468</v>
      </c>
      <c r="AQ7" s="42" t="s">
        <v>472</v>
      </c>
      <c r="AR7" s="42" t="s">
        <v>469</v>
      </c>
      <c r="AS7" s="42" t="s">
        <v>470</v>
      </c>
    </row>
    <row r="8" spans="1:45" ht="14.5" x14ac:dyDescent="0.35">
      <c r="Y8" s="33" t="s">
        <v>475</v>
      </c>
      <c r="AP8" s="42"/>
      <c r="AQ8" s="42"/>
      <c r="AR8" s="42"/>
      <c r="AS8" s="42"/>
    </row>
    <row r="10" spans="1:45" ht="14.5" x14ac:dyDescent="0.35">
      <c r="A10" s="42"/>
      <c r="B10" s="42"/>
      <c r="C10" s="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9"/>
  <sheetViews>
    <sheetView zoomScale="93" zoomScaleNormal="93" workbookViewId="0">
      <pane xSplit="3" ySplit="2" topLeftCell="W3" activePane="bottomRight" state="frozen"/>
      <selection pane="topRight" activeCell="D1" sqref="D1"/>
      <selection pane="bottomLeft" activeCell="A3" sqref="A3"/>
      <selection pane="bottomRight" activeCell="AG18" sqref="AG18"/>
    </sheetView>
  </sheetViews>
  <sheetFormatPr defaultRowHeight="14" x14ac:dyDescent="0.3"/>
  <cols>
    <col min="1" max="1" width="56.33203125" customWidth="1"/>
    <col min="2" max="2" width="20.83203125" customWidth="1"/>
    <col min="3" max="3" width="18.83203125" customWidth="1"/>
  </cols>
  <sheetData>
    <row r="1" spans="1:41" s="24" customFormat="1" x14ac:dyDescent="0.3">
      <c r="D1" s="24" t="s">
        <v>477</v>
      </c>
      <c r="E1" s="24" t="s">
        <v>382</v>
      </c>
      <c r="F1" s="24" t="s">
        <v>383</v>
      </c>
      <c r="G1" s="24" t="s">
        <v>384</v>
      </c>
      <c r="H1" s="24" t="s">
        <v>385</v>
      </c>
      <c r="I1" s="24" t="s">
        <v>386</v>
      </c>
      <c r="J1" s="24" t="s">
        <v>387</v>
      </c>
      <c r="K1" s="24" t="s">
        <v>388</v>
      </c>
      <c r="L1" s="24" t="s">
        <v>389</v>
      </c>
      <c r="M1" s="24" t="s">
        <v>390</v>
      </c>
      <c r="N1" s="24" t="s">
        <v>391</v>
      </c>
      <c r="O1" s="24" t="s">
        <v>392</v>
      </c>
      <c r="P1" s="24" t="s">
        <v>393</v>
      </c>
      <c r="Q1" s="24" t="s">
        <v>394</v>
      </c>
      <c r="R1" s="24" t="s">
        <v>395</v>
      </c>
      <c r="S1" s="24" t="s">
        <v>396</v>
      </c>
      <c r="T1" s="24" t="s">
        <v>397</v>
      </c>
      <c r="U1" s="24" t="s">
        <v>398</v>
      </c>
      <c r="V1" s="45" t="s">
        <v>399</v>
      </c>
      <c r="W1" s="24" t="s">
        <v>400</v>
      </c>
      <c r="X1" s="24" t="s">
        <v>401</v>
      </c>
      <c r="Y1" s="24" t="s">
        <v>402</v>
      </c>
      <c r="Z1" s="24" t="s">
        <v>403</v>
      </c>
      <c r="AA1" s="24" t="s">
        <v>404</v>
      </c>
      <c r="AB1" s="24" t="s">
        <v>405</v>
      </c>
      <c r="AC1" s="24" t="s">
        <v>406</v>
      </c>
      <c r="AD1" s="24" t="s">
        <v>407</v>
      </c>
      <c r="AE1" s="24" t="s">
        <v>408</v>
      </c>
      <c r="AF1" s="24" t="s">
        <v>409</v>
      </c>
      <c r="AG1" s="24" t="s">
        <v>410</v>
      </c>
      <c r="AH1" s="24" t="s">
        <v>411</v>
      </c>
      <c r="AI1" s="24" t="s">
        <v>412</v>
      </c>
      <c r="AJ1" s="24" t="s">
        <v>413</v>
      </c>
      <c r="AK1" s="24" t="s">
        <v>414</v>
      </c>
      <c r="AL1" s="24" t="s">
        <v>415</v>
      </c>
      <c r="AM1" s="24" t="s">
        <v>416</v>
      </c>
      <c r="AN1" s="24" t="s">
        <v>417</v>
      </c>
      <c r="AO1" s="24" t="s">
        <v>418</v>
      </c>
    </row>
    <row r="2" spans="1:41" s="41" customFormat="1" x14ac:dyDescent="0.3">
      <c r="A2" s="24" t="s">
        <v>476</v>
      </c>
      <c r="B2" s="24" t="s">
        <v>105</v>
      </c>
      <c r="C2" s="24" t="s">
        <v>72</v>
      </c>
      <c r="D2" s="41" t="s">
        <v>477</v>
      </c>
      <c r="E2" s="41" t="s">
        <v>420</v>
      </c>
      <c r="F2" s="41" t="s">
        <v>421</v>
      </c>
      <c r="G2" s="41" t="s">
        <v>422</v>
      </c>
      <c r="H2" s="41" t="s">
        <v>423</v>
      </c>
      <c r="I2" s="41" t="s">
        <v>463</v>
      </c>
      <c r="J2" s="41" t="s">
        <v>424</v>
      </c>
      <c r="K2" s="41" t="s">
        <v>425</v>
      </c>
      <c r="L2" s="41" t="s">
        <v>426</v>
      </c>
      <c r="M2" s="41" t="s">
        <v>427</v>
      </c>
      <c r="N2" s="41" t="s">
        <v>428</v>
      </c>
      <c r="O2" s="41" t="s">
        <v>429</v>
      </c>
      <c r="P2" s="41" t="s">
        <v>430</v>
      </c>
      <c r="Q2" s="41" t="s">
        <v>431</v>
      </c>
      <c r="R2" s="41" t="s">
        <v>432</v>
      </c>
      <c r="S2" s="41" t="s">
        <v>433</v>
      </c>
      <c r="T2" s="41" t="s">
        <v>434</v>
      </c>
      <c r="U2" s="41" t="s">
        <v>464</v>
      </c>
      <c r="V2" s="41" t="s">
        <v>465</v>
      </c>
      <c r="W2" s="41" t="s">
        <v>435</v>
      </c>
      <c r="X2" s="41" t="s">
        <v>436</v>
      </c>
      <c r="Y2" s="41" t="s">
        <v>437</v>
      </c>
      <c r="Z2" s="41" t="s">
        <v>438</v>
      </c>
      <c r="AA2" s="41" t="s">
        <v>439</v>
      </c>
      <c r="AB2" s="41" t="s">
        <v>440</v>
      </c>
      <c r="AC2" s="41" t="s">
        <v>441</v>
      </c>
      <c r="AD2" s="41" t="s">
        <v>442</v>
      </c>
      <c r="AE2" s="41" t="s">
        <v>443</v>
      </c>
      <c r="AF2" s="41" t="s">
        <v>444</v>
      </c>
      <c r="AG2" s="41" t="s">
        <v>445</v>
      </c>
      <c r="AH2" s="41" t="s">
        <v>446</v>
      </c>
      <c r="AI2" s="41" t="s">
        <v>447</v>
      </c>
      <c r="AJ2" s="41" t="s">
        <v>448</v>
      </c>
      <c r="AK2" s="41" t="s">
        <v>449</v>
      </c>
      <c r="AL2" s="41" t="s">
        <v>450</v>
      </c>
      <c r="AM2" s="41" t="s">
        <v>451</v>
      </c>
      <c r="AN2" s="41" t="s">
        <v>452</v>
      </c>
    </row>
    <row r="3" spans="1:41" s="41" customFormat="1" x14ac:dyDescent="0.3">
      <c r="A3"/>
      <c r="B3" s="24" t="s">
        <v>611</v>
      </c>
      <c r="C3" s="24" t="str">
        <f>C4</f>
        <v>GW_e</v>
      </c>
      <c r="E3" s="41">
        <f>E18+E19+E20+E21</f>
        <v>126.61260000000001</v>
      </c>
      <c r="F3" s="41">
        <f t="shared" ref="F3:AE3" si="0">F18+F19+F20+F21</f>
        <v>76.918199999999999</v>
      </c>
      <c r="G3" s="41">
        <f t="shared" si="0"/>
        <v>280.81619999999992</v>
      </c>
      <c r="H3" s="41">
        <f t="shared" si="0"/>
        <v>89.127600000000015</v>
      </c>
      <c r="I3" s="41">
        <f t="shared" si="0"/>
        <v>21.975900000000003</v>
      </c>
      <c r="J3" s="41">
        <f t="shared" si="0"/>
        <v>197.68110000000001</v>
      </c>
      <c r="K3" s="41">
        <f t="shared" si="0"/>
        <v>137.98560000000001</v>
      </c>
      <c r="L3" s="41">
        <f t="shared" si="0"/>
        <v>52.076100000000004</v>
      </c>
      <c r="M3" s="41">
        <f t="shared" si="0"/>
        <v>58.777500000000003</v>
      </c>
      <c r="N3" s="41">
        <f t="shared" si="0"/>
        <v>1491.6020999999996</v>
      </c>
      <c r="O3" s="41">
        <f t="shared" si="0"/>
        <v>796.91069999999979</v>
      </c>
      <c r="P3" s="41">
        <f t="shared" si="0"/>
        <v>289.49640000000005</v>
      </c>
      <c r="Q3" s="41">
        <f t="shared" si="0"/>
        <v>297.279</v>
      </c>
      <c r="R3" s="41">
        <f t="shared" si="0"/>
        <v>215.40360000000001</v>
      </c>
      <c r="S3" s="41">
        <f t="shared" si="0"/>
        <v>749.62349999999992</v>
      </c>
      <c r="T3" s="41">
        <f t="shared" si="0"/>
        <v>91.494</v>
      </c>
      <c r="U3" s="41">
        <f t="shared" si="0"/>
        <v>179.28540000000001</v>
      </c>
      <c r="V3" s="41">
        <f t="shared" si="0"/>
        <v>4.8348000000000004</v>
      </c>
      <c r="W3" s="41">
        <f t="shared" si="0"/>
        <v>0.61709999999999998</v>
      </c>
      <c r="X3" s="41">
        <f t="shared" si="0"/>
        <v>96.145200000000003</v>
      </c>
      <c r="Y3" s="41">
        <f t="shared" si="0"/>
        <v>802.19940000000031</v>
      </c>
      <c r="Z3" s="41">
        <f t="shared" si="0"/>
        <v>160.87950000000001</v>
      </c>
      <c r="AA3" s="41">
        <f t="shared" si="0"/>
        <v>713.11259999999993</v>
      </c>
      <c r="AB3" s="41">
        <f t="shared" si="0"/>
        <v>106.68180000000001</v>
      </c>
      <c r="AC3" s="41">
        <f t="shared" si="0"/>
        <v>30.788699999999999</v>
      </c>
      <c r="AD3" s="41">
        <f t="shared" si="0"/>
        <v>1217.9105999999999</v>
      </c>
      <c r="AE3" s="41">
        <f t="shared" si="0"/>
        <v>117.25919999999999</v>
      </c>
      <c r="AF3" s="41">
        <f t="shared" ref="AF3:AO3" si="1">AF18+AF19</f>
        <v>0</v>
      </c>
      <c r="AG3" s="41">
        <f t="shared" si="1"/>
        <v>0</v>
      </c>
      <c r="AH3" s="41">
        <f t="shared" si="1"/>
        <v>0</v>
      </c>
      <c r="AI3" s="41">
        <f t="shared" si="1"/>
        <v>0</v>
      </c>
      <c r="AJ3" s="41">
        <f t="shared" si="1"/>
        <v>0</v>
      </c>
      <c r="AK3" s="41">
        <f t="shared" si="1"/>
        <v>0</v>
      </c>
      <c r="AL3" s="41">
        <f t="shared" si="1"/>
        <v>0</v>
      </c>
      <c r="AM3" s="41">
        <f t="shared" si="1"/>
        <v>0</v>
      </c>
      <c r="AN3" s="41">
        <f t="shared" si="1"/>
        <v>0</v>
      </c>
      <c r="AO3" s="41">
        <f t="shared" si="1"/>
        <v>532.33239000000003</v>
      </c>
    </row>
    <row r="4" spans="1:41" x14ac:dyDescent="0.3">
      <c r="A4" t="s">
        <v>478</v>
      </c>
      <c r="B4" t="s">
        <v>479</v>
      </c>
      <c r="C4" t="s">
        <v>480</v>
      </c>
      <c r="D4">
        <v>83.358411258484253</v>
      </c>
      <c r="E4">
        <v>1.5438895861743553</v>
      </c>
      <c r="F4">
        <v>2.0061911053964536</v>
      </c>
      <c r="G4">
        <v>1.430397091993197</v>
      </c>
      <c r="H4">
        <v>0.75640648329087323</v>
      </c>
      <c r="I4">
        <v>0.17561061338770609</v>
      </c>
      <c r="J4">
        <v>1.8764852663319755</v>
      </c>
      <c r="K4">
        <v>1.1232668441133495</v>
      </c>
      <c r="L4">
        <v>0.2253353406611909</v>
      </c>
      <c r="M4">
        <v>1.1395421038048557</v>
      </c>
      <c r="N4">
        <v>11.628441941998465</v>
      </c>
      <c r="O4">
        <v>13.533729543611649</v>
      </c>
      <c r="P4">
        <v>1.4576820461489599</v>
      </c>
      <c r="Q4">
        <v>1.977552599209548</v>
      </c>
      <c r="R4">
        <v>0.82750930575529846</v>
      </c>
      <c r="S4">
        <v>7.8689475162340514</v>
      </c>
      <c r="T4">
        <v>0.34859776804504233</v>
      </c>
      <c r="U4">
        <v>0.57953864523422804</v>
      </c>
      <c r="V4">
        <v>9.2937947408928065E-2</v>
      </c>
      <c r="W4">
        <v>6.7271030883050212E-2</v>
      </c>
      <c r="X4">
        <v>2.8142542412897211</v>
      </c>
      <c r="Y4">
        <v>6.4625886013605198</v>
      </c>
      <c r="Z4">
        <v>1.6904243882915979</v>
      </c>
      <c r="AA4">
        <v>4.0329261104516307</v>
      </c>
      <c r="AB4">
        <v>0.99469014852355164</v>
      </c>
      <c r="AC4">
        <v>0.32824870395150973</v>
      </c>
      <c r="AD4">
        <v>5.660981659420913</v>
      </c>
      <c r="AE4">
        <v>1.8430602935250202</v>
      </c>
      <c r="AO4">
        <v>10.87190433198661</v>
      </c>
    </row>
    <row r="5" spans="1:41" x14ac:dyDescent="0.3">
      <c r="A5" t="s">
        <v>481</v>
      </c>
      <c r="B5" t="s">
        <v>479</v>
      </c>
      <c r="C5" t="s">
        <v>480</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482</v>
      </c>
      <c r="B6" t="s">
        <v>479</v>
      </c>
      <c r="C6" t="s">
        <v>480</v>
      </c>
      <c r="D6">
        <v>55.572274172322857</v>
      </c>
      <c r="E6">
        <v>1.0292597241162373</v>
      </c>
      <c r="F6">
        <v>1.3374607369309692</v>
      </c>
      <c r="G6">
        <v>0.95359806132879821</v>
      </c>
      <c r="H6">
        <v>0.50427098886058219</v>
      </c>
      <c r="I6">
        <v>0.11707374225847074</v>
      </c>
      <c r="J6">
        <v>1.2509901775546504</v>
      </c>
      <c r="K6">
        <v>0.74884456274223321</v>
      </c>
      <c r="L6">
        <v>0.15022356044079394</v>
      </c>
      <c r="M6">
        <v>0.75969473586990377</v>
      </c>
      <c r="N6">
        <v>7.7522946279989799</v>
      </c>
      <c r="O6">
        <v>9.0224863624077685</v>
      </c>
      <c r="P6">
        <v>0.97178803076597331</v>
      </c>
      <c r="Q6">
        <v>1.318368399473032</v>
      </c>
      <c r="R6">
        <v>0.55167287050353231</v>
      </c>
      <c r="S6">
        <v>5.2459650108227036</v>
      </c>
      <c r="T6">
        <v>0.23239851203002823</v>
      </c>
      <c r="U6">
        <v>0.38635909682281877</v>
      </c>
      <c r="V6">
        <v>6.1958631605952053E-2</v>
      </c>
      <c r="W6">
        <v>4.4847353922033477E-2</v>
      </c>
      <c r="X6">
        <v>1.8761694941931473</v>
      </c>
      <c r="Y6">
        <v>4.3083924009070156</v>
      </c>
      <c r="Z6">
        <v>1.1269495921943988</v>
      </c>
      <c r="AA6">
        <v>2.6886174069677535</v>
      </c>
      <c r="AB6">
        <v>0.66312676568236772</v>
      </c>
      <c r="AC6">
        <v>0.21883246930100647</v>
      </c>
      <c r="AD6">
        <v>3.7739877729472746</v>
      </c>
      <c r="AE6">
        <v>1.2287068623500139</v>
      </c>
      <c r="AO6">
        <v>7.247936221324407</v>
      </c>
    </row>
    <row r="7" spans="1:41" x14ac:dyDescent="0.3">
      <c r="A7" t="s">
        <v>483</v>
      </c>
      <c r="B7" t="s">
        <v>479</v>
      </c>
      <c r="C7" t="s">
        <v>480</v>
      </c>
      <c r="D7">
        <v>87.200833916861399</v>
      </c>
      <c r="E7">
        <v>1.2798160022335257</v>
      </c>
      <c r="F7">
        <v>1.958247991130901</v>
      </c>
      <c r="G7">
        <v>1.1792954073200086</v>
      </c>
      <c r="H7">
        <v>0.58644984052535443</v>
      </c>
      <c r="I7">
        <v>0.15240310339304844</v>
      </c>
      <c r="J7">
        <v>1.8572766904545466</v>
      </c>
      <c r="K7">
        <v>0.77519733594146278</v>
      </c>
      <c r="L7">
        <v>0.31448937233653285</v>
      </c>
      <c r="M7">
        <v>0.81732919656729341</v>
      </c>
      <c r="N7">
        <v>9.6425194428144643</v>
      </c>
      <c r="O7">
        <v>13.3569787992444</v>
      </c>
      <c r="P7">
        <v>2.6000056035248149</v>
      </c>
      <c r="Q7">
        <v>1.2793982777376269</v>
      </c>
      <c r="R7">
        <v>0.61979948915527072</v>
      </c>
      <c r="S7">
        <v>15.43091169930571</v>
      </c>
      <c r="T7">
        <v>0.39765057526478342</v>
      </c>
      <c r="U7">
        <v>0.61339959101737596</v>
      </c>
      <c r="V7">
        <v>8.7425954835887873E-2</v>
      </c>
      <c r="W7">
        <v>6.6296502716772635E-2</v>
      </c>
      <c r="X7">
        <v>2.3243434137349546</v>
      </c>
      <c r="Y7">
        <v>5.4070167533370386</v>
      </c>
      <c r="Z7">
        <v>1.5038137803065155</v>
      </c>
      <c r="AA7">
        <v>2.464176718430211</v>
      </c>
      <c r="AB7">
        <v>0.82124165594303644</v>
      </c>
      <c r="AC7">
        <v>0.32701485596215485</v>
      </c>
      <c r="AD7">
        <v>11.452868056269203</v>
      </c>
      <c r="AE7">
        <v>1.6957770099511236</v>
      </c>
      <c r="AO7">
        <v>8.1896907974073478</v>
      </c>
    </row>
    <row r="8" spans="1:41" x14ac:dyDescent="0.3">
      <c r="A8" t="s">
        <v>484</v>
      </c>
      <c r="B8" t="s">
        <v>479</v>
      </c>
      <c r="C8" t="s">
        <v>480</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485</v>
      </c>
      <c r="B9" t="s">
        <v>479</v>
      </c>
      <c r="C9" t="s">
        <v>480</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486</v>
      </c>
      <c r="B10" t="s">
        <v>479</v>
      </c>
      <c r="C10" t="s">
        <v>480</v>
      </c>
      <c r="D10">
        <v>108.11289204611367</v>
      </c>
      <c r="E10">
        <v>1.8567578688478528</v>
      </c>
      <c r="F10">
        <v>2.4646631721427479</v>
      </c>
      <c r="G10">
        <v>1.632597543798916</v>
      </c>
      <c r="H10">
        <v>0.91585699780051266</v>
      </c>
      <c r="I10">
        <v>0.19693318951799241</v>
      </c>
      <c r="J10">
        <v>2.3125742558503806</v>
      </c>
      <c r="K10">
        <v>1.2570979262211979</v>
      </c>
      <c r="L10">
        <v>0.29483995813715602</v>
      </c>
      <c r="M10">
        <v>1.2435530346198465</v>
      </c>
      <c r="N10">
        <v>13.964080090666435</v>
      </c>
      <c r="O10">
        <v>17.35879322568773</v>
      </c>
      <c r="P10">
        <v>2.2985527010813738</v>
      </c>
      <c r="Q10">
        <v>2.1999404301469809</v>
      </c>
      <c r="R10">
        <v>0.99400145792323502</v>
      </c>
      <c r="S10">
        <v>12.82578716358395</v>
      </c>
      <c r="T10">
        <v>0.44183195444206486</v>
      </c>
      <c r="U10">
        <v>0.67715180394632957</v>
      </c>
      <c r="V10">
        <v>0.11800032910494893</v>
      </c>
      <c r="W10">
        <v>8.9635612146310023E-2</v>
      </c>
      <c r="X10">
        <v>3.5666240829327216</v>
      </c>
      <c r="Y10">
        <v>8.1073683253630655</v>
      </c>
      <c r="Z10">
        <v>2.1277872269559501</v>
      </c>
      <c r="AA10">
        <v>4.4439251125804802</v>
      </c>
      <c r="AB10">
        <v>1.1866147851628663</v>
      </c>
      <c r="AC10">
        <v>0.43537251589405596</v>
      </c>
      <c r="AD10">
        <v>9.3414050076905415</v>
      </c>
      <c r="AE10">
        <v>2.1644739503083947</v>
      </c>
      <c r="AO10">
        <v>13.596672323559623</v>
      </c>
    </row>
    <row r="11" spans="1:41" x14ac:dyDescent="0.3">
      <c r="A11" t="s">
        <v>487</v>
      </c>
      <c r="B11" t="s">
        <v>479</v>
      </c>
      <c r="C11" t="s">
        <v>480</v>
      </c>
      <c r="D11">
        <v>36.898581201562457</v>
      </c>
      <c r="E11">
        <v>0.64110040670683954</v>
      </c>
      <c r="F11">
        <v>0.85732616443558363</v>
      </c>
      <c r="G11">
        <v>0.57733226345360034</v>
      </c>
      <c r="H11">
        <v>0.35056533366033615</v>
      </c>
      <c r="I11">
        <v>6.4011364423870176E-2</v>
      </c>
      <c r="J11">
        <v>0.79708666301517228</v>
      </c>
      <c r="K11">
        <v>0.43616709372027679</v>
      </c>
      <c r="L11">
        <v>9.9322035430094838E-2</v>
      </c>
      <c r="M11">
        <v>0.42638921347386188</v>
      </c>
      <c r="N11">
        <v>4.8320241149632119</v>
      </c>
      <c r="O11">
        <v>6.1175630830695962</v>
      </c>
      <c r="P11">
        <v>0.70250242755399828</v>
      </c>
      <c r="Q11">
        <v>0.7617091813357546</v>
      </c>
      <c r="R11">
        <v>0.380659337953064</v>
      </c>
      <c r="S11">
        <v>3.9551728099915793</v>
      </c>
      <c r="T11">
        <v>0.15564287094596574</v>
      </c>
      <c r="U11">
        <v>0.2199419775695825</v>
      </c>
      <c r="V11">
        <v>4.5991409005466638E-2</v>
      </c>
      <c r="W11">
        <v>2.6191153172469624E-2</v>
      </c>
      <c r="X11">
        <v>1.2268572976680614</v>
      </c>
      <c r="Y11">
        <v>3.0943136775822646</v>
      </c>
      <c r="Z11">
        <v>0.70289634121875322</v>
      </c>
      <c r="AA11">
        <v>1.4827119538049165</v>
      </c>
      <c r="AB11">
        <v>0.43009597842830627</v>
      </c>
      <c r="AC11">
        <v>0.16534094092601809</v>
      </c>
      <c r="AD11">
        <v>2.8312605574398835</v>
      </c>
      <c r="AE11">
        <v>0.74912069351449306</v>
      </c>
      <c r="AO11">
        <v>4.7692848570994411</v>
      </c>
    </row>
    <row r="12" spans="1:41" x14ac:dyDescent="0.3">
      <c r="A12" t="s">
        <v>488</v>
      </c>
      <c r="B12" t="s">
        <v>479</v>
      </c>
      <c r="C12" t="s">
        <v>480</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489</v>
      </c>
      <c r="B13" t="s">
        <v>479</v>
      </c>
      <c r="C13" t="s">
        <v>480</v>
      </c>
      <c r="D13">
        <v>24.599054134374978</v>
      </c>
      <c r="E13">
        <v>0.42740027113789297</v>
      </c>
      <c r="F13">
        <v>0.57155077629038908</v>
      </c>
      <c r="G13">
        <v>0.38488817563573363</v>
      </c>
      <c r="H13">
        <v>0.2337102224402241</v>
      </c>
      <c r="I13">
        <v>4.2674242949246786E-2</v>
      </c>
      <c r="J13">
        <v>0.53139110867678141</v>
      </c>
      <c r="K13">
        <v>0.29077806248018456</v>
      </c>
      <c r="L13">
        <v>6.6214690286729896E-2</v>
      </c>
      <c r="M13">
        <v>0.28425947564924126</v>
      </c>
      <c r="N13">
        <v>3.2213494099754745</v>
      </c>
      <c r="O13">
        <v>4.0783753887130647</v>
      </c>
      <c r="P13">
        <v>0.46833495170266554</v>
      </c>
      <c r="Q13">
        <v>0.50780612089050314</v>
      </c>
      <c r="R13">
        <v>0.25377289196870934</v>
      </c>
      <c r="S13">
        <v>2.63678187332772</v>
      </c>
      <c r="T13">
        <v>0.10376191396397717</v>
      </c>
      <c r="U13">
        <v>0.14662798504638833</v>
      </c>
      <c r="V13">
        <v>3.0660939336977756E-2</v>
      </c>
      <c r="W13">
        <v>1.7460768781646416E-2</v>
      </c>
      <c r="X13">
        <v>0.81790486511204086</v>
      </c>
      <c r="Y13">
        <v>2.0628757850548434</v>
      </c>
      <c r="Z13">
        <v>0.46859756081250226</v>
      </c>
      <c r="AA13">
        <v>0.98847463586994433</v>
      </c>
      <c r="AB13">
        <v>0.28673065228553751</v>
      </c>
      <c r="AC13">
        <v>0.11022729395067873</v>
      </c>
      <c r="AD13">
        <v>1.8875070382932557</v>
      </c>
      <c r="AE13">
        <v>0.49941379567632876</v>
      </c>
      <c r="AO13">
        <v>3.1795232380662939</v>
      </c>
    </row>
    <row r="14" spans="1:41" x14ac:dyDescent="0.3">
      <c r="A14" t="s">
        <v>490</v>
      </c>
      <c r="B14" t="s">
        <v>479</v>
      </c>
      <c r="C14" t="s">
        <v>480</v>
      </c>
      <c r="D14">
        <v>286.98896490104136</v>
      </c>
      <c r="E14">
        <v>4.9863364966087502</v>
      </c>
      <c r="F14">
        <v>6.6680923900545377</v>
      </c>
      <c r="G14">
        <v>4.4903620490835578</v>
      </c>
      <c r="H14">
        <v>2.7266192618026137</v>
      </c>
      <c r="I14">
        <v>0.4978661677412124</v>
      </c>
      <c r="J14">
        <v>6.199562934562449</v>
      </c>
      <c r="K14">
        <v>3.3924107289354857</v>
      </c>
      <c r="L14">
        <v>0.77250472001184867</v>
      </c>
      <c r="M14">
        <v>3.3163605492411472</v>
      </c>
      <c r="N14">
        <v>37.582409783047204</v>
      </c>
      <c r="O14">
        <v>47.581046201652413</v>
      </c>
      <c r="P14">
        <v>5.4639077698644307</v>
      </c>
      <c r="Q14">
        <v>5.9244047437225342</v>
      </c>
      <c r="R14">
        <v>2.9606837396349412</v>
      </c>
      <c r="S14">
        <v>30.762455188823385</v>
      </c>
      <c r="T14">
        <v>1.2105556629130667</v>
      </c>
      <c r="U14">
        <v>1.7106598255411967</v>
      </c>
      <c r="V14">
        <v>0.35771095893140703</v>
      </c>
      <c r="W14">
        <v>0.20370896911920813</v>
      </c>
      <c r="X14">
        <v>9.5422234263071424</v>
      </c>
      <c r="Y14">
        <v>24.066884158973171</v>
      </c>
      <c r="Z14">
        <v>5.4669715428125247</v>
      </c>
      <c r="AA14">
        <v>11.532204085149351</v>
      </c>
      <c r="AB14">
        <v>3.3451909433312705</v>
      </c>
      <c r="AC14">
        <v>1.2859850960912516</v>
      </c>
      <c r="AD14">
        <v>22.020915446754639</v>
      </c>
      <c r="AE14">
        <v>5.8264942828905006</v>
      </c>
      <c r="AO14">
        <v>37.094437777440092</v>
      </c>
    </row>
    <row r="15" spans="1:41" x14ac:dyDescent="0.3">
      <c r="A15" t="s">
        <v>491</v>
      </c>
      <c r="B15" t="s">
        <v>479</v>
      </c>
      <c r="C15" t="s">
        <v>480</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492</v>
      </c>
      <c r="B16" t="s">
        <v>479</v>
      </c>
      <c r="C16" t="s">
        <v>480</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493</v>
      </c>
      <c r="B17" t="s">
        <v>479</v>
      </c>
      <c r="C17" t="s">
        <v>480</v>
      </c>
      <c r="D17">
        <v>66.429096579612903</v>
      </c>
      <c r="E17">
        <v>1.1253721006730093</v>
      </c>
      <c r="F17">
        <v>1.4819983486838395</v>
      </c>
      <c r="G17">
        <v>0.96021265853361182</v>
      </c>
      <c r="H17">
        <v>0.56180824335277457</v>
      </c>
      <c r="I17">
        <v>0.11350439183789066</v>
      </c>
      <c r="J17">
        <v>1.3906826635665346</v>
      </c>
      <c r="K17">
        <v>0.74442411002784692</v>
      </c>
      <c r="L17">
        <v>0.17406903888547956</v>
      </c>
      <c r="M17">
        <v>0.72186571797922094</v>
      </c>
      <c r="N17">
        <v>8.4559775779286213</v>
      </c>
      <c r="O17">
        <v>10.683138371428054</v>
      </c>
      <c r="P17">
        <v>1.4424455609561488</v>
      </c>
      <c r="Q17">
        <v>1.3066716868133645</v>
      </c>
      <c r="R17">
        <v>0.60925942903705976</v>
      </c>
      <c r="S17">
        <v>8.0450690579707871</v>
      </c>
      <c r="T17">
        <v>0.26477320294055867</v>
      </c>
      <c r="U17">
        <v>0.3893904420184845</v>
      </c>
      <c r="V17">
        <v>7.2716892896796892E-2</v>
      </c>
      <c r="W17">
        <v>5.6273837083414088E-2</v>
      </c>
      <c r="X17">
        <v>2.2263382436003529</v>
      </c>
      <c r="Y17">
        <v>5.0293631984388147</v>
      </c>
      <c r="Z17">
        <v>1.3121197653320826</v>
      </c>
      <c r="AA17">
        <v>2.638819818014297</v>
      </c>
      <c r="AB17">
        <v>0.71647319052451297</v>
      </c>
      <c r="AC17">
        <v>0.27265990612027841</v>
      </c>
      <c r="AD17">
        <v>5.8510072036871996</v>
      </c>
      <c r="AE17">
        <v>1.2753541649213249</v>
      </c>
      <c r="AO17">
        <v>8.5073077563605377</v>
      </c>
    </row>
    <row r="18" spans="1:41" x14ac:dyDescent="0.3">
      <c r="A18" t="s">
        <v>494</v>
      </c>
      <c r="B18" t="s">
        <v>495</v>
      </c>
      <c r="C18" t="s">
        <v>480</v>
      </c>
      <c r="D18">
        <v>597.97241330150575</v>
      </c>
      <c r="E18">
        <v>0</v>
      </c>
      <c r="F18">
        <v>0</v>
      </c>
      <c r="G18">
        <v>0</v>
      </c>
      <c r="H18">
        <v>3.3249562721398798E-2</v>
      </c>
      <c r="I18">
        <v>2.4617548390085626</v>
      </c>
      <c r="J18">
        <v>0</v>
      </c>
      <c r="K18">
        <v>0</v>
      </c>
      <c r="L18">
        <v>0</v>
      </c>
      <c r="M18">
        <v>0</v>
      </c>
      <c r="N18">
        <v>14.612371006443022</v>
      </c>
      <c r="O18">
        <v>0</v>
      </c>
      <c r="P18">
        <v>7.125143151826026</v>
      </c>
      <c r="Q18">
        <v>0</v>
      </c>
      <c r="R18">
        <v>0</v>
      </c>
      <c r="S18">
        <v>19.159976396794285</v>
      </c>
      <c r="T18">
        <v>0</v>
      </c>
      <c r="U18">
        <v>0</v>
      </c>
      <c r="V18">
        <v>0</v>
      </c>
      <c r="W18">
        <v>0.2142</v>
      </c>
      <c r="X18">
        <v>0</v>
      </c>
      <c r="Y18">
        <v>0</v>
      </c>
      <c r="Z18">
        <v>71.052689460401609</v>
      </c>
      <c r="AA18">
        <v>0</v>
      </c>
      <c r="AB18">
        <v>0</v>
      </c>
      <c r="AC18">
        <v>0</v>
      </c>
      <c r="AD18">
        <v>483.31302888431088</v>
      </c>
      <c r="AE18">
        <v>0</v>
      </c>
      <c r="AO18">
        <v>0</v>
      </c>
    </row>
    <row r="19" spans="1:41" x14ac:dyDescent="0.3">
      <c r="A19" t="s">
        <v>496</v>
      </c>
      <c r="B19" t="s">
        <v>497</v>
      </c>
      <c r="C19" t="s">
        <v>480</v>
      </c>
      <c r="D19">
        <v>7866.8325071422569</v>
      </c>
      <c r="E19">
        <v>125.88585000000002</v>
      </c>
      <c r="F19">
        <v>67.636709999999994</v>
      </c>
      <c r="G19">
        <v>268.18299338386538</v>
      </c>
      <c r="H19">
        <v>77.149680269825197</v>
      </c>
      <c r="I19">
        <v>4.3819236134352426</v>
      </c>
      <c r="J19">
        <v>193.9781273533394</v>
      </c>
      <c r="K19">
        <v>133.70108999999999</v>
      </c>
      <c r="L19">
        <v>52.076100000000004</v>
      </c>
      <c r="M19">
        <v>58.777500000000003</v>
      </c>
      <c r="N19">
        <v>1399.818693975579</v>
      </c>
      <c r="O19">
        <v>727.66187999999977</v>
      </c>
      <c r="P19">
        <v>196.86116792743283</v>
      </c>
      <c r="Q19">
        <v>267.08281387320216</v>
      </c>
      <c r="R19">
        <v>215.40360000000001</v>
      </c>
      <c r="S19">
        <v>667.32574213817838</v>
      </c>
      <c r="T19">
        <v>91.494</v>
      </c>
      <c r="U19">
        <v>153.38425523741006</v>
      </c>
      <c r="V19">
        <v>4.8348000000000004</v>
      </c>
      <c r="W19">
        <v>0.40290000000000004</v>
      </c>
      <c r="X19">
        <v>89.050080000000008</v>
      </c>
      <c r="Y19">
        <v>787.98955822288633</v>
      </c>
      <c r="Z19">
        <v>82.722448760333023</v>
      </c>
      <c r="AA19">
        <v>712.0355108660433</v>
      </c>
      <c r="AB19">
        <v>106.68180000000001</v>
      </c>
      <c r="AC19">
        <v>30.788699999999999</v>
      </c>
      <c r="AD19">
        <v>702.73568988448028</v>
      </c>
      <c r="AE19">
        <v>116.45650163624637</v>
      </c>
      <c r="AO19">
        <v>532.33239000000003</v>
      </c>
    </row>
    <row r="20" spans="1:41" x14ac:dyDescent="0.3">
      <c r="A20" t="s">
        <v>498</v>
      </c>
      <c r="B20" t="s">
        <v>495</v>
      </c>
      <c r="C20" t="s">
        <v>480</v>
      </c>
      <c r="D20">
        <v>25.568886698494342</v>
      </c>
      <c r="E20">
        <v>0</v>
      </c>
      <c r="F20">
        <v>0</v>
      </c>
      <c r="G20">
        <v>0</v>
      </c>
      <c r="H20">
        <v>2.2850437278601209E-2</v>
      </c>
      <c r="I20">
        <v>5.4432451609914363</v>
      </c>
      <c r="J20">
        <v>0</v>
      </c>
      <c r="K20">
        <v>0</v>
      </c>
      <c r="L20">
        <v>0</v>
      </c>
      <c r="M20">
        <v>0</v>
      </c>
      <c r="N20">
        <v>0.47342899355697626</v>
      </c>
      <c r="O20">
        <v>0</v>
      </c>
      <c r="P20">
        <v>2.4730568481739739</v>
      </c>
      <c r="Q20">
        <v>0</v>
      </c>
      <c r="R20">
        <v>0</v>
      </c>
      <c r="S20">
        <v>2.2345236032057194</v>
      </c>
      <c r="T20">
        <v>0</v>
      </c>
      <c r="U20">
        <v>0</v>
      </c>
      <c r="V20">
        <v>0</v>
      </c>
      <c r="W20">
        <v>0</v>
      </c>
      <c r="X20">
        <v>0</v>
      </c>
      <c r="Y20">
        <v>0</v>
      </c>
      <c r="Z20">
        <v>2.0864105395983961</v>
      </c>
      <c r="AA20">
        <v>0</v>
      </c>
      <c r="AB20">
        <v>0</v>
      </c>
      <c r="AC20">
        <v>0</v>
      </c>
      <c r="AD20">
        <v>12.835371115689238</v>
      </c>
      <c r="AE20">
        <v>0</v>
      </c>
      <c r="AO20">
        <v>0</v>
      </c>
    </row>
    <row r="21" spans="1:41" x14ac:dyDescent="0.3">
      <c r="A21" t="s">
        <v>499</v>
      </c>
      <c r="B21" t="s">
        <v>497</v>
      </c>
      <c r="C21" t="s">
        <v>480</v>
      </c>
      <c r="D21">
        <v>458.14739285774277</v>
      </c>
      <c r="E21">
        <v>0.72675000000000001</v>
      </c>
      <c r="F21">
        <v>9.2814899999999998</v>
      </c>
      <c r="G21">
        <v>12.63320661613457</v>
      </c>
      <c r="H21">
        <v>11.921819730174821</v>
      </c>
      <c r="I21">
        <v>9.6889763865647591</v>
      </c>
      <c r="J21">
        <v>3.7029726466605997</v>
      </c>
      <c r="K21">
        <v>4.2845100000000018</v>
      </c>
      <c r="L21">
        <v>0</v>
      </c>
      <c r="M21">
        <v>0</v>
      </c>
      <c r="N21">
        <v>76.697606024420594</v>
      </c>
      <c r="O21">
        <v>69.248819999999995</v>
      </c>
      <c r="P21">
        <v>83.037032072567214</v>
      </c>
      <c r="Q21">
        <v>30.196186126797837</v>
      </c>
      <c r="R21">
        <v>0</v>
      </c>
      <c r="S21">
        <v>60.903257861821587</v>
      </c>
      <c r="T21">
        <v>0</v>
      </c>
      <c r="U21">
        <v>25.901144762589947</v>
      </c>
      <c r="V21">
        <v>0</v>
      </c>
      <c r="W21">
        <v>0</v>
      </c>
      <c r="X21">
        <v>7.0951199999999988</v>
      </c>
      <c r="Y21">
        <v>14.209841777113983</v>
      </c>
      <c r="Z21">
        <v>5.017951239666977</v>
      </c>
      <c r="AA21">
        <v>1.0770891339566424</v>
      </c>
      <c r="AB21">
        <v>0</v>
      </c>
      <c r="AC21">
        <v>0</v>
      </c>
      <c r="AD21">
        <v>19.02651011551966</v>
      </c>
      <c r="AE21">
        <v>0.80269836375362236</v>
      </c>
      <c r="AO21">
        <v>12.694409999999998</v>
      </c>
    </row>
    <row r="23" spans="1:41" ht="14.5" x14ac:dyDescent="0.35">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O23" s="42">
        <v>693.11897692247533</v>
      </c>
    </row>
    <row r="24" spans="1:41" ht="14.5" x14ac:dyDescent="0.35">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O24" s="42">
        <v>9.578506160269859E-2</v>
      </c>
    </row>
    <row r="26" spans="1:41" ht="14.5" x14ac:dyDescent="0.35">
      <c r="A26" s="42"/>
    </row>
    <row r="27" spans="1:41" ht="14.5" x14ac:dyDescent="0.35">
      <c r="A27" s="42"/>
    </row>
    <row r="28" spans="1:41" ht="14.5" x14ac:dyDescent="0.35">
      <c r="A28" s="42"/>
    </row>
    <row r="29" spans="1:41" ht="14.5" x14ac:dyDescent="0.35">
      <c r="A29" s="42"/>
      <c r="B29" s="43"/>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4" customFormat="1" ht="14.15" customHeight="1" x14ac:dyDescent="0.3">
      <c r="A1" s="47" t="s">
        <v>500</v>
      </c>
      <c r="B1" s="47" t="s">
        <v>501</v>
      </c>
      <c r="C1" s="47" t="s">
        <v>502</v>
      </c>
      <c r="D1" s="47" t="s">
        <v>503</v>
      </c>
      <c r="E1" s="47" t="s">
        <v>72</v>
      </c>
      <c r="F1" s="74" t="s">
        <v>504</v>
      </c>
      <c r="G1" s="74"/>
      <c r="H1" s="72" t="s">
        <v>505</v>
      </c>
      <c r="I1" s="72"/>
      <c r="J1" s="72" t="s">
        <v>506</v>
      </c>
      <c r="K1" s="72"/>
      <c r="L1" s="72" t="s">
        <v>507</v>
      </c>
      <c r="M1" s="72"/>
      <c r="N1" s="72" t="s">
        <v>508</v>
      </c>
      <c r="O1" s="72"/>
    </row>
    <row r="2" spans="1:15" s="41" customFormat="1" x14ac:dyDescent="0.3">
      <c r="A2" s="48" t="s">
        <v>509</v>
      </c>
      <c r="B2" s="48" t="s">
        <v>509</v>
      </c>
      <c r="C2" s="48"/>
      <c r="D2" s="48"/>
      <c r="E2" s="48"/>
      <c r="F2" s="49" t="s">
        <v>510</v>
      </c>
      <c r="G2" s="50" t="s">
        <v>511</v>
      </c>
      <c r="H2" s="49" t="s">
        <v>510</v>
      </c>
      <c r="I2" s="50" t="s">
        <v>511</v>
      </c>
      <c r="J2" s="49" t="s">
        <v>510</v>
      </c>
      <c r="K2" s="50" t="s">
        <v>511</v>
      </c>
      <c r="L2" s="49" t="s">
        <v>510</v>
      </c>
      <c r="M2" s="50" t="s">
        <v>511</v>
      </c>
      <c r="N2" s="49" t="s">
        <v>510</v>
      </c>
      <c r="O2" s="50" t="s">
        <v>511</v>
      </c>
    </row>
    <row r="3" spans="1:15" x14ac:dyDescent="0.3">
      <c r="A3" t="s">
        <v>512</v>
      </c>
      <c r="B3" t="s">
        <v>513</v>
      </c>
      <c r="C3" t="s">
        <v>514</v>
      </c>
      <c r="D3" t="s">
        <v>393</v>
      </c>
      <c r="E3" t="s">
        <v>360</v>
      </c>
      <c r="F3">
        <v>250</v>
      </c>
      <c r="G3">
        <v>250</v>
      </c>
      <c r="H3">
        <v>250</v>
      </c>
      <c r="I3">
        <v>250</v>
      </c>
      <c r="J3">
        <v>350</v>
      </c>
      <c r="K3">
        <v>350</v>
      </c>
      <c r="L3">
        <v>350</v>
      </c>
      <c r="M3">
        <v>350</v>
      </c>
      <c r="N3">
        <v>350</v>
      </c>
      <c r="O3">
        <v>350</v>
      </c>
    </row>
    <row r="4" spans="1:15" x14ac:dyDescent="0.3">
      <c r="A4" t="s">
        <v>512</v>
      </c>
      <c r="B4" t="s">
        <v>446</v>
      </c>
      <c r="C4" t="s">
        <v>514</v>
      </c>
      <c r="D4" t="s">
        <v>411</v>
      </c>
      <c r="E4" t="s">
        <v>360</v>
      </c>
      <c r="F4">
        <v>350</v>
      </c>
      <c r="G4">
        <v>350</v>
      </c>
      <c r="H4">
        <v>400</v>
      </c>
      <c r="I4">
        <v>400</v>
      </c>
      <c r="J4">
        <v>900</v>
      </c>
      <c r="K4">
        <v>900</v>
      </c>
      <c r="L4">
        <v>400</v>
      </c>
      <c r="M4">
        <v>400</v>
      </c>
      <c r="N4">
        <v>400</v>
      </c>
      <c r="O4">
        <v>400</v>
      </c>
    </row>
    <row r="5" spans="1:15" x14ac:dyDescent="0.3">
      <c r="A5" t="s">
        <v>512</v>
      </c>
      <c r="B5" t="s">
        <v>448</v>
      </c>
      <c r="C5" t="s">
        <v>514</v>
      </c>
      <c r="D5" t="s">
        <v>413</v>
      </c>
      <c r="E5" t="s">
        <v>360</v>
      </c>
      <c r="F5">
        <v>500</v>
      </c>
      <c r="G5">
        <v>500</v>
      </c>
      <c r="H5">
        <v>500</v>
      </c>
      <c r="I5">
        <v>500</v>
      </c>
      <c r="J5">
        <v>500</v>
      </c>
      <c r="K5">
        <v>500</v>
      </c>
      <c r="L5">
        <v>500</v>
      </c>
      <c r="M5">
        <v>500</v>
      </c>
      <c r="N5">
        <v>1000</v>
      </c>
      <c r="O5">
        <v>1000</v>
      </c>
    </row>
    <row r="6" spans="1:15" x14ac:dyDescent="0.3">
      <c r="A6" t="s">
        <v>512</v>
      </c>
      <c r="B6" t="s">
        <v>450</v>
      </c>
      <c r="C6" t="s">
        <v>514</v>
      </c>
      <c r="D6" t="s">
        <v>415</v>
      </c>
      <c r="E6" t="s">
        <v>360</v>
      </c>
      <c r="F6">
        <v>650</v>
      </c>
      <c r="G6">
        <v>500</v>
      </c>
      <c r="H6">
        <v>500</v>
      </c>
      <c r="I6">
        <v>500</v>
      </c>
      <c r="J6">
        <v>1260</v>
      </c>
      <c r="K6">
        <v>830</v>
      </c>
      <c r="L6">
        <v>760</v>
      </c>
      <c r="M6">
        <v>330</v>
      </c>
      <c r="N6">
        <v>1760</v>
      </c>
      <c r="O6">
        <v>1330</v>
      </c>
    </row>
    <row r="7" spans="1:15" x14ac:dyDescent="0.3">
      <c r="A7" t="s">
        <v>420</v>
      </c>
      <c r="B7" t="s">
        <v>444</v>
      </c>
      <c r="C7" t="s">
        <v>382</v>
      </c>
      <c r="D7" t="s">
        <v>409</v>
      </c>
      <c r="E7" t="s">
        <v>360</v>
      </c>
      <c r="F7">
        <v>1200</v>
      </c>
      <c r="G7">
        <v>1200</v>
      </c>
      <c r="H7">
        <v>1700</v>
      </c>
      <c r="I7">
        <v>1700</v>
      </c>
      <c r="J7">
        <v>1700</v>
      </c>
      <c r="K7">
        <v>1700</v>
      </c>
      <c r="L7">
        <v>1700</v>
      </c>
      <c r="M7">
        <v>1700</v>
      </c>
      <c r="N7">
        <v>1700</v>
      </c>
      <c r="O7">
        <v>1700</v>
      </c>
    </row>
    <row r="8" spans="1:15" x14ac:dyDescent="0.3">
      <c r="A8" t="s">
        <v>420</v>
      </c>
      <c r="B8" t="s">
        <v>424</v>
      </c>
      <c r="C8" t="s">
        <v>382</v>
      </c>
      <c r="D8" t="s">
        <v>387</v>
      </c>
      <c r="E8" t="s">
        <v>360</v>
      </c>
      <c r="F8">
        <v>900</v>
      </c>
      <c r="G8">
        <v>800</v>
      </c>
      <c r="H8">
        <v>1000</v>
      </c>
      <c r="I8">
        <v>1200</v>
      </c>
      <c r="J8">
        <v>1000</v>
      </c>
      <c r="K8">
        <v>1200</v>
      </c>
      <c r="L8">
        <v>1000</v>
      </c>
      <c r="M8">
        <v>1200</v>
      </c>
      <c r="N8">
        <v>1000</v>
      </c>
      <c r="O8">
        <v>1200</v>
      </c>
    </row>
    <row r="9" spans="1:15" x14ac:dyDescent="0.3">
      <c r="A9" t="s">
        <v>420</v>
      </c>
      <c r="B9" t="s">
        <v>429</v>
      </c>
      <c r="C9" t="s">
        <v>382</v>
      </c>
      <c r="D9" t="s">
        <v>392</v>
      </c>
      <c r="E9" t="s">
        <v>360</v>
      </c>
      <c r="F9">
        <v>5000</v>
      </c>
      <c r="G9">
        <v>5000</v>
      </c>
      <c r="H9">
        <v>7500</v>
      </c>
      <c r="I9">
        <v>7500</v>
      </c>
      <c r="J9">
        <v>7500</v>
      </c>
      <c r="K9">
        <v>7500</v>
      </c>
      <c r="L9">
        <v>7500</v>
      </c>
      <c r="M9">
        <v>7500</v>
      </c>
      <c r="N9">
        <v>7500</v>
      </c>
      <c r="O9">
        <v>7500</v>
      </c>
    </row>
    <row r="10" spans="1:15" x14ac:dyDescent="0.3">
      <c r="A10" t="s">
        <v>420</v>
      </c>
      <c r="B10" t="s">
        <v>431</v>
      </c>
      <c r="C10" t="s">
        <v>382</v>
      </c>
      <c r="D10" t="s">
        <v>459</v>
      </c>
      <c r="E10" t="s">
        <v>360</v>
      </c>
      <c r="F10">
        <v>800</v>
      </c>
      <c r="G10">
        <v>800</v>
      </c>
      <c r="H10">
        <v>1200</v>
      </c>
      <c r="I10">
        <v>800</v>
      </c>
      <c r="J10">
        <v>1200</v>
      </c>
      <c r="K10">
        <v>800</v>
      </c>
      <c r="L10">
        <v>1200</v>
      </c>
      <c r="M10">
        <v>800</v>
      </c>
      <c r="N10">
        <v>1200</v>
      </c>
      <c r="O10">
        <v>800</v>
      </c>
    </row>
    <row r="11" spans="1:15" x14ac:dyDescent="0.3">
      <c r="A11" t="s">
        <v>420</v>
      </c>
      <c r="B11" t="s">
        <v>515</v>
      </c>
      <c r="C11" t="s">
        <v>382</v>
      </c>
      <c r="D11" t="s">
        <v>396</v>
      </c>
      <c r="E11" t="s">
        <v>360</v>
      </c>
      <c r="F11">
        <v>405</v>
      </c>
      <c r="G11">
        <v>235</v>
      </c>
      <c r="H11">
        <v>1050</v>
      </c>
      <c r="I11">
        <v>850</v>
      </c>
      <c r="J11">
        <v>1605</v>
      </c>
      <c r="K11">
        <v>1335</v>
      </c>
      <c r="L11">
        <v>1605</v>
      </c>
      <c r="M11">
        <v>1335</v>
      </c>
      <c r="N11">
        <v>1605</v>
      </c>
      <c r="O11">
        <v>1335</v>
      </c>
    </row>
    <row r="12" spans="1:15" x14ac:dyDescent="0.3">
      <c r="A12" t="s">
        <v>420</v>
      </c>
      <c r="B12" t="s">
        <v>441</v>
      </c>
      <c r="C12" t="s">
        <v>382</v>
      </c>
      <c r="D12" t="s">
        <v>406</v>
      </c>
      <c r="E12" t="s">
        <v>360</v>
      </c>
      <c r="F12">
        <v>950</v>
      </c>
      <c r="G12">
        <v>950</v>
      </c>
      <c r="H12">
        <v>1200</v>
      </c>
      <c r="I12">
        <v>1200</v>
      </c>
      <c r="J12">
        <v>2200</v>
      </c>
      <c r="K12">
        <v>2200</v>
      </c>
      <c r="L12">
        <v>2200</v>
      </c>
      <c r="M12">
        <v>2200</v>
      </c>
      <c r="N12">
        <v>2700</v>
      </c>
      <c r="O12">
        <v>2700</v>
      </c>
    </row>
    <row r="13" spans="1:15" x14ac:dyDescent="0.3">
      <c r="A13" t="s">
        <v>516</v>
      </c>
      <c r="B13" t="s">
        <v>423</v>
      </c>
      <c r="C13" t="s">
        <v>517</v>
      </c>
      <c r="D13" t="s">
        <v>385</v>
      </c>
      <c r="E13" t="s">
        <v>360</v>
      </c>
      <c r="F13">
        <v>750</v>
      </c>
      <c r="G13">
        <v>700</v>
      </c>
      <c r="H13">
        <v>1250</v>
      </c>
      <c r="I13">
        <v>1250</v>
      </c>
      <c r="J13">
        <v>1844</v>
      </c>
      <c r="K13">
        <v>1812</v>
      </c>
      <c r="L13">
        <v>1844</v>
      </c>
      <c r="M13">
        <v>1812</v>
      </c>
      <c r="N13">
        <v>2344</v>
      </c>
      <c r="O13">
        <v>2312</v>
      </c>
    </row>
    <row r="14" spans="1:15" x14ac:dyDescent="0.3">
      <c r="A14" t="s">
        <v>516</v>
      </c>
      <c r="B14" t="s">
        <v>446</v>
      </c>
      <c r="C14" t="s">
        <v>517</v>
      </c>
      <c r="D14" t="s">
        <v>411</v>
      </c>
      <c r="E14" t="s">
        <v>360</v>
      </c>
      <c r="F14">
        <v>500</v>
      </c>
      <c r="G14">
        <v>400</v>
      </c>
      <c r="H14">
        <v>800</v>
      </c>
      <c r="I14">
        <v>750</v>
      </c>
      <c r="J14">
        <v>500</v>
      </c>
      <c r="K14">
        <v>400</v>
      </c>
      <c r="L14">
        <v>500</v>
      </c>
      <c r="M14">
        <v>400</v>
      </c>
      <c r="N14">
        <v>500</v>
      </c>
      <c r="O14">
        <v>400</v>
      </c>
    </row>
    <row r="15" spans="1:15" x14ac:dyDescent="0.3">
      <c r="A15" t="s">
        <v>516</v>
      </c>
      <c r="B15" t="s">
        <v>450</v>
      </c>
      <c r="C15" t="s">
        <v>517</v>
      </c>
      <c r="D15" t="s">
        <v>415</v>
      </c>
      <c r="E15" t="s">
        <v>360</v>
      </c>
      <c r="F15">
        <v>600</v>
      </c>
      <c r="G15">
        <v>600</v>
      </c>
      <c r="H15">
        <v>1100</v>
      </c>
      <c r="I15">
        <v>1200</v>
      </c>
      <c r="J15">
        <v>1100</v>
      </c>
      <c r="K15">
        <v>1200</v>
      </c>
      <c r="L15">
        <v>1100</v>
      </c>
      <c r="M15">
        <v>1200</v>
      </c>
      <c r="N15">
        <v>1100</v>
      </c>
      <c r="O15">
        <v>1200</v>
      </c>
    </row>
    <row r="16" spans="1:15" x14ac:dyDescent="0.3">
      <c r="A16" t="s">
        <v>421</v>
      </c>
      <c r="B16" t="s">
        <v>429</v>
      </c>
      <c r="C16" t="s">
        <v>383</v>
      </c>
      <c r="D16" t="s">
        <v>392</v>
      </c>
      <c r="E16" t="s">
        <v>360</v>
      </c>
      <c r="F16">
        <v>1000</v>
      </c>
      <c r="G16">
        <v>1000</v>
      </c>
      <c r="H16">
        <v>1000</v>
      </c>
      <c r="I16">
        <v>1000</v>
      </c>
      <c r="J16">
        <v>1000</v>
      </c>
      <c r="K16">
        <v>1000</v>
      </c>
      <c r="L16">
        <v>2000</v>
      </c>
      <c r="M16">
        <v>2000</v>
      </c>
      <c r="N16">
        <v>2000</v>
      </c>
      <c r="O16">
        <v>2000</v>
      </c>
    </row>
    <row r="17" spans="1:15" x14ac:dyDescent="0.3">
      <c r="A17" t="s">
        <v>421</v>
      </c>
      <c r="B17" t="s">
        <v>428</v>
      </c>
      <c r="C17" t="s">
        <v>383</v>
      </c>
      <c r="D17" t="s">
        <v>391</v>
      </c>
      <c r="E17" t="s">
        <v>360</v>
      </c>
      <c r="F17">
        <v>1800</v>
      </c>
      <c r="G17">
        <v>3300</v>
      </c>
      <c r="H17">
        <v>2800</v>
      </c>
      <c r="I17">
        <v>4300</v>
      </c>
      <c r="J17">
        <v>4300</v>
      </c>
      <c r="K17">
        <v>5800</v>
      </c>
      <c r="L17">
        <v>3800</v>
      </c>
      <c r="M17">
        <v>5300</v>
      </c>
      <c r="N17">
        <v>4300</v>
      </c>
      <c r="O17">
        <v>5800</v>
      </c>
    </row>
    <row r="18" spans="1:15" x14ac:dyDescent="0.3">
      <c r="A18" t="s">
        <v>421</v>
      </c>
      <c r="B18" t="s">
        <v>518</v>
      </c>
      <c r="C18" t="s">
        <v>383</v>
      </c>
      <c r="D18" t="s">
        <v>519</v>
      </c>
      <c r="E18" t="s">
        <v>360</v>
      </c>
      <c r="F18">
        <v>1000</v>
      </c>
      <c r="G18">
        <v>1000</v>
      </c>
      <c r="H18">
        <v>1000</v>
      </c>
      <c r="I18">
        <v>1000</v>
      </c>
      <c r="J18">
        <v>2500</v>
      </c>
      <c r="K18">
        <v>2500</v>
      </c>
      <c r="L18">
        <v>2000</v>
      </c>
      <c r="M18">
        <v>2000</v>
      </c>
      <c r="N18">
        <v>2000</v>
      </c>
      <c r="O18">
        <v>2000</v>
      </c>
    </row>
    <row r="19" spans="1:15" x14ac:dyDescent="0.3">
      <c r="A19" t="s">
        <v>421</v>
      </c>
      <c r="B19" t="s">
        <v>520</v>
      </c>
      <c r="C19" t="s">
        <v>383</v>
      </c>
      <c r="D19" t="s">
        <v>399</v>
      </c>
      <c r="E19" t="s">
        <v>360</v>
      </c>
      <c r="F19">
        <v>380</v>
      </c>
      <c r="G19">
        <v>0</v>
      </c>
      <c r="H19">
        <v>380</v>
      </c>
      <c r="I19">
        <v>0</v>
      </c>
      <c r="J19">
        <v>380</v>
      </c>
      <c r="K19">
        <v>0</v>
      </c>
      <c r="L19">
        <v>380</v>
      </c>
      <c r="M19">
        <v>0</v>
      </c>
      <c r="N19">
        <v>380</v>
      </c>
      <c r="O19">
        <v>0</v>
      </c>
    </row>
    <row r="20" spans="1:15" x14ac:dyDescent="0.3">
      <c r="A20" t="s">
        <v>421</v>
      </c>
      <c r="B20" t="s">
        <v>521</v>
      </c>
      <c r="C20" t="s">
        <v>383</v>
      </c>
      <c r="D20" t="s">
        <v>399</v>
      </c>
      <c r="E20" t="s">
        <v>360</v>
      </c>
      <c r="F20">
        <v>300</v>
      </c>
      <c r="G20">
        <v>180</v>
      </c>
      <c r="H20">
        <v>300</v>
      </c>
      <c r="I20">
        <v>180</v>
      </c>
      <c r="J20">
        <v>300</v>
      </c>
      <c r="K20">
        <v>180</v>
      </c>
      <c r="L20">
        <v>300</v>
      </c>
      <c r="M20">
        <v>180</v>
      </c>
      <c r="N20">
        <v>800</v>
      </c>
      <c r="O20">
        <v>680</v>
      </c>
    </row>
    <row r="21" spans="1:15" x14ac:dyDescent="0.3">
      <c r="A21" t="s">
        <v>421</v>
      </c>
      <c r="B21" t="s">
        <v>436</v>
      </c>
      <c r="C21" t="s">
        <v>383</v>
      </c>
      <c r="D21" t="s">
        <v>401</v>
      </c>
      <c r="E21" t="s">
        <v>360</v>
      </c>
      <c r="F21">
        <v>2400</v>
      </c>
      <c r="G21">
        <v>1400</v>
      </c>
      <c r="H21">
        <v>3400</v>
      </c>
      <c r="I21">
        <v>3400</v>
      </c>
      <c r="J21">
        <v>4900</v>
      </c>
      <c r="K21">
        <v>4900</v>
      </c>
      <c r="L21">
        <v>4400</v>
      </c>
      <c r="M21">
        <v>4400</v>
      </c>
      <c r="N21">
        <v>4900</v>
      </c>
      <c r="O21">
        <v>4900</v>
      </c>
    </row>
    <row r="22" spans="1:15" x14ac:dyDescent="0.3">
      <c r="A22" t="s">
        <v>422</v>
      </c>
      <c r="B22" t="s">
        <v>513</v>
      </c>
      <c r="C22" t="s">
        <v>384</v>
      </c>
      <c r="D22" t="s">
        <v>393</v>
      </c>
      <c r="E22" t="s">
        <v>360</v>
      </c>
      <c r="F22">
        <v>600</v>
      </c>
      <c r="G22">
        <v>400</v>
      </c>
      <c r="H22">
        <v>1350</v>
      </c>
      <c r="I22">
        <v>800</v>
      </c>
      <c r="J22">
        <v>1728</v>
      </c>
      <c r="K22">
        <v>1032</v>
      </c>
      <c r="L22">
        <v>3228</v>
      </c>
      <c r="M22">
        <v>2532</v>
      </c>
      <c r="N22">
        <v>3228</v>
      </c>
      <c r="O22">
        <v>2532</v>
      </c>
    </row>
    <row r="23" spans="1:15" x14ac:dyDescent="0.3">
      <c r="A23" t="s">
        <v>422</v>
      </c>
      <c r="B23" t="s">
        <v>448</v>
      </c>
      <c r="C23" t="s">
        <v>384</v>
      </c>
      <c r="D23" t="s">
        <v>413</v>
      </c>
      <c r="E23" t="s">
        <v>360</v>
      </c>
      <c r="F23">
        <v>400</v>
      </c>
      <c r="G23">
        <v>100</v>
      </c>
      <c r="H23">
        <v>500</v>
      </c>
      <c r="I23">
        <v>500</v>
      </c>
      <c r="J23">
        <v>400</v>
      </c>
      <c r="K23">
        <v>100</v>
      </c>
      <c r="L23">
        <v>400</v>
      </c>
      <c r="M23">
        <v>100</v>
      </c>
      <c r="N23">
        <v>900</v>
      </c>
      <c r="O23">
        <v>600</v>
      </c>
    </row>
    <row r="24" spans="1:15" x14ac:dyDescent="0.3">
      <c r="A24" t="s">
        <v>422</v>
      </c>
      <c r="B24" t="s">
        <v>439</v>
      </c>
      <c r="C24" t="s">
        <v>384</v>
      </c>
      <c r="D24" t="s">
        <v>404</v>
      </c>
      <c r="E24" t="s">
        <v>360</v>
      </c>
      <c r="F24">
        <v>300</v>
      </c>
      <c r="G24">
        <v>300</v>
      </c>
      <c r="H24">
        <v>1100</v>
      </c>
      <c r="I24">
        <v>1500</v>
      </c>
      <c r="J24">
        <v>1400</v>
      </c>
      <c r="K24">
        <v>1500</v>
      </c>
      <c r="L24">
        <v>1400</v>
      </c>
      <c r="M24">
        <v>1500</v>
      </c>
      <c r="N24">
        <v>1400</v>
      </c>
      <c r="O24">
        <v>1500</v>
      </c>
    </row>
    <row r="25" spans="1:15" x14ac:dyDescent="0.3">
      <c r="A25" t="s">
        <v>422</v>
      </c>
      <c r="B25" t="s">
        <v>450</v>
      </c>
      <c r="C25" t="s">
        <v>384</v>
      </c>
      <c r="D25" t="s">
        <v>415</v>
      </c>
      <c r="E25" t="s">
        <v>360</v>
      </c>
      <c r="F25">
        <v>500</v>
      </c>
      <c r="G25">
        <v>200</v>
      </c>
      <c r="H25">
        <v>350</v>
      </c>
      <c r="I25">
        <v>200</v>
      </c>
      <c r="J25">
        <v>1600</v>
      </c>
      <c r="K25">
        <v>1350</v>
      </c>
      <c r="L25">
        <v>2100</v>
      </c>
      <c r="M25">
        <v>1850</v>
      </c>
      <c r="N25">
        <v>2100</v>
      </c>
      <c r="O25">
        <v>1850</v>
      </c>
    </row>
    <row r="26" spans="1:15" x14ac:dyDescent="0.3">
      <c r="A26" t="s">
        <v>422</v>
      </c>
      <c r="B26" t="s">
        <v>522</v>
      </c>
      <c r="C26" t="s">
        <v>384</v>
      </c>
      <c r="D26" t="s">
        <v>523</v>
      </c>
      <c r="E26" t="s">
        <v>360</v>
      </c>
      <c r="F26">
        <v>700</v>
      </c>
      <c r="G26">
        <v>300</v>
      </c>
      <c r="H26">
        <v>1200</v>
      </c>
      <c r="I26">
        <v>500</v>
      </c>
      <c r="J26">
        <v>2400</v>
      </c>
      <c r="K26">
        <v>2000</v>
      </c>
      <c r="L26">
        <v>2400</v>
      </c>
      <c r="M26">
        <v>2000</v>
      </c>
      <c r="N26">
        <v>2400</v>
      </c>
      <c r="O26">
        <v>2000</v>
      </c>
    </row>
    <row r="27" spans="1:15" x14ac:dyDescent="0.3">
      <c r="A27" t="s">
        <v>444</v>
      </c>
      <c r="B27" t="s">
        <v>429</v>
      </c>
      <c r="C27" t="s">
        <v>409</v>
      </c>
      <c r="D27" t="s">
        <v>392</v>
      </c>
      <c r="E27" t="s">
        <v>360</v>
      </c>
      <c r="F27">
        <v>4600</v>
      </c>
      <c r="G27">
        <v>2700</v>
      </c>
      <c r="H27">
        <v>5600</v>
      </c>
      <c r="I27">
        <v>3300</v>
      </c>
      <c r="J27">
        <v>6500</v>
      </c>
      <c r="K27">
        <v>4100</v>
      </c>
      <c r="L27">
        <v>6500</v>
      </c>
      <c r="M27">
        <v>4100</v>
      </c>
      <c r="N27">
        <v>6500</v>
      </c>
      <c r="O27">
        <v>4100</v>
      </c>
    </row>
    <row r="28" spans="1:15" x14ac:dyDescent="0.3">
      <c r="A28" t="s">
        <v>444</v>
      </c>
      <c r="B28" t="s">
        <v>428</v>
      </c>
      <c r="C28" t="s">
        <v>409</v>
      </c>
      <c r="D28" t="s">
        <v>391</v>
      </c>
      <c r="E28" t="s">
        <v>360</v>
      </c>
      <c r="F28">
        <v>1300</v>
      </c>
      <c r="G28">
        <v>3150</v>
      </c>
      <c r="H28">
        <v>1300</v>
      </c>
      <c r="I28">
        <v>3700</v>
      </c>
      <c r="J28">
        <v>2800</v>
      </c>
      <c r="K28">
        <v>5200</v>
      </c>
      <c r="L28">
        <v>3800</v>
      </c>
      <c r="M28">
        <v>6200</v>
      </c>
      <c r="N28">
        <v>3800</v>
      </c>
      <c r="O28">
        <v>6200</v>
      </c>
    </row>
    <row r="29" spans="1:15" x14ac:dyDescent="0.3">
      <c r="A29" t="s">
        <v>444</v>
      </c>
      <c r="B29" t="s">
        <v>515</v>
      </c>
      <c r="C29" t="s">
        <v>409</v>
      </c>
      <c r="D29" t="s">
        <v>396</v>
      </c>
      <c r="E29" t="s">
        <v>360</v>
      </c>
      <c r="F29">
        <v>4240</v>
      </c>
      <c r="G29">
        <v>1910</v>
      </c>
      <c r="H29">
        <v>6000</v>
      </c>
      <c r="I29">
        <v>3700</v>
      </c>
      <c r="J29">
        <v>6000</v>
      </c>
      <c r="K29">
        <v>3700</v>
      </c>
      <c r="L29">
        <v>6000</v>
      </c>
      <c r="M29">
        <v>3700</v>
      </c>
      <c r="N29">
        <v>6000</v>
      </c>
      <c r="O29">
        <v>3700</v>
      </c>
    </row>
    <row r="30" spans="1:15" x14ac:dyDescent="0.3">
      <c r="A30" t="s">
        <v>463</v>
      </c>
      <c r="B30" t="s">
        <v>513</v>
      </c>
      <c r="C30" t="s">
        <v>386</v>
      </c>
      <c r="D30" t="s">
        <v>393</v>
      </c>
      <c r="E30" t="s">
        <v>360</v>
      </c>
      <c r="F30">
        <v>0</v>
      </c>
      <c r="G30">
        <v>0</v>
      </c>
      <c r="H30">
        <v>0</v>
      </c>
      <c r="I30">
        <v>0</v>
      </c>
      <c r="J30">
        <v>2000</v>
      </c>
      <c r="K30">
        <v>2000</v>
      </c>
      <c r="L30">
        <v>2000</v>
      </c>
      <c r="M30">
        <v>2000</v>
      </c>
      <c r="N30">
        <v>2000</v>
      </c>
      <c r="O30">
        <v>2000</v>
      </c>
    </row>
    <row r="31" spans="1:15" x14ac:dyDescent="0.3">
      <c r="A31" t="s">
        <v>424</v>
      </c>
      <c r="B31" t="s">
        <v>429</v>
      </c>
      <c r="C31" t="s">
        <v>387</v>
      </c>
      <c r="D31" t="s">
        <v>392</v>
      </c>
      <c r="E31" t="s">
        <v>360</v>
      </c>
      <c r="F31">
        <v>2100</v>
      </c>
      <c r="G31">
        <v>1500</v>
      </c>
      <c r="H31">
        <v>2600</v>
      </c>
      <c r="I31">
        <v>2000</v>
      </c>
      <c r="J31">
        <v>2600</v>
      </c>
      <c r="K31">
        <v>2000</v>
      </c>
      <c r="L31">
        <v>2600</v>
      </c>
      <c r="M31">
        <v>2000</v>
      </c>
      <c r="N31">
        <v>2600</v>
      </c>
      <c r="O31">
        <v>2000</v>
      </c>
    </row>
    <row r="32" spans="1:15" x14ac:dyDescent="0.3">
      <c r="A32" t="s">
        <v>424</v>
      </c>
      <c r="B32" t="s">
        <v>524</v>
      </c>
      <c r="C32" t="s">
        <v>387</v>
      </c>
      <c r="D32" t="s">
        <v>402</v>
      </c>
      <c r="E32" t="s">
        <v>360</v>
      </c>
      <c r="F32">
        <v>0</v>
      </c>
      <c r="G32">
        <v>800</v>
      </c>
      <c r="H32">
        <v>0</v>
      </c>
      <c r="I32">
        <v>600</v>
      </c>
      <c r="J32">
        <v>0</v>
      </c>
      <c r="K32">
        <v>800</v>
      </c>
      <c r="L32">
        <v>0</v>
      </c>
      <c r="M32">
        <v>800</v>
      </c>
      <c r="N32">
        <v>0</v>
      </c>
      <c r="O32">
        <v>800</v>
      </c>
    </row>
    <row r="33" spans="1:15" x14ac:dyDescent="0.3">
      <c r="A33" t="s">
        <v>424</v>
      </c>
      <c r="B33" t="s">
        <v>525</v>
      </c>
      <c r="C33" t="s">
        <v>387</v>
      </c>
      <c r="D33" t="s">
        <v>402</v>
      </c>
      <c r="E33" t="s">
        <v>360</v>
      </c>
      <c r="F33">
        <v>600</v>
      </c>
      <c r="G33">
        <v>0</v>
      </c>
      <c r="H33">
        <v>600</v>
      </c>
      <c r="I33">
        <v>0</v>
      </c>
      <c r="J33">
        <v>600</v>
      </c>
      <c r="K33">
        <v>0</v>
      </c>
      <c r="L33">
        <v>600</v>
      </c>
      <c r="M33">
        <v>0</v>
      </c>
      <c r="N33">
        <v>600</v>
      </c>
      <c r="O33">
        <v>0</v>
      </c>
    </row>
    <row r="34" spans="1:15" x14ac:dyDescent="0.3">
      <c r="A34" t="s">
        <v>424</v>
      </c>
      <c r="B34" t="s">
        <v>440</v>
      </c>
      <c r="C34" t="s">
        <v>387</v>
      </c>
      <c r="D34" t="s">
        <v>405</v>
      </c>
      <c r="E34" t="s">
        <v>360</v>
      </c>
      <c r="F34">
        <v>1800</v>
      </c>
      <c r="G34">
        <v>1100</v>
      </c>
      <c r="H34">
        <v>1800</v>
      </c>
      <c r="I34">
        <v>1100</v>
      </c>
      <c r="J34">
        <v>2100</v>
      </c>
      <c r="K34">
        <v>1100</v>
      </c>
      <c r="L34">
        <v>2100</v>
      </c>
      <c r="M34">
        <v>1100</v>
      </c>
      <c r="N34">
        <v>2600</v>
      </c>
      <c r="O34">
        <v>1600</v>
      </c>
    </row>
    <row r="35" spans="1:15" x14ac:dyDescent="0.3">
      <c r="A35" t="s">
        <v>429</v>
      </c>
      <c r="B35" t="s">
        <v>526</v>
      </c>
      <c r="C35" t="s">
        <v>392</v>
      </c>
      <c r="D35" t="s">
        <v>392</v>
      </c>
      <c r="E35" t="s">
        <v>360</v>
      </c>
      <c r="F35">
        <v>400</v>
      </c>
      <c r="G35">
        <v>400</v>
      </c>
      <c r="H35">
        <v>400</v>
      </c>
      <c r="I35">
        <v>400</v>
      </c>
      <c r="J35">
        <v>400</v>
      </c>
      <c r="K35">
        <v>400</v>
      </c>
      <c r="L35">
        <v>400</v>
      </c>
      <c r="M35">
        <v>400</v>
      </c>
      <c r="N35">
        <v>400</v>
      </c>
      <c r="O35">
        <v>400</v>
      </c>
    </row>
    <row r="36" spans="1:15" x14ac:dyDescent="0.3">
      <c r="A36" t="s">
        <v>429</v>
      </c>
      <c r="B36" t="s">
        <v>527</v>
      </c>
      <c r="C36" t="s">
        <v>392</v>
      </c>
      <c r="D36" t="s">
        <v>388</v>
      </c>
      <c r="E36" t="s">
        <v>360</v>
      </c>
      <c r="F36">
        <v>600</v>
      </c>
      <c r="G36">
        <v>585</v>
      </c>
      <c r="H36">
        <v>600</v>
      </c>
      <c r="I36">
        <v>585</v>
      </c>
      <c r="J36">
        <v>600</v>
      </c>
      <c r="K36">
        <v>600</v>
      </c>
      <c r="L36">
        <v>600</v>
      </c>
      <c r="M36">
        <v>600</v>
      </c>
      <c r="N36">
        <v>600</v>
      </c>
      <c r="O36">
        <v>600</v>
      </c>
    </row>
    <row r="37" spans="1:15" x14ac:dyDescent="0.3">
      <c r="A37" t="s">
        <v>429</v>
      </c>
      <c r="B37" t="s">
        <v>528</v>
      </c>
      <c r="C37" t="s">
        <v>392</v>
      </c>
      <c r="D37" t="s">
        <v>388</v>
      </c>
      <c r="E37" t="s">
        <v>360</v>
      </c>
      <c r="F37">
        <v>1500</v>
      </c>
      <c r="G37">
        <v>1780</v>
      </c>
      <c r="H37">
        <v>3000</v>
      </c>
      <c r="I37">
        <v>3000</v>
      </c>
      <c r="J37">
        <v>3000</v>
      </c>
      <c r="K37">
        <v>3000</v>
      </c>
      <c r="L37">
        <v>3000</v>
      </c>
      <c r="M37">
        <v>3000</v>
      </c>
      <c r="N37">
        <v>3000</v>
      </c>
      <c r="O37">
        <v>3000</v>
      </c>
    </row>
    <row r="38" spans="1:15" x14ac:dyDescent="0.3">
      <c r="A38" t="s">
        <v>429</v>
      </c>
      <c r="B38" t="s">
        <v>428</v>
      </c>
      <c r="C38" t="s">
        <v>392</v>
      </c>
      <c r="D38" t="s">
        <v>391</v>
      </c>
      <c r="E38" t="s">
        <v>360</v>
      </c>
      <c r="F38">
        <v>2300</v>
      </c>
      <c r="G38">
        <v>1800</v>
      </c>
      <c r="H38">
        <v>4500</v>
      </c>
      <c r="I38">
        <v>4500</v>
      </c>
      <c r="J38">
        <v>4800</v>
      </c>
      <c r="K38">
        <v>4800</v>
      </c>
      <c r="L38">
        <v>5800</v>
      </c>
      <c r="M38">
        <v>5800</v>
      </c>
      <c r="N38">
        <v>4800</v>
      </c>
      <c r="O38">
        <v>4800</v>
      </c>
    </row>
    <row r="39" spans="1:15" x14ac:dyDescent="0.3">
      <c r="A39" t="s">
        <v>429</v>
      </c>
      <c r="B39" t="s">
        <v>518</v>
      </c>
      <c r="C39" t="s">
        <v>392</v>
      </c>
      <c r="D39" t="s">
        <v>519</v>
      </c>
      <c r="E39" t="s">
        <v>360</v>
      </c>
      <c r="F39">
        <v>0</v>
      </c>
      <c r="G39">
        <v>0</v>
      </c>
      <c r="H39">
        <v>1400</v>
      </c>
      <c r="I39">
        <v>1400</v>
      </c>
      <c r="J39">
        <v>1400</v>
      </c>
      <c r="K39">
        <v>1400</v>
      </c>
      <c r="L39">
        <v>1400</v>
      </c>
      <c r="M39">
        <v>1400</v>
      </c>
      <c r="N39">
        <v>1400</v>
      </c>
      <c r="O39">
        <v>1400</v>
      </c>
    </row>
    <row r="40" spans="1:15" x14ac:dyDescent="0.3">
      <c r="A40" t="s">
        <v>526</v>
      </c>
      <c r="B40" t="s">
        <v>529</v>
      </c>
      <c r="C40" t="s">
        <v>392</v>
      </c>
      <c r="D40" t="s">
        <v>388</v>
      </c>
      <c r="E40" t="s">
        <v>360</v>
      </c>
      <c r="F40">
        <v>400</v>
      </c>
      <c r="G40">
        <v>400</v>
      </c>
      <c r="H40">
        <v>400</v>
      </c>
      <c r="I40">
        <v>400</v>
      </c>
      <c r="J40">
        <v>400</v>
      </c>
      <c r="K40">
        <v>400</v>
      </c>
      <c r="L40">
        <v>400</v>
      </c>
      <c r="M40">
        <v>400</v>
      </c>
      <c r="N40">
        <v>400</v>
      </c>
      <c r="O40">
        <v>400</v>
      </c>
    </row>
    <row r="41" spans="1:15" x14ac:dyDescent="0.3">
      <c r="A41" t="s">
        <v>429</v>
      </c>
      <c r="B41" t="s">
        <v>521</v>
      </c>
      <c r="C41" t="s">
        <v>392</v>
      </c>
      <c r="D41" t="s">
        <v>399</v>
      </c>
      <c r="E41" t="s">
        <v>360</v>
      </c>
      <c r="F41">
        <v>1000</v>
      </c>
      <c r="G41">
        <v>1000</v>
      </c>
      <c r="H41">
        <v>1000</v>
      </c>
      <c r="I41">
        <v>1000</v>
      </c>
      <c r="J41">
        <v>2000</v>
      </c>
      <c r="K41">
        <v>2000</v>
      </c>
      <c r="L41">
        <v>2000</v>
      </c>
      <c r="M41">
        <v>2000</v>
      </c>
      <c r="N41">
        <v>3000</v>
      </c>
      <c r="O41">
        <v>3000</v>
      </c>
    </row>
    <row r="42" spans="1:15" x14ac:dyDescent="0.3">
      <c r="A42" t="s">
        <v>429</v>
      </c>
      <c r="B42" t="s">
        <v>530</v>
      </c>
      <c r="C42" t="s">
        <v>392</v>
      </c>
      <c r="D42" t="s">
        <v>399</v>
      </c>
      <c r="E42" t="s">
        <v>360</v>
      </c>
      <c r="F42">
        <v>1300</v>
      </c>
      <c r="G42">
        <v>1300</v>
      </c>
      <c r="H42">
        <v>1300</v>
      </c>
      <c r="I42">
        <v>1300</v>
      </c>
      <c r="J42">
        <v>1300</v>
      </c>
      <c r="K42">
        <v>1300</v>
      </c>
      <c r="L42">
        <v>1300</v>
      </c>
      <c r="M42">
        <v>1300</v>
      </c>
      <c r="N42">
        <v>1300</v>
      </c>
      <c r="O42">
        <v>1300</v>
      </c>
    </row>
    <row r="43" spans="1:15" x14ac:dyDescent="0.3">
      <c r="A43" t="s">
        <v>429</v>
      </c>
      <c r="B43" t="s">
        <v>436</v>
      </c>
      <c r="C43" t="s">
        <v>392</v>
      </c>
      <c r="D43" t="s">
        <v>401</v>
      </c>
      <c r="E43" t="s">
        <v>360</v>
      </c>
      <c r="F43">
        <v>4250</v>
      </c>
      <c r="G43">
        <v>4250</v>
      </c>
      <c r="H43">
        <v>5000</v>
      </c>
      <c r="I43">
        <v>5000</v>
      </c>
      <c r="J43">
        <v>5000</v>
      </c>
      <c r="K43">
        <v>5000</v>
      </c>
      <c r="L43">
        <v>5000</v>
      </c>
      <c r="M43">
        <v>5000</v>
      </c>
      <c r="N43">
        <v>5000</v>
      </c>
      <c r="O43">
        <v>5000</v>
      </c>
    </row>
    <row r="44" spans="1:15" x14ac:dyDescent="0.3">
      <c r="A44" t="s">
        <v>429</v>
      </c>
      <c r="B44" t="s">
        <v>531</v>
      </c>
      <c r="C44" t="s">
        <v>392</v>
      </c>
      <c r="D44" t="s">
        <v>414</v>
      </c>
      <c r="E44" t="s">
        <v>360</v>
      </c>
      <c r="F44">
        <v>1400</v>
      </c>
      <c r="G44">
        <v>1400</v>
      </c>
      <c r="H44">
        <v>1400</v>
      </c>
      <c r="I44">
        <v>1400</v>
      </c>
      <c r="J44">
        <v>1400</v>
      </c>
      <c r="K44">
        <v>1400</v>
      </c>
      <c r="L44">
        <v>1400</v>
      </c>
      <c r="M44">
        <v>1400</v>
      </c>
      <c r="N44">
        <v>1400</v>
      </c>
      <c r="O44">
        <v>1400</v>
      </c>
    </row>
    <row r="45" spans="1:15" x14ac:dyDescent="0.3">
      <c r="A45" t="s">
        <v>429</v>
      </c>
      <c r="B45" t="s">
        <v>524</v>
      </c>
      <c r="C45" t="s">
        <v>392</v>
      </c>
      <c r="D45" t="s">
        <v>402</v>
      </c>
      <c r="E45" t="s">
        <v>360</v>
      </c>
      <c r="F45">
        <v>0</v>
      </c>
      <c r="G45">
        <v>2500</v>
      </c>
      <c r="H45">
        <v>0</v>
      </c>
      <c r="I45">
        <v>3000</v>
      </c>
      <c r="J45">
        <v>0</v>
      </c>
      <c r="K45">
        <v>3000</v>
      </c>
      <c r="L45">
        <v>0</v>
      </c>
      <c r="M45">
        <v>3000</v>
      </c>
      <c r="N45">
        <v>0</v>
      </c>
      <c r="O45">
        <v>3000</v>
      </c>
    </row>
    <row r="46" spans="1:15" x14ac:dyDescent="0.3">
      <c r="A46" t="s">
        <v>429</v>
      </c>
      <c r="B46" t="s">
        <v>525</v>
      </c>
      <c r="C46" t="s">
        <v>392</v>
      </c>
      <c r="D46" t="s">
        <v>402</v>
      </c>
      <c r="E46" t="s">
        <v>360</v>
      </c>
      <c r="F46">
        <v>500</v>
      </c>
      <c r="G46">
        <v>0</v>
      </c>
      <c r="H46">
        <v>2000</v>
      </c>
      <c r="I46">
        <v>0</v>
      </c>
      <c r="J46">
        <v>4500</v>
      </c>
      <c r="K46">
        <v>0</v>
      </c>
      <c r="L46">
        <v>3500</v>
      </c>
      <c r="M46">
        <v>0</v>
      </c>
      <c r="N46">
        <v>4500</v>
      </c>
      <c r="O46">
        <v>0</v>
      </c>
    </row>
    <row r="47" spans="1:15" x14ac:dyDescent="0.3">
      <c r="A47" t="s">
        <v>429</v>
      </c>
      <c r="B47" t="s">
        <v>532</v>
      </c>
      <c r="C47" t="s">
        <v>392</v>
      </c>
      <c r="D47" t="s">
        <v>408</v>
      </c>
      <c r="E47" t="s">
        <v>360</v>
      </c>
      <c r="F47">
        <v>615</v>
      </c>
      <c r="G47">
        <v>615</v>
      </c>
      <c r="H47">
        <v>1315</v>
      </c>
      <c r="I47">
        <v>1300</v>
      </c>
      <c r="J47">
        <v>1815</v>
      </c>
      <c r="K47">
        <v>1815</v>
      </c>
      <c r="L47">
        <v>2315</v>
      </c>
      <c r="M47">
        <v>2315</v>
      </c>
      <c r="N47">
        <v>2315</v>
      </c>
      <c r="O47">
        <v>2315</v>
      </c>
    </row>
    <row r="48" spans="1:15" x14ac:dyDescent="0.3">
      <c r="A48" t="s">
        <v>527</v>
      </c>
      <c r="B48" t="s">
        <v>529</v>
      </c>
      <c r="C48" t="s">
        <v>388</v>
      </c>
      <c r="D48" t="s">
        <v>388</v>
      </c>
      <c r="E48" t="s">
        <v>360</v>
      </c>
      <c r="F48">
        <v>400</v>
      </c>
      <c r="G48">
        <v>600</v>
      </c>
      <c r="H48">
        <v>600</v>
      </c>
      <c r="I48">
        <v>600</v>
      </c>
      <c r="J48">
        <v>400</v>
      </c>
      <c r="K48">
        <v>600</v>
      </c>
      <c r="L48">
        <v>400</v>
      </c>
      <c r="M48">
        <v>600</v>
      </c>
      <c r="N48">
        <v>400</v>
      </c>
      <c r="O48">
        <v>600</v>
      </c>
    </row>
    <row r="49" spans="1:15" x14ac:dyDescent="0.3">
      <c r="A49" t="s">
        <v>527</v>
      </c>
      <c r="B49" t="s">
        <v>528</v>
      </c>
      <c r="C49" t="s">
        <v>388</v>
      </c>
      <c r="D49" t="s">
        <v>388</v>
      </c>
      <c r="E49" t="s">
        <v>360</v>
      </c>
      <c r="F49">
        <v>600</v>
      </c>
      <c r="G49">
        <v>590</v>
      </c>
      <c r="H49">
        <v>600</v>
      </c>
      <c r="I49">
        <v>600</v>
      </c>
      <c r="J49">
        <v>1100</v>
      </c>
      <c r="K49">
        <v>1090</v>
      </c>
      <c r="L49">
        <v>1100</v>
      </c>
      <c r="M49">
        <v>1090</v>
      </c>
      <c r="N49">
        <v>1100</v>
      </c>
      <c r="O49">
        <v>1090</v>
      </c>
    </row>
    <row r="50" spans="1:15" x14ac:dyDescent="0.3">
      <c r="A50" t="s">
        <v>527</v>
      </c>
      <c r="B50" t="s">
        <v>437</v>
      </c>
      <c r="C50" t="s">
        <v>388</v>
      </c>
      <c r="D50" t="s">
        <v>402</v>
      </c>
      <c r="E50" t="s">
        <v>360</v>
      </c>
      <c r="F50">
        <v>0</v>
      </c>
      <c r="G50">
        <v>0</v>
      </c>
      <c r="H50">
        <v>0</v>
      </c>
      <c r="I50">
        <v>0</v>
      </c>
      <c r="J50">
        <v>500</v>
      </c>
      <c r="K50">
        <v>500</v>
      </c>
      <c r="L50">
        <v>1500</v>
      </c>
      <c r="M50">
        <v>1500</v>
      </c>
      <c r="N50">
        <v>500</v>
      </c>
      <c r="O50">
        <v>500</v>
      </c>
    </row>
    <row r="51" spans="1:15" x14ac:dyDescent="0.3">
      <c r="A51" t="s">
        <v>527</v>
      </c>
      <c r="B51" t="s">
        <v>532</v>
      </c>
      <c r="C51" t="s">
        <v>388</v>
      </c>
      <c r="D51" t="s">
        <v>408</v>
      </c>
      <c r="E51" t="s">
        <v>360</v>
      </c>
      <c r="F51">
        <v>1700</v>
      </c>
      <c r="G51">
        <v>1300</v>
      </c>
      <c r="H51">
        <v>1700</v>
      </c>
      <c r="I51">
        <v>1300</v>
      </c>
      <c r="J51">
        <v>1700</v>
      </c>
      <c r="K51">
        <v>1300</v>
      </c>
      <c r="L51">
        <v>2700</v>
      </c>
      <c r="M51">
        <v>2300</v>
      </c>
      <c r="N51">
        <v>2700</v>
      </c>
      <c r="O51">
        <v>2300</v>
      </c>
    </row>
    <row r="52" spans="1:15" x14ac:dyDescent="0.3">
      <c r="A52" t="s">
        <v>528</v>
      </c>
      <c r="B52" t="s">
        <v>518</v>
      </c>
      <c r="C52" t="s">
        <v>388</v>
      </c>
      <c r="D52" t="s">
        <v>519</v>
      </c>
      <c r="E52" t="s">
        <v>360</v>
      </c>
      <c r="F52">
        <v>0</v>
      </c>
      <c r="G52">
        <v>0</v>
      </c>
      <c r="H52">
        <v>1400</v>
      </c>
      <c r="I52">
        <v>1400</v>
      </c>
      <c r="J52">
        <v>1400</v>
      </c>
      <c r="K52">
        <v>1400</v>
      </c>
      <c r="L52">
        <v>1400</v>
      </c>
      <c r="M52">
        <v>1400</v>
      </c>
      <c r="N52">
        <v>1400</v>
      </c>
      <c r="O52">
        <v>1400</v>
      </c>
    </row>
    <row r="53" spans="1:15" x14ac:dyDescent="0.3">
      <c r="A53" t="s">
        <v>528</v>
      </c>
      <c r="B53" t="s">
        <v>436</v>
      </c>
      <c r="C53" t="s">
        <v>388</v>
      </c>
      <c r="D53" t="s">
        <v>401</v>
      </c>
      <c r="E53" t="s">
        <v>360</v>
      </c>
      <c r="F53">
        <v>700</v>
      </c>
      <c r="G53">
        <v>700</v>
      </c>
      <c r="H53">
        <v>700</v>
      </c>
      <c r="I53">
        <v>700</v>
      </c>
      <c r="J53">
        <v>700</v>
      </c>
      <c r="K53">
        <v>700</v>
      </c>
      <c r="L53">
        <v>700</v>
      </c>
      <c r="M53">
        <v>700</v>
      </c>
      <c r="N53">
        <v>700</v>
      </c>
      <c r="O53">
        <v>700</v>
      </c>
    </row>
    <row r="54" spans="1:15" x14ac:dyDescent="0.3">
      <c r="A54" t="s">
        <v>528</v>
      </c>
      <c r="B54" t="s">
        <v>531</v>
      </c>
      <c r="C54" t="s">
        <v>388</v>
      </c>
      <c r="D54" t="s">
        <v>414</v>
      </c>
      <c r="E54" t="s">
        <v>360</v>
      </c>
      <c r="F54">
        <v>1640</v>
      </c>
      <c r="G54">
        <v>1640</v>
      </c>
      <c r="H54">
        <v>1700</v>
      </c>
      <c r="I54">
        <v>1640</v>
      </c>
      <c r="J54">
        <v>2140</v>
      </c>
      <c r="K54">
        <v>2140</v>
      </c>
      <c r="L54">
        <v>1640</v>
      </c>
      <c r="M54">
        <v>1640</v>
      </c>
      <c r="N54">
        <v>2640</v>
      </c>
      <c r="O54">
        <v>2640</v>
      </c>
    </row>
    <row r="55" spans="1:15" x14ac:dyDescent="0.3">
      <c r="A55" t="s">
        <v>528</v>
      </c>
      <c r="B55" t="s">
        <v>533</v>
      </c>
      <c r="C55" t="s">
        <v>388</v>
      </c>
      <c r="D55" t="s">
        <v>408</v>
      </c>
      <c r="E55" t="s">
        <v>360</v>
      </c>
      <c r="F55">
        <v>740</v>
      </c>
      <c r="G55">
        <v>680</v>
      </c>
      <c r="H55">
        <v>740</v>
      </c>
      <c r="I55">
        <v>680</v>
      </c>
      <c r="J55">
        <v>740</v>
      </c>
      <c r="K55">
        <v>680</v>
      </c>
      <c r="L55">
        <v>740</v>
      </c>
      <c r="M55">
        <v>680</v>
      </c>
      <c r="N55">
        <v>740</v>
      </c>
      <c r="O55">
        <v>680</v>
      </c>
    </row>
    <row r="56" spans="1:15" x14ac:dyDescent="0.3">
      <c r="A56" t="s">
        <v>426</v>
      </c>
      <c r="B56" t="s">
        <v>427</v>
      </c>
      <c r="C56" t="s">
        <v>389</v>
      </c>
      <c r="D56" t="s">
        <v>390</v>
      </c>
      <c r="E56" t="s">
        <v>360</v>
      </c>
      <c r="F56">
        <v>1016</v>
      </c>
      <c r="G56">
        <v>1000</v>
      </c>
      <c r="H56">
        <v>1016</v>
      </c>
      <c r="I56">
        <v>1016</v>
      </c>
      <c r="J56">
        <v>1016</v>
      </c>
      <c r="K56">
        <v>1000</v>
      </c>
      <c r="L56">
        <v>1016</v>
      </c>
      <c r="M56">
        <v>1000</v>
      </c>
      <c r="N56">
        <v>1516</v>
      </c>
      <c r="O56">
        <v>1500</v>
      </c>
    </row>
    <row r="57" spans="1:15" x14ac:dyDescent="0.3">
      <c r="A57" t="s">
        <v>426</v>
      </c>
      <c r="B57" t="s">
        <v>434</v>
      </c>
      <c r="C57" t="s">
        <v>389</v>
      </c>
      <c r="D57" t="s">
        <v>397</v>
      </c>
      <c r="E57" t="s">
        <v>360</v>
      </c>
      <c r="F57">
        <v>900</v>
      </c>
      <c r="G57">
        <v>900</v>
      </c>
      <c r="H57">
        <v>1379</v>
      </c>
      <c r="I57">
        <v>1379</v>
      </c>
      <c r="J57">
        <v>1350</v>
      </c>
      <c r="K57">
        <v>1250</v>
      </c>
      <c r="L57">
        <v>1850</v>
      </c>
      <c r="M57">
        <v>1750</v>
      </c>
      <c r="N57">
        <v>1350</v>
      </c>
      <c r="O57">
        <v>1250</v>
      </c>
    </row>
    <row r="58" spans="1:15" x14ac:dyDescent="0.3">
      <c r="A58" t="s">
        <v>442</v>
      </c>
      <c r="B58" t="s">
        <v>428</v>
      </c>
      <c r="C58" t="s">
        <v>407</v>
      </c>
      <c r="D58" t="s">
        <v>391</v>
      </c>
      <c r="E58" t="s">
        <v>360</v>
      </c>
      <c r="F58">
        <v>2600</v>
      </c>
      <c r="G58">
        <v>2800</v>
      </c>
      <c r="H58">
        <v>5000</v>
      </c>
      <c r="I58">
        <v>5000</v>
      </c>
      <c r="J58">
        <v>9000</v>
      </c>
      <c r="K58">
        <v>9000</v>
      </c>
      <c r="L58">
        <v>10000</v>
      </c>
      <c r="M58">
        <v>10000</v>
      </c>
      <c r="N58">
        <v>9000</v>
      </c>
      <c r="O58">
        <v>9000</v>
      </c>
    </row>
    <row r="59" spans="1:15" x14ac:dyDescent="0.3">
      <c r="A59" t="s">
        <v>442</v>
      </c>
      <c r="B59" t="s">
        <v>438</v>
      </c>
      <c r="C59" t="s">
        <v>407</v>
      </c>
      <c r="D59" t="s">
        <v>403</v>
      </c>
      <c r="E59" t="s">
        <v>360</v>
      </c>
      <c r="F59">
        <v>4200</v>
      </c>
      <c r="G59">
        <v>3500</v>
      </c>
      <c r="H59">
        <v>4200</v>
      </c>
      <c r="I59">
        <v>3500</v>
      </c>
      <c r="J59">
        <v>4700</v>
      </c>
      <c r="K59">
        <v>4000</v>
      </c>
      <c r="L59">
        <v>4700</v>
      </c>
      <c r="M59">
        <v>4000</v>
      </c>
      <c r="N59">
        <v>5700</v>
      </c>
      <c r="O59">
        <v>5000</v>
      </c>
    </row>
    <row r="60" spans="1:15" x14ac:dyDescent="0.3">
      <c r="A60" t="s">
        <v>427</v>
      </c>
      <c r="B60" t="s">
        <v>534</v>
      </c>
      <c r="C60" t="s">
        <v>390</v>
      </c>
      <c r="D60" t="s">
        <v>414</v>
      </c>
      <c r="E60" t="s">
        <v>360</v>
      </c>
      <c r="F60">
        <v>0</v>
      </c>
      <c r="G60">
        <v>0</v>
      </c>
      <c r="H60">
        <v>0</v>
      </c>
      <c r="I60">
        <v>0</v>
      </c>
      <c r="J60">
        <v>0</v>
      </c>
      <c r="K60">
        <v>0</v>
      </c>
      <c r="L60">
        <v>0</v>
      </c>
      <c r="M60">
        <v>0</v>
      </c>
      <c r="N60">
        <v>1000</v>
      </c>
      <c r="O60">
        <v>1000</v>
      </c>
    </row>
    <row r="61" spans="1:15" x14ac:dyDescent="0.3">
      <c r="A61" t="s">
        <v>427</v>
      </c>
      <c r="B61" t="s">
        <v>535</v>
      </c>
      <c r="C61" t="s">
        <v>390</v>
      </c>
      <c r="D61" t="s">
        <v>408</v>
      </c>
      <c r="E61" t="s">
        <v>360</v>
      </c>
      <c r="F61">
        <v>1100</v>
      </c>
      <c r="G61">
        <v>1200</v>
      </c>
      <c r="H61">
        <v>2000</v>
      </c>
      <c r="I61">
        <v>2000</v>
      </c>
      <c r="J61">
        <v>2500</v>
      </c>
      <c r="K61">
        <v>2500</v>
      </c>
      <c r="L61">
        <v>2500</v>
      </c>
      <c r="M61">
        <v>2500</v>
      </c>
      <c r="N61">
        <v>2500</v>
      </c>
      <c r="O61">
        <v>2500</v>
      </c>
    </row>
    <row r="62" spans="1:15" x14ac:dyDescent="0.3">
      <c r="A62" t="s">
        <v>427</v>
      </c>
      <c r="B62" t="s">
        <v>536</v>
      </c>
      <c r="C62" t="s">
        <v>390</v>
      </c>
      <c r="D62" t="s">
        <v>408</v>
      </c>
      <c r="E62" t="s">
        <v>360</v>
      </c>
      <c r="F62">
        <v>0</v>
      </c>
      <c r="G62">
        <v>0</v>
      </c>
      <c r="H62">
        <v>0</v>
      </c>
      <c r="I62">
        <v>0</v>
      </c>
      <c r="J62">
        <v>800</v>
      </c>
      <c r="K62">
        <v>800</v>
      </c>
      <c r="L62">
        <v>800</v>
      </c>
      <c r="M62">
        <v>800</v>
      </c>
      <c r="N62">
        <v>800</v>
      </c>
      <c r="O62">
        <v>800</v>
      </c>
    </row>
    <row r="63" spans="1:15" x14ac:dyDescent="0.3">
      <c r="A63" t="s">
        <v>427</v>
      </c>
      <c r="B63" t="s">
        <v>533</v>
      </c>
      <c r="C63" t="s">
        <v>390</v>
      </c>
      <c r="D63" t="s">
        <v>408</v>
      </c>
      <c r="E63" t="s">
        <v>360</v>
      </c>
      <c r="F63">
        <v>1200</v>
      </c>
      <c r="G63">
        <v>1200</v>
      </c>
      <c r="H63">
        <v>1200</v>
      </c>
      <c r="I63">
        <v>1200</v>
      </c>
      <c r="J63">
        <v>800</v>
      </c>
      <c r="K63">
        <v>800</v>
      </c>
      <c r="L63">
        <v>800</v>
      </c>
      <c r="M63">
        <v>800</v>
      </c>
      <c r="N63">
        <v>800</v>
      </c>
      <c r="O63">
        <v>800</v>
      </c>
    </row>
    <row r="64" spans="1:15" x14ac:dyDescent="0.3">
      <c r="A64" t="s">
        <v>537</v>
      </c>
      <c r="B64" t="s">
        <v>538</v>
      </c>
      <c r="C64" t="s">
        <v>391</v>
      </c>
      <c r="D64" t="s">
        <v>396</v>
      </c>
      <c r="E64" t="s">
        <v>360</v>
      </c>
      <c r="F64">
        <v>50</v>
      </c>
      <c r="G64">
        <v>150</v>
      </c>
      <c r="H64">
        <v>150</v>
      </c>
      <c r="I64">
        <v>200</v>
      </c>
      <c r="J64">
        <v>150</v>
      </c>
      <c r="K64">
        <v>200</v>
      </c>
      <c r="L64">
        <v>150</v>
      </c>
      <c r="M64">
        <v>200</v>
      </c>
      <c r="N64">
        <v>150</v>
      </c>
      <c r="O64">
        <v>200</v>
      </c>
    </row>
    <row r="65" spans="1:15" x14ac:dyDescent="0.3">
      <c r="A65" t="s">
        <v>428</v>
      </c>
      <c r="B65" t="s">
        <v>518</v>
      </c>
      <c r="C65" t="s">
        <v>391</v>
      </c>
      <c r="D65" t="s">
        <v>519</v>
      </c>
      <c r="E65" t="s">
        <v>360</v>
      </c>
      <c r="F65">
        <v>2000</v>
      </c>
      <c r="G65">
        <v>2000</v>
      </c>
      <c r="H65">
        <v>6800</v>
      </c>
      <c r="I65">
        <v>6800</v>
      </c>
      <c r="J65">
        <v>6900</v>
      </c>
      <c r="K65">
        <v>6900</v>
      </c>
      <c r="L65">
        <v>5900</v>
      </c>
      <c r="M65">
        <v>5900</v>
      </c>
      <c r="N65">
        <v>5900</v>
      </c>
      <c r="O65">
        <v>5900</v>
      </c>
    </row>
    <row r="66" spans="1:15" x14ac:dyDescent="0.3">
      <c r="A66" t="s">
        <v>428</v>
      </c>
      <c r="B66" t="s">
        <v>432</v>
      </c>
      <c r="C66" t="s">
        <v>391</v>
      </c>
      <c r="D66" t="s">
        <v>395</v>
      </c>
      <c r="E66" t="s">
        <v>360</v>
      </c>
      <c r="F66">
        <v>0</v>
      </c>
      <c r="G66">
        <v>0</v>
      </c>
      <c r="H66">
        <v>0</v>
      </c>
      <c r="I66">
        <v>0</v>
      </c>
      <c r="J66">
        <v>700</v>
      </c>
      <c r="K66">
        <v>700</v>
      </c>
      <c r="L66">
        <v>1200</v>
      </c>
      <c r="M66">
        <v>1200</v>
      </c>
      <c r="N66">
        <v>1200</v>
      </c>
      <c r="O66">
        <v>1200</v>
      </c>
    </row>
    <row r="67" spans="1:15" x14ac:dyDescent="0.3">
      <c r="A67" t="s">
        <v>428</v>
      </c>
      <c r="B67" t="s">
        <v>515</v>
      </c>
      <c r="C67" t="s">
        <v>391</v>
      </c>
      <c r="D67" t="s">
        <v>396</v>
      </c>
      <c r="E67" t="s">
        <v>360</v>
      </c>
      <c r="F67">
        <v>4350</v>
      </c>
      <c r="G67">
        <v>2160</v>
      </c>
      <c r="H67">
        <v>4350</v>
      </c>
      <c r="I67">
        <v>2160</v>
      </c>
      <c r="J67">
        <v>4350</v>
      </c>
      <c r="K67">
        <v>2160</v>
      </c>
      <c r="L67">
        <v>4350</v>
      </c>
      <c r="M67">
        <v>2160</v>
      </c>
      <c r="N67">
        <v>5350</v>
      </c>
      <c r="O67">
        <v>3160</v>
      </c>
    </row>
    <row r="68" spans="1:15" x14ac:dyDescent="0.3">
      <c r="A68" t="s">
        <v>428</v>
      </c>
      <c r="B68" t="s">
        <v>539</v>
      </c>
      <c r="C68" t="s">
        <v>391</v>
      </c>
      <c r="D68" t="s">
        <v>399</v>
      </c>
      <c r="E68" t="s">
        <v>360</v>
      </c>
      <c r="F68">
        <v>380</v>
      </c>
      <c r="G68">
        <v>0</v>
      </c>
      <c r="H68">
        <v>380</v>
      </c>
      <c r="I68">
        <v>0</v>
      </c>
      <c r="J68">
        <v>380</v>
      </c>
      <c r="K68">
        <v>0</v>
      </c>
      <c r="L68">
        <v>380</v>
      </c>
      <c r="M68">
        <v>0</v>
      </c>
      <c r="N68">
        <v>380</v>
      </c>
      <c r="O68">
        <v>0</v>
      </c>
    </row>
    <row r="69" spans="1:15" x14ac:dyDescent="0.3">
      <c r="A69" t="s">
        <v>518</v>
      </c>
      <c r="B69" t="s">
        <v>432</v>
      </c>
      <c r="C69" t="s">
        <v>519</v>
      </c>
      <c r="D69" t="s">
        <v>395</v>
      </c>
      <c r="E69" t="s">
        <v>360</v>
      </c>
      <c r="F69">
        <v>500</v>
      </c>
      <c r="G69">
        <v>500</v>
      </c>
      <c r="H69">
        <v>500</v>
      </c>
      <c r="I69">
        <v>500</v>
      </c>
      <c r="J69">
        <v>1500</v>
      </c>
      <c r="K69">
        <v>1500</v>
      </c>
      <c r="L69">
        <v>500</v>
      </c>
      <c r="M69">
        <v>500</v>
      </c>
      <c r="N69">
        <v>500</v>
      </c>
      <c r="O69">
        <v>500</v>
      </c>
    </row>
    <row r="70" spans="1:15" x14ac:dyDescent="0.3">
      <c r="A70" t="s">
        <v>518</v>
      </c>
      <c r="B70" t="s">
        <v>540</v>
      </c>
      <c r="C70" t="s">
        <v>519</v>
      </c>
      <c r="D70" t="s">
        <v>541</v>
      </c>
      <c r="E70" t="s">
        <v>360</v>
      </c>
      <c r="F70">
        <v>450</v>
      </c>
      <c r="G70">
        <v>80</v>
      </c>
      <c r="H70">
        <v>450</v>
      </c>
      <c r="I70">
        <v>280</v>
      </c>
      <c r="J70">
        <v>500</v>
      </c>
      <c r="K70">
        <v>500</v>
      </c>
      <c r="L70">
        <v>500</v>
      </c>
      <c r="M70">
        <v>500</v>
      </c>
      <c r="N70">
        <v>500</v>
      </c>
      <c r="O70">
        <v>500</v>
      </c>
    </row>
    <row r="71" spans="1:15" x14ac:dyDescent="0.3">
      <c r="A71" t="s">
        <v>518</v>
      </c>
      <c r="B71" t="s">
        <v>436</v>
      </c>
      <c r="C71" t="s">
        <v>519</v>
      </c>
      <c r="D71" t="s">
        <v>401</v>
      </c>
      <c r="E71" t="s">
        <v>360</v>
      </c>
      <c r="F71">
        <v>1000</v>
      </c>
      <c r="G71">
        <v>1000</v>
      </c>
      <c r="H71">
        <v>1000</v>
      </c>
      <c r="I71">
        <v>1000</v>
      </c>
      <c r="J71">
        <v>2500</v>
      </c>
      <c r="K71">
        <v>2500</v>
      </c>
      <c r="L71">
        <v>1000</v>
      </c>
      <c r="M71">
        <v>1000</v>
      </c>
      <c r="N71">
        <v>2000</v>
      </c>
      <c r="O71">
        <v>2000</v>
      </c>
    </row>
    <row r="72" spans="1:15" x14ac:dyDescent="0.3">
      <c r="A72" t="s">
        <v>518</v>
      </c>
      <c r="B72" t="s">
        <v>531</v>
      </c>
      <c r="C72" t="s">
        <v>519</v>
      </c>
      <c r="D72" t="s">
        <v>414</v>
      </c>
      <c r="E72" t="s">
        <v>360</v>
      </c>
      <c r="F72">
        <v>0</v>
      </c>
      <c r="G72">
        <v>0</v>
      </c>
      <c r="H72">
        <v>2800</v>
      </c>
      <c r="I72">
        <v>2800</v>
      </c>
      <c r="J72">
        <v>1400</v>
      </c>
      <c r="K72">
        <v>1400</v>
      </c>
      <c r="L72">
        <v>2900</v>
      </c>
      <c r="M72">
        <v>2900</v>
      </c>
      <c r="N72">
        <v>2400</v>
      </c>
      <c r="O72">
        <v>2400</v>
      </c>
    </row>
    <row r="73" spans="1:15" x14ac:dyDescent="0.3">
      <c r="A73" t="s">
        <v>513</v>
      </c>
      <c r="B73" t="s">
        <v>542</v>
      </c>
      <c r="C73" t="s">
        <v>393</v>
      </c>
      <c r="D73" t="s">
        <v>396</v>
      </c>
      <c r="E73" t="s">
        <v>360</v>
      </c>
      <c r="F73">
        <v>500</v>
      </c>
      <c r="G73">
        <v>500</v>
      </c>
      <c r="H73">
        <v>500</v>
      </c>
      <c r="I73">
        <v>500</v>
      </c>
      <c r="J73">
        <v>500</v>
      </c>
      <c r="K73">
        <v>500</v>
      </c>
      <c r="L73">
        <v>500</v>
      </c>
      <c r="M73">
        <v>500</v>
      </c>
      <c r="N73">
        <v>500</v>
      </c>
      <c r="O73">
        <v>500</v>
      </c>
    </row>
    <row r="74" spans="1:15" x14ac:dyDescent="0.3">
      <c r="A74" t="s">
        <v>513</v>
      </c>
      <c r="B74" t="s">
        <v>448</v>
      </c>
      <c r="C74" t="s">
        <v>393</v>
      </c>
      <c r="D74" t="s">
        <v>413</v>
      </c>
      <c r="E74" t="s">
        <v>360</v>
      </c>
      <c r="F74">
        <v>1100</v>
      </c>
      <c r="G74">
        <v>850</v>
      </c>
      <c r="H74">
        <v>1200</v>
      </c>
      <c r="I74">
        <v>1200</v>
      </c>
      <c r="J74">
        <v>1600</v>
      </c>
      <c r="K74">
        <v>1350</v>
      </c>
      <c r="L74">
        <v>2100</v>
      </c>
      <c r="M74">
        <v>1850</v>
      </c>
      <c r="N74">
        <v>2100</v>
      </c>
      <c r="O74">
        <v>1850</v>
      </c>
    </row>
    <row r="75" spans="1:15" x14ac:dyDescent="0.3">
      <c r="A75" t="s">
        <v>513</v>
      </c>
      <c r="B75" t="s">
        <v>522</v>
      </c>
      <c r="C75" t="s">
        <v>393</v>
      </c>
      <c r="D75" t="s">
        <v>523</v>
      </c>
      <c r="E75" t="s">
        <v>360</v>
      </c>
      <c r="F75">
        <v>660</v>
      </c>
      <c r="G75">
        <v>580</v>
      </c>
      <c r="H75">
        <v>660</v>
      </c>
      <c r="I75">
        <v>580</v>
      </c>
      <c r="J75">
        <v>2200</v>
      </c>
      <c r="K75">
        <v>2100</v>
      </c>
      <c r="L75">
        <v>2200</v>
      </c>
      <c r="M75">
        <v>2100</v>
      </c>
      <c r="N75">
        <v>2200</v>
      </c>
      <c r="O75">
        <v>2100</v>
      </c>
    </row>
    <row r="76" spans="1:15" x14ac:dyDescent="0.3">
      <c r="A76" t="s">
        <v>423</v>
      </c>
      <c r="B76" t="s">
        <v>431</v>
      </c>
      <c r="C76" t="s">
        <v>385</v>
      </c>
      <c r="D76" t="s">
        <v>459</v>
      </c>
      <c r="E76" t="s">
        <v>360</v>
      </c>
      <c r="F76">
        <v>2000</v>
      </c>
      <c r="G76">
        <v>2000</v>
      </c>
      <c r="H76">
        <v>2000</v>
      </c>
      <c r="I76">
        <v>2000</v>
      </c>
      <c r="J76">
        <v>2000</v>
      </c>
      <c r="K76">
        <v>2000</v>
      </c>
      <c r="L76">
        <v>2000</v>
      </c>
      <c r="M76">
        <v>2000</v>
      </c>
      <c r="N76">
        <v>2000</v>
      </c>
      <c r="O76">
        <v>2000</v>
      </c>
    </row>
    <row r="77" spans="1:15" x14ac:dyDescent="0.3">
      <c r="A77" t="s">
        <v>423</v>
      </c>
      <c r="B77" t="s">
        <v>450</v>
      </c>
      <c r="C77" t="s">
        <v>385</v>
      </c>
      <c r="D77" t="s">
        <v>415</v>
      </c>
      <c r="E77" t="s">
        <v>360</v>
      </c>
      <c r="F77">
        <v>600</v>
      </c>
      <c r="G77">
        <v>600</v>
      </c>
      <c r="H77">
        <v>600</v>
      </c>
      <c r="I77">
        <v>600</v>
      </c>
      <c r="J77">
        <v>2100</v>
      </c>
      <c r="K77">
        <v>2100</v>
      </c>
      <c r="L77">
        <v>2100</v>
      </c>
      <c r="M77">
        <v>2100</v>
      </c>
      <c r="N77">
        <v>2100</v>
      </c>
      <c r="O77">
        <v>2100</v>
      </c>
    </row>
    <row r="78" spans="1:15" x14ac:dyDescent="0.3">
      <c r="A78" t="s">
        <v>423</v>
      </c>
      <c r="B78" t="s">
        <v>441</v>
      </c>
      <c r="C78" t="s">
        <v>385</v>
      </c>
      <c r="D78" t="s">
        <v>406</v>
      </c>
      <c r="E78" t="s">
        <v>360</v>
      </c>
      <c r="F78">
        <v>1500</v>
      </c>
      <c r="G78">
        <v>1500</v>
      </c>
      <c r="H78">
        <v>2000</v>
      </c>
      <c r="I78">
        <v>2000</v>
      </c>
      <c r="J78">
        <v>2500</v>
      </c>
      <c r="K78">
        <v>2500</v>
      </c>
      <c r="L78">
        <v>3000</v>
      </c>
      <c r="M78">
        <v>3000</v>
      </c>
      <c r="N78">
        <v>3500</v>
      </c>
      <c r="O78">
        <v>3500</v>
      </c>
    </row>
    <row r="79" spans="1:15" x14ac:dyDescent="0.3">
      <c r="A79" t="s">
        <v>431</v>
      </c>
      <c r="B79" t="s">
        <v>439</v>
      </c>
      <c r="C79" t="s">
        <v>459</v>
      </c>
      <c r="D79" t="s">
        <v>404</v>
      </c>
      <c r="E79" t="s">
        <v>360</v>
      </c>
      <c r="F79">
        <v>1000</v>
      </c>
      <c r="G79">
        <v>1100</v>
      </c>
      <c r="H79">
        <v>1300</v>
      </c>
      <c r="I79">
        <v>1400</v>
      </c>
      <c r="J79">
        <v>1300</v>
      </c>
      <c r="K79">
        <v>1400</v>
      </c>
      <c r="L79">
        <v>1800</v>
      </c>
      <c r="M79">
        <v>1900</v>
      </c>
      <c r="N79">
        <v>2800</v>
      </c>
      <c r="O79">
        <v>2900</v>
      </c>
    </row>
    <row r="80" spans="1:15" x14ac:dyDescent="0.3">
      <c r="A80" t="s">
        <v>431</v>
      </c>
      <c r="B80" t="s">
        <v>450</v>
      </c>
      <c r="C80" t="s">
        <v>459</v>
      </c>
      <c r="D80" t="s">
        <v>415</v>
      </c>
      <c r="E80" t="s">
        <v>360</v>
      </c>
      <c r="F80">
        <v>600</v>
      </c>
      <c r="G80">
        <v>600</v>
      </c>
      <c r="H80">
        <v>600</v>
      </c>
      <c r="I80">
        <v>600</v>
      </c>
      <c r="J80">
        <v>1100</v>
      </c>
      <c r="K80">
        <v>1100</v>
      </c>
      <c r="L80">
        <v>2100</v>
      </c>
      <c r="M80">
        <v>2100</v>
      </c>
      <c r="N80">
        <v>2100</v>
      </c>
      <c r="O80">
        <v>2100</v>
      </c>
    </row>
    <row r="81" spans="1:15" x14ac:dyDescent="0.3">
      <c r="A81" t="s">
        <v>431</v>
      </c>
      <c r="B81" t="s">
        <v>441</v>
      </c>
      <c r="C81" t="s">
        <v>459</v>
      </c>
      <c r="D81" t="s">
        <v>406</v>
      </c>
      <c r="E81" t="s">
        <v>360</v>
      </c>
      <c r="F81">
        <v>1200</v>
      </c>
      <c r="G81">
        <v>1200</v>
      </c>
      <c r="H81">
        <v>1200</v>
      </c>
      <c r="I81">
        <v>1200</v>
      </c>
      <c r="J81">
        <v>1200</v>
      </c>
      <c r="K81">
        <v>1200</v>
      </c>
      <c r="L81">
        <v>1200</v>
      </c>
      <c r="M81">
        <v>1200</v>
      </c>
      <c r="N81">
        <v>1200</v>
      </c>
      <c r="O81">
        <v>1200</v>
      </c>
    </row>
    <row r="82" spans="1:15" x14ac:dyDescent="0.3">
      <c r="A82" t="s">
        <v>431</v>
      </c>
      <c r="B82" t="s">
        <v>440</v>
      </c>
      <c r="C82" t="s">
        <v>459</v>
      </c>
      <c r="D82" t="s">
        <v>405</v>
      </c>
      <c r="E82" t="s">
        <v>360</v>
      </c>
      <c r="F82">
        <v>2000</v>
      </c>
      <c r="G82">
        <v>2000</v>
      </c>
      <c r="H82">
        <v>2000</v>
      </c>
      <c r="I82">
        <v>2000</v>
      </c>
      <c r="J82">
        <v>2000</v>
      </c>
      <c r="K82">
        <v>2000</v>
      </c>
      <c r="L82">
        <v>2000</v>
      </c>
      <c r="M82">
        <v>2000</v>
      </c>
      <c r="N82">
        <v>2000</v>
      </c>
      <c r="O82">
        <v>2000</v>
      </c>
    </row>
    <row r="83" spans="1:15" x14ac:dyDescent="0.3">
      <c r="A83" t="s">
        <v>432</v>
      </c>
      <c r="B83" t="s">
        <v>540</v>
      </c>
      <c r="C83" t="s">
        <v>395</v>
      </c>
      <c r="D83" t="s">
        <v>541</v>
      </c>
      <c r="E83" t="s">
        <v>360</v>
      </c>
      <c r="F83">
        <v>300</v>
      </c>
      <c r="G83">
        <v>300</v>
      </c>
      <c r="H83">
        <v>1250</v>
      </c>
      <c r="I83">
        <v>1200</v>
      </c>
      <c r="J83">
        <v>1100</v>
      </c>
      <c r="K83">
        <v>1100</v>
      </c>
      <c r="L83">
        <v>1100</v>
      </c>
      <c r="M83">
        <v>1100</v>
      </c>
      <c r="N83">
        <v>1100</v>
      </c>
      <c r="O83">
        <v>1100</v>
      </c>
    </row>
    <row r="84" spans="1:15" x14ac:dyDescent="0.3">
      <c r="A84" t="s">
        <v>543</v>
      </c>
      <c r="B84" t="s">
        <v>538</v>
      </c>
      <c r="C84" t="s">
        <v>396</v>
      </c>
      <c r="D84" t="s">
        <v>396</v>
      </c>
      <c r="E84" t="s">
        <v>360</v>
      </c>
      <c r="F84">
        <v>300</v>
      </c>
      <c r="G84">
        <v>300</v>
      </c>
      <c r="H84">
        <v>400</v>
      </c>
      <c r="I84">
        <v>400</v>
      </c>
      <c r="J84">
        <v>400</v>
      </c>
      <c r="K84">
        <v>400</v>
      </c>
      <c r="L84">
        <v>400</v>
      </c>
      <c r="M84">
        <v>400</v>
      </c>
      <c r="N84">
        <v>400</v>
      </c>
      <c r="O84">
        <v>400</v>
      </c>
    </row>
    <row r="85" spans="1:15" x14ac:dyDescent="0.3">
      <c r="A85" t="s">
        <v>543</v>
      </c>
      <c r="B85" t="s">
        <v>538</v>
      </c>
      <c r="C85" t="s">
        <v>396</v>
      </c>
      <c r="D85" t="s">
        <v>396</v>
      </c>
      <c r="E85" t="s">
        <v>360</v>
      </c>
      <c r="F85">
        <v>300</v>
      </c>
      <c r="G85">
        <v>300</v>
      </c>
      <c r="H85">
        <v>400</v>
      </c>
      <c r="I85">
        <v>400</v>
      </c>
      <c r="J85">
        <v>400</v>
      </c>
      <c r="K85">
        <v>400</v>
      </c>
      <c r="L85">
        <v>400</v>
      </c>
      <c r="M85">
        <v>400</v>
      </c>
      <c r="N85">
        <v>400</v>
      </c>
      <c r="O85">
        <v>400</v>
      </c>
    </row>
    <row r="86" spans="1:15" x14ac:dyDescent="0.3">
      <c r="A86" t="s">
        <v>543</v>
      </c>
      <c r="B86" t="s">
        <v>544</v>
      </c>
      <c r="C86" t="s">
        <v>396</v>
      </c>
      <c r="D86" t="s">
        <v>396</v>
      </c>
      <c r="E86" t="s">
        <v>360</v>
      </c>
      <c r="F86">
        <v>1400</v>
      </c>
      <c r="G86">
        <v>2600</v>
      </c>
      <c r="H86">
        <v>1750</v>
      </c>
      <c r="I86">
        <v>3200</v>
      </c>
      <c r="J86">
        <v>2750</v>
      </c>
      <c r="K86">
        <v>4200</v>
      </c>
      <c r="L86">
        <v>2750</v>
      </c>
      <c r="M86">
        <v>4200</v>
      </c>
      <c r="N86">
        <v>2750</v>
      </c>
      <c r="O86">
        <v>4200</v>
      </c>
    </row>
    <row r="87" spans="1:15" x14ac:dyDescent="0.3">
      <c r="A87" t="s">
        <v>543</v>
      </c>
      <c r="B87" t="s">
        <v>515</v>
      </c>
      <c r="C87" t="s">
        <v>396</v>
      </c>
      <c r="D87" t="s">
        <v>396</v>
      </c>
      <c r="E87" t="s">
        <v>360</v>
      </c>
      <c r="F87">
        <v>1550</v>
      </c>
      <c r="G87">
        <v>3750</v>
      </c>
      <c r="H87">
        <v>2100</v>
      </c>
      <c r="I87">
        <v>4100</v>
      </c>
      <c r="J87">
        <v>2100</v>
      </c>
      <c r="K87">
        <v>4100</v>
      </c>
      <c r="L87">
        <v>2100</v>
      </c>
      <c r="M87">
        <v>4100</v>
      </c>
      <c r="N87">
        <v>2100</v>
      </c>
      <c r="O87">
        <v>4100</v>
      </c>
    </row>
    <row r="88" spans="1:15" x14ac:dyDescent="0.3">
      <c r="A88" t="s">
        <v>544</v>
      </c>
      <c r="B88" t="s">
        <v>542</v>
      </c>
      <c r="C88" t="s">
        <v>396</v>
      </c>
      <c r="D88" t="s">
        <v>396</v>
      </c>
      <c r="E88" t="s">
        <v>360</v>
      </c>
      <c r="F88">
        <v>9999</v>
      </c>
      <c r="G88">
        <v>4500</v>
      </c>
      <c r="H88">
        <v>9999</v>
      </c>
      <c r="I88">
        <v>5700</v>
      </c>
      <c r="J88">
        <v>9999</v>
      </c>
      <c r="K88">
        <v>5700</v>
      </c>
      <c r="L88">
        <v>9999</v>
      </c>
      <c r="M88">
        <v>5700</v>
      </c>
      <c r="N88">
        <v>10999</v>
      </c>
      <c r="O88">
        <v>6700</v>
      </c>
    </row>
    <row r="89" spans="1:15" x14ac:dyDescent="0.3">
      <c r="A89" t="s">
        <v>544</v>
      </c>
      <c r="B89" t="s">
        <v>545</v>
      </c>
      <c r="C89" t="s">
        <v>396</v>
      </c>
      <c r="D89" t="s">
        <v>396</v>
      </c>
      <c r="E89" t="s">
        <v>360</v>
      </c>
      <c r="F89">
        <v>700</v>
      </c>
      <c r="G89">
        <v>900</v>
      </c>
      <c r="H89">
        <v>700</v>
      </c>
      <c r="I89">
        <v>900</v>
      </c>
      <c r="J89">
        <v>700</v>
      </c>
      <c r="K89">
        <v>900</v>
      </c>
      <c r="L89">
        <v>700</v>
      </c>
      <c r="M89">
        <v>900</v>
      </c>
      <c r="N89">
        <v>700</v>
      </c>
      <c r="O89">
        <v>900</v>
      </c>
    </row>
    <row r="90" spans="1:15" x14ac:dyDescent="0.3">
      <c r="A90" t="s">
        <v>544</v>
      </c>
      <c r="B90" t="s">
        <v>446</v>
      </c>
      <c r="C90" t="s">
        <v>396</v>
      </c>
      <c r="D90" t="s">
        <v>411</v>
      </c>
      <c r="E90" t="s">
        <v>360</v>
      </c>
      <c r="F90">
        <v>600</v>
      </c>
      <c r="G90">
        <v>600</v>
      </c>
      <c r="H90">
        <v>1200</v>
      </c>
      <c r="I90">
        <v>1200</v>
      </c>
      <c r="J90">
        <v>1200</v>
      </c>
      <c r="K90">
        <v>1200</v>
      </c>
      <c r="L90">
        <v>1200</v>
      </c>
      <c r="M90">
        <v>1200</v>
      </c>
      <c r="N90">
        <v>1200</v>
      </c>
      <c r="O90">
        <v>1200</v>
      </c>
    </row>
    <row r="91" spans="1:15" x14ac:dyDescent="0.3">
      <c r="A91" t="s">
        <v>515</v>
      </c>
      <c r="B91" t="s">
        <v>441</v>
      </c>
      <c r="C91" t="s">
        <v>396</v>
      </c>
      <c r="D91" t="s">
        <v>406</v>
      </c>
      <c r="E91" t="s">
        <v>360</v>
      </c>
      <c r="F91">
        <v>680</v>
      </c>
      <c r="G91">
        <v>730</v>
      </c>
      <c r="H91">
        <v>1660</v>
      </c>
      <c r="I91">
        <v>1895</v>
      </c>
      <c r="J91">
        <v>1660</v>
      </c>
      <c r="K91">
        <v>1895</v>
      </c>
      <c r="L91">
        <v>1660</v>
      </c>
      <c r="M91">
        <v>1895</v>
      </c>
      <c r="N91">
        <v>1660</v>
      </c>
      <c r="O91">
        <v>1895</v>
      </c>
    </row>
    <row r="92" spans="1:15" x14ac:dyDescent="0.3">
      <c r="A92" t="s">
        <v>545</v>
      </c>
      <c r="B92" t="s">
        <v>538</v>
      </c>
      <c r="C92" t="s">
        <v>396</v>
      </c>
      <c r="D92" t="s">
        <v>396</v>
      </c>
      <c r="E92" t="s">
        <v>360</v>
      </c>
      <c r="F92">
        <v>350</v>
      </c>
      <c r="G92">
        <v>300</v>
      </c>
      <c r="H92">
        <v>500</v>
      </c>
      <c r="I92">
        <v>450</v>
      </c>
      <c r="J92">
        <v>500</v>
      </c>
      <c r="K92">
        <v>450</v>
      </c>
      <c r="L92">
        <v>500</v>
      </c>
      <c r="M92">
        <v>450</v>
      </c>
      <c r="N92">
        <v>500</v>
      </c>
      <c r="O92">
        <v>450</v>
      </c>
    </row>
    <row r="93" spans="1:15" x14ac:dyDescent="0.3">
      <c r="A93" t="s">
        <v>546</v>
      </c>
      <c r="B93" t="s">
        <v>545</v>
      </c>
      <c r="C93" t="s">
        <v>396</v>
      </c>
      <c r="D93" t="s">
        <v>396</v>
      </c>
      <c r="E93" t="s">
        <v>360</v>
      </c>
      <c r="F93">
        <v>0</v>
      </c>
      <c r="G93">
        <v>0</v>
      </c>
      <c r="H93">
        <v>0</v>
      </c>
      <c r="I93">
        <v>0</v>
      </c>
      <c r="J93">
        <v>1000</v>
      </c>
      <c r="K93">
        <v>1000</v>
      </c>
      <c r="L93">
        <v>1000</v>
      </c>
      <c r="M93">
        <v>1000</v>
      </c>
      <c r="N93">
        <v>1000</v>
      </c>
      <c r="O93">
        <v>1000</v>
      </c>
    </row>
    <row r="94" spans="1:15" x14ac:dyDescent="0.3">
      <c r="A94" t="s">
        <v>546</v>
      </c>
      <c r="B94" t="s">
        <v>435</v>
      </c>
      <c r="C94" t="s">
        <v>396</v>
      </c>
      <c r="D94" t="s">
        <v>400</v>
      </c>
      <c r="E94" t="s">
        <v>360</v>
      </c>
      <c r="F94">
        <v>200</v>
      </c>
      <c r="G94">
        <v>200</v>
      </c>
      <c r="H94">
        <v>200</v>
      </c>
      <c r="I94">
        <v>200</v>
      </c>
      <c r="J94">
        <v>200</v>
      </c>
      <c r="K94">
        <v>200</v>
      </c>
      <c r="L94">
        <v>200</v>
      </c>
      <c r="M94">
        <v>200</v>
      </c>
      <c r="N94">
        <v>200</v>
      </c>
      <c r="O94">
        <v>200</v>
      </c>
    </row>
    <row r="95" spans="1:15" x14ac:dyDescent="0.3">
      <c r="A95" t="s">
        <v>546</v>
      </c>
      <c r="B95" t="s">
        <v>451</v>
      </c>
      <c r="C95" t="s">
        <v>396</v>
      </c>
      <c r="D95" t="s">
        <v>416</v>
      </c>
      <c r="E95" t="s">
        <v>360</v>
      </c>
      <c r="F95">
        <v>0</v>
      </c>
      <c r="G95">
        <v>0</v>
      </c>
      <c r="H95">
        <v>600</v>
      </c>
      <c r="I95">
        <v>600</v>
      </c>
      <c r="J95">
        <v>600</v>
      </c>
      <c r="K95">
        <v>600</v>
      </c>
      <c r="L95">
        <v>600</v>
      </c>
      <c r="M95">
        <v>600</v>
      </c>
      <c r="N95">
        <v>600</v>
      </c>
      <c r="O95">
        <v>600</v>
      </c>
    </row>
    <row r="96" spans="1:15" x14ac:dyDescent="0.3">
      <c r="A96" t="s">
        <v>542</v>
      </c>
      <c r="B96" t="s">
        <v>546</v>
      </c>
      <c r="C96" t="s">
        <v>396</v>
      </c>
      <c r="D96" t="s">
        <v>396</v>
      </c>
      <c r="E96" t="s">
        <v>360</v>
      </c>
      <c r="F96">
        <v>1100</v>
      </c>
      <c r="G96">
        <v>1200</v>
      </c>
      <c r="H96">
        <v>1100</v>
      </c>
      <c r="I96">
        <v>1200</v>
      </c>
      <c r="J96">
        <v>2100</v>
      </c>
      <c r="K96">
        <v>2200</v>
      </c>
      <c r="L96">
        <v>2100</v>
      </c>
      <c r="M96">
        <v>2200</v>
      </c>
      <c r="N96">
        <v>2100</v>
      </c>
      <c r="O96">
        <v>2200</v>
      </c>
    </row>
    <row r="97" spans="1:15" x14ac:dyDescent="0.3">
      <c r="A97" t="s">
        <v>464</v>
      </c>
      <c r="B97" t="s">
        <v>434</v>
      </c>
      <c r="C97" t="s">
        <v>398</v>
      </c>
      <c r="D97" t="s">
        <v>397</v>
      </c>
      <c r="E97" t="s">
        <v>360</v>
      </c>
      <c r="F97">
        <v>1200</v>
      </c>
      <c r="G97">
        <v>1500</v>
      </c>
      <c r="H97">
        <v>1200</v>
      </c>
      <c r="I97">
        <v>1500</v>
      </c>
      <c r="J97">
        <v>1200</v>
      </c>
      <c r="K97">
        <v>1500</v>
      </c>
      <c r="L97">
        <v>1200</v>
      </c>
      <c r="M97">
        <v>1500</v>
      </c>
      <c r="N97">
        <v>1200</v>
      </c>
      <c r="O97">
        <v>1500</v>
      </c>
    </row>
    <row r="98" spans="1:15" x14ac:dyDescent="0.3">
      <c r="A98" t="s">
        <v>464</v>
      </c>
      <c r="B98" t="s">
        <v>437</v>
      </c>
      <c r="C98" t="s">
        <v>398</v>
      </c>
      <c r="D98" t="s">
        <v>402</v>
      </c>
      <c r="E98" t="s">
        <v>360</v>
      </c>
      <c r="F98">
        <v>500</v>
      </c>
      <c r="G98">
        <v>500</v>
      </c>
      <c r="H98">
        <v>1000</v>
      </c>
      <c r="I98">
        <v>1000</v>
      </c>
      <c r="J98">
        <v>500</v>
      </c>
      <c r="K98">
        <v>500</v>
      </c>
      <c r="L98">
        <v>1000</v>
      </c>
      <c r="M98">
        <v>1000</v>
      </c>
      <c r="N98">
        <v>1000</v>
      </c>
      <c r="O98">
        <v>1000</v>
      </c>
    </row>
    <row r="99" spans="1:15" x14ac:dyDescent="0.3">
      <c r="A99" t="s">
        <v>464</v>
      </c>
      <c r="B99" t="s">
        <v>532</v>
      </c>
      <c r="C99" t="s">
        <v>398</v>
      </c>
      <c r="D99" t="s">
        <v>408</v>
      </c>
      <c r="E99" t="s">
        <v>360</v>
      </c>
      <c r="F99">
        <v>700</v>
      </c>
      <c r="G99">
        <v>700</v>
      </c>
      <c r="H99">
        <v>700</v>
      </c>
      <c r="I99">
        <v>700</v>
      </c>
      <c r="J99">
        <v>700</v>
      </c>
      <c r="K99">
        <v>700</v>
      </c>
      <c r="L99">
        <v>700</v>
      </c>
      <c r="M99">
        <v>700</v>
      </c>
      <c r="N99">
        <v>700</v>
      </c>
      <c r="O99">
        <v>700</v>
      </c>
    </row>
    <row r="100" spans="1:15" x14ac:dyDescent="0.3">
      <c r="A100" t="s">
        <v>446</v>
      </c>
      <c r="B100" t="s">
        <v>450</v>
      </c>
      <c r="C100" t="s">
        <v>411</v>
      </c>
      <c r="D100" t="s">
        <v>415</v>
      </c>
      <c r="E100" t="s">
        <v>360</v>
      </c>
      <c r="F100">
        <v>500</v>
      </c>
      <c r="G100">
        <v>600</v>
      </c>
      <c r="H100">
        <v>700</v>
      </c>
      <c r="I100">
        <v>700</v>
      </c>
      <c r="J100">
        <v>1000</v>
      </c>
      <c r="K100">
        <v>1100</v>
      </c>
      <c r="L100">
        <v>1000</v>
      </c>
      <c r="M100">
        <v>1100</v>
      </c>
      <c r="N100">
        <v>1500</v>
      </c>
      <c r="O100">
        <v>1600</v>
      </c>
    </row>
    <row r="101" spans="1:15" x14ac:dyDescent="0.3">
      <c r="A101" t="s">
        <v>448</v>
      </c>
      <c r="B101" t="s">
        <v>450</v>
      </c>
      <c r="C101" t="s">
        <v>413</v>
      </c>
      <c r="D101" t="s">
        <v>415</v>
      </c>
      <c r="E101" t="s">
        <v>360</v>
      </c>
      <c r="F101">
        <v>650</v>
      </c>
      <c r="G101">
        <v>800</v>
      </c>
      <c r="H101">
        <v>750</v>
      </c>
      <c r="I101">
        <v>750</v>
      </c>
      <c r="J101">
        <v>650</v>
      </c>
      <c r="K101">
        <v>800</v>
      </c>
      <c r="L101">
        <v>1650</v>
      </c>
      <c r="M101">
        <v>1800</v>
      </c>
      <c r="N101">
        <v>1650</v>
      </c>
      <c r="O101">
        <v>1800</v>
      </c>
    </row>
    <row r="102" spans="1:15" x14ac:dyDescent="0.3">
      <c r="A102" t="s">
        <v>436</v>
      </c>
      <c r="B102" t="s">
        <v>531</v>
      </c>
      <c r="C102" t="s">
        <v>401</v>
      </c>
      <c r="D102" t="s">
        <v>414</v>
      </c>
      <c r="E102" t="s">
        <v>360</v>
      </c>
      <c r="F102">
        <v>700</v>
      </c>
      <c r="G102">
        <v>700</v>
      </c>
      <c r="H102">
        <v>700</v>
      </c>
      <c r="I102">
        <v>700</v>
      </c>
      <c r="J102">
        <v>1700</v>
      </c>
      <c r="K102">
        <v>1700</v>
      </c>
      <c r="L102">
        <v>1700</v>
      </c>
      <c r="M102">
        <v>1700</v>
      </c>
      <c r="N102">
        <v>1700</v>
      </c>
      <c r="O102">
        <v>1700</v>
      </c>
    </row>
    <row r="103" spans="1:15" x14ac:dyDescent="0.3">
      <c r="A103" t="s">
        <v>547</v>
      </c>
      <c r="B103" t="s">
        <v>534</v>
      </c>
      <c r="C103" t="s">
        <v>414</v>
      </c>
      <c r="D103" t="s">
        <v>414</v>
      </c>
      <c r="E103" t="s">
        <v>360</v>
      </c>
      <c r="F103">
        <v>1300</v>
      </c>
      <c r="G103">
        <v>1300</v>
      </c>
      <c r="H103">
        <v>1300</v>
      </c>
      <c r="I103">
        <v>1300</v>
      </c>
      <c r="J103">
        <v>1300</v>
      </c>
      <c r="K103">
        <v>1300</v>
      </c>
      <c r="L103">
        <v>1300</v>
      </c>
      <c r="M103">
        <v>1300</v>
      </c>
      <c r="N103">
        <v>1300</v>
      </c>
      <c r="O103">
        <v>1300</v>
      </c>
    </row>
    <row r="104" spans="1:15" x14ac:dyDescent="0.3">
      <c r="A104" t="s">
        <v>547</v>
      </c>
      <c r="B104" t="s">
        <v>531</v>
      </c>
      <c r="C104" t="s">
        <v>414</v>
      </c>
      <c r="D104" t="s">
        <v>414</v>
      </c>
      <c r="E104" t="s">
        <v>360</v>
      </c>
      <c r="F104">
        <v>1400</v>
      </c>
      <c r="G104">
        <v>1400</v>
      </c>
      <c r="H104">
        <v>1400</v>
      </c>
      <c r="I104">
        <v>1400</v>
      </c>
      <c r="J104">
        <v>1400</v>
      </c>
      <c r="K104">
        <v>1400</v>
      </c>
      <c r="L104">
        <v>1400</v>
      </c>
      <c r="M104">
        <v>1400</v>
      </c>
      <c r="N104">
        <v>1900</v>
      </c>
      <c r="O104">
        <v>1900</v>
      </c>
    </row>
    <row r="105" spans="1:15" x14ac:dyDescent="0.3">
      <c r="A105" t="s">
        <v>547</v>
      </c>
      <c r="B105" t="s">
        <v>536</v>
      </c>
      <c r="C105" t="s">
        <v>414</v>
      </c>
      <c r="D105" t="s">
        <v>408</v>
      </c>
      <c r="E105" t="s">
        <v>360</v>
      </c>
      <c r="F105">
        <v>600</v>
      </c>
      <c r="G105">
        <v>1000</v>
      </c>
      <c r="H105">
        <v>600</v>
      </c>
      <c r="I105">
        <v>1000</v>
      </c>
      <c r="J105">
        <v>600</v>
      </c>
      <c r="K105">
        <v>1000</v>
      </c>
      <c r="L105">
        <v>600</v>
      </c>
      <c r="M105">
        <v>1000</v>
      </c>
      <c r="N105">
        <v>600</v>
      </c>
      <c r="O105">
        <v>1000</v>
      </c>
    </row>
    <row r="106" spans="1:15" x14ac:dyDescent="0.3">
      <c r="A106" t="s">
        <v>534</v>
      </c>
      <c r="B106" t="s">
        <v>535</v>
      </c>
      <c r="C106" t="s">
        <v>414</v>
      </c>
      <c r="D106" t="s">
        <v>408</v>
      </c>
      <c r="E106" t="s">
        <v>360</v>
      </c>
      <c r="F106">
        <v>700</v>
      </c>
      <c r="G106">
        <v>600</v>
      </c>
      <c r="H106">
        <v>700</v>
      </c>
      <c r="I106">
        <v>600</v>
      </c>
      <c r="J106">
        <v>700</v>
      </c>
      <c r="K106">
        <v>600</v>
      </c>
      <c r="L106">
        <v>700</v>
      </c>
      <c r="M106">
        <v>600</v>
      </c>
      <c r="N106">
        <v>700</v>
      </c>
      <c r="O106">
        <v>600</v>
      </c>
    </row>
    <row r="107" spans="1:15" x14ac:dyDescent="0.3">
      <c r="A107" t="s">
        <v>534</v>
      </c>
      <c r="B107" t="s">
        <v>536</v>
      </c>
      <c r="C107" t="s">
        <v>414</v>
      </c>
      <c r="D107" t="s">
        <v>408</v>
      </c>
      <c r="E107" t="s">
        <v>360</v>
      </c>
      <c r="F107">
        <v>250</v>
      </c>
      <c r="G107">
        <v>300</v>
      </c>
      <c r="H107">
        <v>250</v>
      </c>
      <c r="I107">
        <v>300</v>
      </c>
      <c r="J107">
        <v>250</v>
      </c>
      <c r="K107">
        <v>300</v>
      </c>
      <c r="L107">
        <v>250</v>
      </c>
      <c r="M107">
        <v>300</v>
      </c>
      <c r="N107">
        <v>750</v>
      </c>
      <c r="O107">
        <v>800</v>
      </c>
    </row>
    <row r="108" spans="1:15" x14ac:dyDescent="0.3">
      <c r="A108" t="s">
        <v>531</v>
      </c>
      <c r="B108" t="s">
        <v>533</v>
      </c>
      <c r="C108" t="s">
        <v>414</v>
      </c>
      <c r="D108" t="s">
        <v>408</v>
      </c>
      <c r="E108" t="s">
        <v>360</v>
      </c>
      <c r="F108">
        <v>2145</v>
      </c>
      <c r="G108">
        <v>2095</v>
      </c>
      <c r="H108">
        <v>2145</v>
      </c>
      <c r="I108">
        <v>2095</v>
      </c>
      <c r="J108">
        <v>2145</v>
      </c>
      <c r="K108">
        <v>2095</v>
      </c>
      <c r="L108">
        <v>2145</v>
      </c>
      <c r="M108">
        <v>2095</v>
      </c>
      <c r="N108">
        <v>2145</v>
      </c>
      <c r="O108">
        <v>2095</v>
      </c>
    </row>
    <row r="109" spans="1:15" x14ac:dyDescent="0.3">
      <c r="A109" t="s">
        <v>524</v>
      </c>
      <c r="B109" t="s">
        <v>440</v>
      </c>
      <c r="C109" t="s">
        <v>402</v>
      </c>
      <c r="D109" t="s">
        <v>405</v>
      </c>
      <c r="E109" t="s">
        <v>360</v>
      </c>
      <c r="F109">
        <v>990</v>
      </c>
      <c r="G109">
        <v>0</v>
      </c>
      <c r="H109">
        <v>990</v>
      </c>
      <c r="I109">
        <v>0</v>
      </c>
      <c r="J109">
        <v>990</v>
      </c>
      <c r="K109">
        <v>0</v>
      </c>
      <c r="L109">
        <v>990</v>
      </c>
      <c r="M109">
        <v>0</v>
      </c>
      <c r="N109">
        <v>990</v>
      </c>
      <c r="O109">
        <v>0</v>
      </c>
    </row>
    <row r="110" spans="1:15" x14ac:dyDescent="0.3">
      <c r="A110" t="s">
        <v>525</v>
      </c>
      <c r="B110" t="s">
        <v>440</v>
      </c>
      <c r="C110" t="s">
        <v>402</v>
      </c>
      <c r="D110" t="s">
        <v>405</v>
      </c>
      <c r="E110" t="s">
        <v>360</v>
      </c>
      <c r="F110">
        <v>0</v>
      </c>
      <c r="G110">
        <v>990</v>
      </c>
      <c r="H110">
        <v>0</v>
      </c>
      <c r="I110">
        <v>990</v>
      </c>
      <c r="J110">
        <v>0</v>
      </c>
      <c r="K110">
        <v>990</v>
      </c>
      <c r="L110">
        <v>0</v>
      </c>
      <c r="M110">
        <v>990</v>
      </c>
      <c r="N110">
        <v>0</v>
      </c>
      <c r="O110">
        <v>990</v>
      </c>
    </row>
    <row r="111" spans="1:15" x14ac:dyDescent="0.3">
      <c r="A111" t="s">
        <v>437</v>
      </c>
      <c r="B111" t="s">
        <v>524</v>
      </c>
      <c r="C111" t="s">
        <v>402</v>
      </c>
      <c r="D111" t="s">
        <v>402</v>
      </c>
      <c r="E111" t="s">
        <v>360</v>
      </c>
      <c r="F111">
        <v>2500</v>
      </c>
      <c r="G111">
        <v>0</v>
      </c>
      <c r="H111">
        <v>3000</v>
      </c>
      <c r="I111">
        <v>0</v>
      </c>
      <c r="J111">
        <v>3000</v>
      </c>
      <c r="K111">
        <v>0</v>
      </c>
      <c r="L111">
        <v>3000</v>
      </c>
      <c r="M111">
        <v>0</v>
      </c>
      <c r="N111">
        <v>3000</v>
      </c>
      <c r="O111">
        <v>0</v>
      </c>
    </row>
    <row r="112" spans="1:15" x14ac:dyDescent="0.3">
      <c r="A112" t="s">
        <v>437</v>
      </c>
      <c r="B112" t="s">
        <v>525</v>
      </c>
      <c r="C112" t="s">
        <v>402</v>
      </c>
      <c r="D112" t="s">
        <v>402</v>
      </c>
      <c r="E112" t="s">
        <v>360</v>
      </c>
      <c r="F112">
        <v>0</v>
      </c>
      <c r="G112">
        <v>500</v>
      </c>
      <c r="H112">
        <v>0</v>
      </c>
      <c r="I112">
        <v>2000</v>
      </c>
      <c r="J112">
        <v>0</v>
      </c>
      <c r="K112">
        <v>4500</v>
      </c>
      <c r="L112">
        <v>0</v>
      </c>
      <c r="M112">
        <v>3500</v>
      </c>
      <c r="N112">
        <v>0</v>
      </c>
      <c r="O112">
        <v>4500</v>
      </c>
    </row>
    <row r="113" spans="1:15" x14ac:dyDescent="0.3">
      <c r="A113" t="s">
        <v>437</v>
      </c>
      <c r="B113" t="s">
        <v>532</v>
      </c>
      <c r="C113" t="s">
        <v>402</v>
      </c>
      <c r="D113" t="s">
        <v>408</v>
      </c>
      <c r="E113" t="s">
        <v>360</v>
      </c>
      <c r="F113">
        <v>600</v>
      </c>
      <c r="G113">
        <v>600</v>
      </c>
      <c r="H113">
        <v>600</v>
      </c>
      <c r="I113">
        <v>600</v>
      </c>
      <c r="J113">
        <v>600</v>
      </c>
      <c r="K113">
        <v>600</v>
      </c>
      <c r="L113">
        <v>600</v>
      </c>
      <c r="M113">
        <v>600</v>
      </c>
      <c r="N113">
        <v>1100</v>
      </c>
      <c r="O113">
        <v>1100</v>
      </c>
    </row>
    <row r="114" spans="1:15" x14ac:dyDescent="0.3">
      <c r="A114" t="s">
        <v>439</v>
      </c>
      <c r="B114" t="s">
        <v>450</v>
      </c>
      <c r="C114" t="s">
        <v>404</v>
      </c>
      <c r="D114" t="s">
        <v>415</v>
      </c>
      <c r="E114" t="s">
        <v>360</v>
      </c>
      <c r="F114">
        <v>1000</v>
      </c>
      <c r="G114">
        <v>800</v>
      </c>
      <c r="H114">
        <v>1300</v>
      </c>
      <c r="I114">
        <v>1300</v>
      </c>
      <c r="J114">
        <v>1450</v>
      </c>
      <c r="K114">
        <v>1050</v>
      </c>
      <c r="L114">
        <v>1950</v>
      </c>
      <c r="M114">
        <v>1550</v>
      </c>
      <c r="N114">
        <v>2950</v>
      </c>
      <c r="O114">
        <v>2550</v>
      </c>
    </row>
    <row r="115" spans="1:15" x14ac:dyDescent="0.3">
      <c r="A115" t="s">
        <v>535</v>
      </c>
      <c r="B115" t="s">
        <v>536</v>
      </c>
      <c r="C115" t="s">
        <v>408</v>
      </c>
      <c r="D115" t="s">
        <v>408</v>
      </c>
      <c r="E115" t="s">
        <v>360</v>
      </c>
      <c r="F115">
        <v>3300</v>
      </c>
      <c r="G115">
        <v>3300</v>
      </c>
      <c r="H115">
        <v>3300</v>
      </c>
      <c r="I115">
        <v>3300</v>
      </c>
      <c r="J115">
        <v>3300</v>
      </c>
      <c r="K115">
        <v>3300</v>
      </c>
      <c r="L115">
        <v>3300</v>
      </c>
      <c r="M115">
        <v>3300</v>
      </c>
      <c r="N115">
        <v>3300</v>
      </c>
      <c r="O115">
        <v>3300</v>
      </c>
    </row>
    <row r="116" spans="1:15" x14ac:dyDescent="0.3">
      <c r="A116" t="s">
        <v>536</v>
      </c>
      <c r="B116" t="s">
        <v>533</v>
      </c>
      <c r="C116" t="s">
        <v>408</v>
      </c>
      <c r="D116" t="s">
        <v>408</v>
      </c>
      <c r="E116" t="s">
        <v>360</v>
      </c>
      <c r="F116">
        <v>7800</v>
      </c>
      <c r="G116">
        <v>7800</v>
      </c>
      <c r="H116">
        <v>7800</v>
      </c>
      <c r="I116">
        <v>7800</v>
      </c>
      <c r="J116">
        <v>8300</v>
      </c>
      <c r="K116">
        <v>8300</v>
      </c>
      <c r="L116">
        <v>8300</v>
      </c>
      <c r="M116">
        <v>8300</v>
      </c>
      <c r="N116">
        <v>8300</v>
      </c>
      <c r="O116">
        <v>8300</v>
      </c>
    </row>
    <row r="117" spans="1:15" x14ac:dyDescent="0.3">
      <c r="A117" t="s">
        <v>533</v>
      </c>
      <c r="B117" t="s">
        <v>532</v>
      </c>
      <c r="C117" t="s">
        <v>408</v>
      </c>
      <c r="D117" t="s">
        <v>408</v>
      </c>
      <c r="E117" t="s">
        <v>360</v>
      </c>
      <c r="F117">
        <v>6500</v>
      </c>
      <c r="G117">
        <v>3200</v>
      </c>
      <c r="H117">
        <v>7200</v>
      </c>
      <c r="I117">
        <v>3600</v>
      </c>
      <c r="J117">
        <v>7200</v>
      </c>
      <c r="K117">
        <v>3600</v>
      </c>
      <c r="L117">
        <v>7200</v>
      </c>
      <c r="M117">
        <v>3600</v>
      </c>
      <c r="N117">
        <v>7200</v>
      </c>
      <c r="O117">
        <v>3600</v>
      </c>
    </row>
    <row r="120" spans="1:15" ht="136.5" customHeight="1" x14ac:dyDescent="0.3">
      <c r="A120" s="73" t="s">
        <v>548</v>
      </c>
      <c r="B120" s="73"/>
      <c r="C120" s="73"/>
      <c r="D120" s="73"/>
      <c r="E120" s="73"/>
      <c r="F120" s="73"/>
    </row>
    <row r="121" spans="1:15" x14ac:dyDescent="0.3">
      <c r="G121" s="1" t="s">
        <v>549</v>
      </c>
    </row>
    <row r="122" spans="1:15" x14ac:dyDescent="0.3">
      <c r="A122" s="1" t="s">
        <v>550</v>
      </c>
      <c r="B122" t="s">
        <v>551</v>
      </c>
      <c r="G122" t="s">
        <v>552</v>
      </c>
    </row>
    <row r="123" spans="1:15" x14ac:dyDescent="0.3">
      <c r="A123" s="1" t="s">
        <v>553</v>
      </c>
      <c r="B123" t="s">
        <v>554</v>
      </c>
      <c r="G123" t="s">
        <v>555</v>
      </c>
    </row>
    <row r="124" spans="1:15" x14ac:dyDescent="0.3">
      <c r="A124" s="1" t="s">
        <v>556</v>
      </c>
      <c r="B124" t="s">
        <v>557</v>
      </c>
      <c r="G124" t="s">
        <v>558</v>
      </c>
    </row>
  </sheetData>
  <mergeCells count="6">
    <mergeCell ref="N1:O1"/>
    <mergeCell ref="A120:F120"/>
    <mergeCell ref="F1:G1"/>
    <mergeCell ref="H1:I1"/>
    <mergeCell ref="J1:K1"/>
    <mergeCell ref="L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tabSelected="1" workbookViewId="0">
      <pane xSplit="2" ySplit="2" topLeftCell="C3" activePane="bottomRight" state="frozen"/>
      <selection pane="topRight" activeCell="C1" sqref="C1"/>
      <selection pane="bottomLeft" activeCell="A3" sqref="A3"/>
      <selection pane="bottomRight" activeCell="M22" sqref="M22"/>
    </sheetView>
  </sheetViews>
  <sheetFormatPr defaultColWidth="8.58203125" defaultRowHeight="14" x14ac:dyDescent="0.3"/>
  <cols>
    <col min="1" max="2" width="21.33203125" style="59" customWidth="1"/>
    <col min="3" max="16384" width="8.58203125" style="59"/>
  </cols>
  <sheetData>
    <row r="1" spans="1:39" s="55" customFormat="1" x14ac:dyDescent="0.3">
      <c r="A1" s="54" t="s">
        <v>559</v>
      </c>
      <c r="B1" s="45" t="s">
        <v>72</v>
      </c>
      <c r="C1" s="45" t="s">
        <v>382</v>
      </c>
      <c r="D1" s="45" t="s">
        <v>383</v>
      </c>
      <c r="E1" s="45" t="s">
        <v>384</v>
      </c>
      <c r="F1" s="45" t="s">
        <v>385</v>
      </c>
      <c r="G1" s="45" t="s">
        <v>386</v>
      </c>
      <c r="H1" s="45" t="s">
        <v>387</v>
      </c>
      <c r="I1" s="45" t="s">
        <v>388</v>
      </c>
      <c r="J1" s="45" t="s">
        <v>389</v>
      </c>
      <c r="K1" s="45" t="s">
        <v>390</v>
      </c>
      <c r="L1" s="45" t="s">
        <v>391</v>
      </c>
      <c r="M1" s="45" t="s">
        <v>392</v>
      </c>
      <c r="N1" s="45" t="s">
        <v>393</v>
      </c>
      <c r="O1" s="45" t="s">
        <v>394</v>
      </c>
      <c r="P1" s="45" t="s">
        <v>395</v>
      </c>
      <c r="Q1" s="45" t="s">
        <v>396</v>
      </c>
      <c r="R1" s="45" t="s">
        <v>397</v>
      </c>
      <c r="S1" s="45" t="s">
        <v>398</v>
      </c>
      <c r="T1" s="45" t="s">
        <v>399</v>
      </c>
      <c r="U1" s="45" t="s">
        <v>400</v>
      </c>
      <c r="V1" s="45" t="s">
        <v>401</v>
      </c>
      <c r="W1" s="45" t="s">
        <v>402</v>
      </c>
      <c r="X1" s="45" t="s">
        <v>403</v>
      </c>
      <c r="Y1" s="45" t="s">
        <v>404</v>
      </c>
      <c r="Z1" s="45" t="s">
        <v>405</v>
      </c>
      <c r="AA1" s="45" t="s">
        <v>406</v>
      </c>
      <c r="AB1" s="45" t="s">
        <v>407</v>
      </c>
      <c r="AC1" s="45" t="s">
        <v>408</v>
      </c>
      <c r="AD1" s="45" t="s">
        <v>409</v>
      </c>
      <c r="AE1" s="45" t="s">
        <v>410</v>
      </c>
      <c r="AF1" s="45" t="s">
        <v>411</v>
      </c>
      <c r="AG1" s="45" t="s">
        <v>412</v>
      </c>
      <c r="AH1" s="45" t="s">
        <v>413</v>
      </c>
      <c r="AI1" s="45" t="s">
        <v>414</v>
      </c>
      <c r="AJ1" s="55" t="s">
        <v>415</v>
      </c>
      <c r="AK1" s="55" t="s">
        <v>416</v>
      </c>
      <c r="AL1" s="55" t="s">
        <v>417</v>
      </c>
      <c r="AM1" s="55" t="s">
        <v>418</v>
      </c>
    </row>
    <row r="2" spans="1:39" s="57" customFormat="1" x14ac:dyDescent="0.3">
      <c r="A2" s="54" t="s">
        <v>559</v>
      </c>
      <c r="B2" s="45" t="s">
        <v>72</v>
      </c>
      <c r="C2" s="46" t="s">
        <v>420</v>
      </c>
      <c r="D2" s="46" t="s">
        <v>421</v>
      </c>
      <c r="E2" s="46" t="s">
        <v>422</v>
      </c>
      <c r="F2" s="46" t="s">
        <v>423</v>
      </c>
      <c r="G2" s="46"/>
      <c r="H2" s="46" t="s">
        <v>424</v>
      </c>
      <c r="I2" s="46" t="s">
        <v>425</v>
      </c>
      <c r="J2" s="46" t="s">
        <v>426</v>
      </c>
      <c r="K2" s="46" t="s">
        <v>427</v>
      </c>
      <c r="L2" s="46" t="s">
        <v>428</v>
      </c>
      <c r="M2" s="46" t="s">
        <v>429</v>
      </c>
      <c r="N2" s="46" t="s">
        <v>430</v>
      </c>
      <c r="O2" s="46" t="s">
        <v>431</v>
      </c>
      <c r="P2" s="46" t="s">
        <v>432</v>
      </c>
      <c r="Q2" s="46" t="s">
        <v>433</v>
      </c>
      <c r="R2" s="46" t="s">
        <v>434</v>
      </c>
      <c r="S2" s="46"/>
      <c r="T2" s="46"/>
      <c r="U2" s="46" t="s">
        <v>435</v>
      </c>
      <c r="V2" s="46" t="s">
        <v>436</v>
      </c>
      <c r="W2" s="46" t="s">
        <v>437</v>
      </c>
      <c r="X2" s="46" t="s">
        <v>438</v>
      </c>
      <c r="Y2" s="46" t="s">
        <v>439</v>
      </c>
      <c r="Z2" s="46" t="s">
        <v>440</v>
      </c>
      <c r="AA2" s="46" t="s">
        <v>441</v>
      </c>
      <c r="AB2" s="46" t="s">
        <v>442</v>
      </c>
      <c r="AC2" s="46" t="s">
        <v>443</v>
      </c>
      <c r="AD2" s="46" t="s">
        <v>444</v>
      </c>
      <c r="AE2" s="46" t="s">
        <v>445</v>
      </c>
      <c r="AF2" s="46" t="s">
        <v>446</v>
      </c>
      <c r="AG2" s="46" t="s">
        <v>447</v>
      </c>
      <c r="AH2" s="46" t="s">
        <v>448</v>
      </c>
      <c r="AI2" s="46" t="s">
        <v>449</v>
      </c>
      <c r="AJ2" s="57" t="s">
        <v>450</v>
      </c>
      <c r="AK2" s="57" t="s">
        <v>451</v>
      </c>
      <c r="AL2" s="57" t="s">
        <v>452</v>
      </c>
      <c r="AM2" s="57" t="s">
        <v>453</v>
      </c>
    </row>
    <row r="3" spans="1:39" x14ac:dyDescent="0.3">
      <c r="A3" s="58" t="s">
        <v>560</v>
      </c>
      <c r="B3" s="58"/>
      <c r="C3" s="58">
        <v>534</v>
      </c>
      <c r="D3" s="58">
        <v>300</v>
      </c>
      <c r="E3" s="58">
        <v>250</v>
      </c>
      <c r="F3" s="58">
        <v>109</v>
      </c>
      <c r="G3" s="58"/>
      <c r="H3" s="58">
        <v>224</v>
      </c>
      <c r="I3" s="58">
        <v>441</v>
      </c>
      <c r="J3" s="58">
        <v>57</v>
      </c>
      <c r="K3" s="58">
        <v>250</v>
      </c>
      <c r="L3" s="58">
        <v>3100</v>
      </c>
      <c r="M3" s="58">
        <v>3990</v>
      </c>
      <c r="N3" s="58">
        <v>346</v>
      </c>
      <c r="O3" s="58">
        <v>273</v>
      </c>
      <c r="P3" s="58">
        <v>225</v>
      </c>
      <c r="Q3" s="58">
        <v>499</v>
      </c>
      <c r="R3" s="58">
        <v>50</v>
      </c>
      <c r="S3" s="58"/>
      <c r="T3" s="58"/>
      <c r="U3" s="58">
        <v>18</v>
      </c>
      <c r="V3" s="58">
        <v>752</v>
      </c>
      <c r="W3" s="58">
        <v>250</v>
      </c>
      <c r="X3" s="58">
        <v>345</v>
      </c>
      <c r="Y3" s="58">
        <v>0</v>
      </c>
      <c r="Z3" s="58">
        <v>227</v>
      </c>
      <c r="AA3" s="58">
        <v>105</v>
      </c>
      <c r="AB3" s="58">
        <v>1618</v>
      </c>
      <c r="AC3" s="58">
        <v>973</v>
      </c>
      <c r="AD3" s="58">
        <v>389</v>
      </c>
      <c r="AE3" s="58">
        <v>0</v>
      </c>
      <c r="AF3" s="58">
        <v>27</v>
      </c>
      <c r="AG3" s="58">
        <v>0</v>
      </c>
      <c r="AH3" s="58">
        <v>343</v>
      </c>
      <c r="AI3" s="58">
        <v>0</v>
      </c>
      <c r="AJ3" s="59">
        <v>0</v>
      </c>
      <c r="AL3" s="59">
        <v>0</v>
      </c>
      <c r="AM3" s="59">
        <v>1037</v>
      </c>
    </row>
    <row r="4" spans="1:39" x14ac:dyDescent="0.3">
      <c r="A4" s="58" t="s">
        <v>561</v>
      </c>
      <c r="B4" s="58" t="s">
        <v>360</v>
      </c>
      <c r="C4" s="58">
        <v>10000</v>
      </c>
      <c r="D4" s="58">
        <v>5930</v>
      </c>
      <c r="E4" s="58">
        <v>3328</v>
      </c>
      <c r="F4" s="58">
        <v>2000</v>
      </c>
      <c r="G4" s="58"/>
      <c r="H4" s="58">
        <v>3000</v>
      </c>
      <c r="I4" s="58">
        <v>5529</v>
      </c>
      <c r="J4" s="58">
        <v>872</v>
      </c>
      <c r="K4" s="58">
        <v>5320</v>
      </c>
      <c r="L4" s="58">
        <v>32566</v>
      </c>
      <c r="M4" s="58">
        <v>78801</v>
      </c>
      <c r="N4" s="58">
        <v>6752</v>
      </c>
      <c r="O4" s="58">
        <v>2000</v>
      </c>
      <c r="P4" s="58">
        <v>7607</v>
      </c>
      <c r="Q4" s="58">
        <v>19050</v>
      </c>
      <c r="R4" s="58">
        <v>167</v>
      </c>
      <c r="S4" s="58"/>
      <c r="T4" s="58"/>
      <c r="U4" s="58">
        <v>10</v>
      </c>
      <c r="V4" s="58">
        <v>8300</v>
      </c>
      <c r="W4" s="58">
        <v>11280</v>
      </c>
      <c r="X4" s="58">
        <v>10851</v>
      </c>
      <c r="Y4" s="58">
        <v>5160</v>
      </c>
      <c r="Z4" s="58">
        <v>274</v>
      </c>
      <c r="AA4" s="58">
        <v>1020</v>
      </c>
      <c r="AB4" s="58">
        <v>46406</v>
      </c>
      <c r="AC4" s="58">
        <v>17789</v>
      </c>
      <c r="AD4" s="58">
        <v>1252</v>
      </c>
      <c r="AE4" s="58">
        <v>0</v>
      </c>
      <c r="AF4" s="58">
        <v>1168</v>
      </c>
      <c r="AG4" s="58">
        <v>0</v>
      </c>
      <c r="AH4" s="58">
        <v>180</v>
      </c>
      <c r="AI4" s="58">
        <v>7948</v>
      </c>
      <c r="AJ4" s="59">
        <v>3071</v>
      </c>
      <c r="AL4" s="59">
        <v>200</v>
      </c>
      <c r="AM4" s="59">
        <v>16308</v>
      </c>
    </row>
    <row r="5" spans="1:39" x14ac:dyDescent="0.3">
      <c r="A5" s="58" t="s">
        <v>562</v>
      </c>
      <c r="B5" s="58" t="s">
        <v>360</v>
      </c>
      <c r="C5" s="58">
        <v>0</v>
      </c>
      <c r="D5" s="58">
        <v>5301</v>
      </c>
      <c r="E5" s="58">
        <v>0</v>
      </c>
      <c r="F5" s="58">
        <v>0</v>
      </c>
      <c r="G5" s="58"/>
      <c r="H5" s="58">
        <v>0</v>
      </c>
      <c r="I5" s="58">
        <v>6065</v>
      </c>
      <c r="J5" s="58">
        <v>0</v>
      </c>
      <c r="K5" s="58">
        <v>42</v>
      </c>
      <c r="L5" s="58">
        <v>4920</v>
      </c>
      <c r="M5" s="58">
        <v>20336</v>
      </c>
      <c r="N5" s="58">
        <v>1000</v>
      </c>
      <c r="O5" s="58">
        <v>0</v>
      </c>
      <c r="P5" s="58">
        <v>1530</v>
      </c>
      <c r="Q5" s="58">
        <v>600</v>
      </c>
      <c r="R5" s="58">
        <v>154</v>
      </c>
      <c r="S5" s="58"/>
      <c r="T5" s="58"/>
      <c r="U5" s="58">
        <v>0</v>
      </c>
      <c r="V5" s="58">
        <v>10000</v>
      </c>
      <c r="W5" s="58">
        <v>4550</v>
      </c>
      <c r="X5" s="58">
        <v>201</v>
      </c>
      <c r="Y5" s="58">
        <v>0</v>
      </c>
      <c r="Z5" s="58">
        <v>0</v>
      </c>
      <c r="AA5" s="58">
        <v>0</v>
      </c>
      <c r="AB5" s="58">
        <v>0</v>
      </c>
      <c r="AC5" s="58">
        <v>1070</v>
      </c>
      <c r="AD5" s="58">
        <v>0</v>
      </c>
      <c r="AE5" s="58">
        <v>0</v>
      </c>
      <c r="AF5" s="58">
        <v>0</v>
      </c>
      <c r="AG5" s="58">
        <v>0</v>
      </c>
      <c r="AH5" s="58">
        <v>0</v>
      </c>
      <c r="AI5" s="58">
        <v>136</v>
      </c>
      <c r="AJ5" s="59">
        <v>0</v>
      </c>
      <c r="AL5" s="59">
        <v>0</v>
      </c>
      <c r="AM5" s="59">
        <v>29935</v>
      </c>
    </row>
    <row r="6" spans="1:39" x14ac:dyDescent="0.3">
      <c r="A6" s="58" t="s">
        <v>563</v>
      </c>
      <c r="B6" s="58" t="s">
        <v>360</v>
      </c>
      <c r="C6" s="58">
        <v>6420</v>
      </c>
      <c r="D6" s="58">
        <v>9163</v>
      </c>
      <c r="E6" s="58">
        <v>1257</v>
      </c>
      <c r="F6" s="58">
        <v>1200</v>
      </c>
      <c r="G6" s="58"/>
      <c r="H6" s="58">
        <v>3440</v>
      </c>
      <c r="I6" s="58">
        <v>1550</v>
      </c>
      <c r="J6" s="58">
        <v>272</v>
      </c>
      <c r="K6" s="58">
        <v>684</v>
      </c>
      <c r="L6" s="58">
        <v>29772</v>
      </c>
      <c r="M6" s="58">
        <v>83877</v>
      </c>
      <c r="N6" s="58">
        <v>13089</v>
      </c>
      <c r="O6" s="58">
        <v>6780</v>
      </c>
      <c r="P6" s="58">
        <v>340</v>
      </c>
      <c r="Q6" s="58">
        <v>30819</v>
      </c>
      <c r="R6" s="58">
        <v>7</v>
      </c>
      <c r="S6" s="58"/>
      <c r="T6" s="58"/>
      <c r="U6" s="58">
        <v>335</v>
      </c>
      <c r="V6" s="58">
        <v>13750</v>
      </c>
      <c r="W6" s="58">
        <v>4731</v>
      </c>
      <c r="X6" s="58">
        <v>7050</v>
      </c>
      <c r="Y6" s="58">
        <v>3720</v>
      </c>
      <c r="Z6" s="58">
        <v>651</v>
      </c>
      <c r="AA6" s="58">
        <v>1300</v>
      </c>
      <c r="AB6" s="58">
        <v>29971</v>
      </c>
      <c r="AC6" s="58">
        <v>2545</v>
      </c>
      <c r="AD6" s="58">
        <v>4750</v>
      </c>
      <c r="AE6" s="58">
        <v>0</v>
      </c>
      <c r="AF6" s="58">
        <v>25</v>
      </c>
      <c r="AG6" s="58">
        <v>0</v>
      </c>
      <c r="AH6" s="58">
        <v>32</v>
      </c>
      <c r="AI6" s="58">
        <v>54</v>
      </c>
      <c r="AJ6" s="59">
        <v>66</v>
      </c>
      <c r="AL6" s="59">
        <v>0</v>
      </c>
      <c r="AM6" s="59">
        <v>17752</v>
      </c>
    </row>
    <row r="7" spans="1:39" x14ac:dyDescent="0.3">
      <c r="A7" s="58" t="s">
        <v>564</v>
      </c>
      <c r="B7" s="58" t="s">
        <v>360</v>
      </c>
      <c r="C7" s="58">
        <v>0</v>
      </c>
      <c r="D7" s="58">
        <v>0</v>
      </c>
      <c r="E7" s="58">
        <v>0</v>
      </c>
      <c r="F7" s="58">
        <v>200</v>
      </c>
      <c r="G7" s="58"/>
      <c r="H7" s="58">
        <v>0</v>
      </c>
      <c r="I7" s="58">
        <v>0</v>
      </c>
      <c r="J7" s="58">
        <v>0</v>
      </c>
      <c r="K7" s="58">
        <v>0</v>
      </c>
      <c r="L7" s="58">
        <v>0</v>
      </c>
      <c r="M7" s="58">
        <v>0</v>
      </c>
      <c r="N7" s="58">
        <v>70</v>
      </c>
      <c r="O7" s="58">
        <v>0</v>
      </c>
      <c r="P7" s="58">
        <v>0</v>
      </c>
      <c r="Q7" s="58">
        <v>878</v>
      </c>
      <c r="R7" s="58">
        <v>50</v>
      </c>
      <c r="S7" s="58"/>
      <c r="T7" s="58"/>
      <c r="U7" s="58">
        <v>0</v>
      </c>
      <c r="V7" s="58">
        <v>0</v>
      </c>
      <c r="W7" s="58">
        <v>0</v>
      </c>
      <c r="X7" s="58">
        <v>300</v>
      </c>
      <c r="Y7" s="58">
        <v>0</v>
      </c>
      <c r="Z7" s="58">
        <v>0</v>
      </c>
      <c r="AA7" s="58">
        <v>0</v>
      </c>
      <c r="AB7" s="58">
        <v>7300</v>
      </c>
      <c r="AC7" s="58">
        <v>0</v>
      </c>
      <c r="AD7" s="58">
        <v>0</v>
      </c>
      <c r="AE7" s="58">
        <v>0</v>
      </c>
      <c r="AF7" s="58">
        <v>0</v>
      </c>
      <c r="AG7" s="58">
        <v>0</v>
      </c>
      <c r="AH7" s="58">
        <v>0</v>
      </c>
      <c r="AI7" s="58">
        <v>0</v>
      </c>
      <c r="AJ7" s="59">
        <v>0</v>
      </c>
      <c r="AL7" s="59">
        <v>230</v>
      </c>
      <c r="AM7" s="59">
        <v>0</v>
      </c>
    </row>
    <row r="8" spans="1:39" x14ac:dyDescent="0.3">
      <c r="A8" s="58" t="s">
        <v>565</v>
      </c>
      <c r="B8" s="58" t="s">
        <v>360</v>
      </c>
      <c r="C8" s="58">
        <v>300</v>
      </c>
      <c r="D8" s="58">
        <v>1395</v>
      </c>
      <c r="E8" s="58">
        <v>864</v>
      </c>
      <c r="F8" s="58">
        <v>0</v>
      </c>
      <c r="G8" s="58"/>
      <c r="H8" s="58">
        <v>687</v>
      </c>
      <c r="I8" s="58">
        <v>0</v>
      </c>
      <c r="J8" s="58">
        <v>0</v>
      </c>
      <c r="K8" s="58">
        <v>0</v>
      </c>
      <c r="L8" s="58">
        <v>1800</v>
      </c>
      <c r="M8" s="58">
        <v>8393</v>
      </c>
      <c r="N8" s="58">
        <v>0</v>
      </c>
      <c r="O8" s="58">
        <v>0</v>
      </c>
      <c r="P8" s="58">
        <v>292</v>
      </c>
      <c r="Q8" s="58">
        <v>8400</v>
      </c>
      <c r="R8" s="58">
        <v>0</v>
      </c>
      <c r="S8" s="58"/>
      <c r="T8" s="58"/>
      <c r="U8" s="58">
        <v>0</v>
      </c>
      <c r="V8" s="58">
        <v>0</v>
      </c>
      <c r="W8" s="58">
        <v>1323</v>
      </c>
      <c r="X8" s="58">
        <v>555</v>
      </c>
      <c r="Y8" s="58">
        <v>0</v>
      </c>
      <c r="Z8" s="58">
        <v>649</v>
      </c>
      <c r="AA8" s="58">
        <v>0</v>
      </c>
      <c r="AB8" s="58">
        <v>6837</v>
      </c>
      <c r="AC8" s="58">
        <v>0</v>
      </c>
      <c r="AD8" s="58">
        <v>3989</v>
      </c>
      <c r="AE8" s="58">
        <v>0</v>
      </c>
      <c r="AF8" s="58">
        <v>0</v>
      </c>
      <c r="AG8" s="58">
        <v>0</v>
      </c>
      <c r="AH8" s="58">
        <v>0</v>
      </c>
      <c r="AI8" s="58">
        <v>0</v>
      </c>
      <c r="AJ8" s="59">
        <v>0</v>
      </c>
      <c r="AL8" s="59">
        <v>0</v>
      </c>
      <c r="AM8" s="59">
        <v>4004</v>
      </c>
    </row>
    <row r="9" spans="1:39" x14ac:dyDescent="0.3">
      <c r="A9" s="58" t="s">
        <v>566</v>
      </c>
      <c r="B9" s="58" t="s">
        <v>360</v>
      </c>
      <c r="C9" s="58">
        <v>5397</v>
      </c>
      <c r="D9" s="58">
        <v>0</v>
      </c>
      <c r="E9" s="58">
        <v>535</v>
      </c>
      <c r="F9" s="58">
        <v>900</v>
      </c>
      <c r="G9" s="58"/>
      <c r="H9" s="58">
        <v>470</v>
      </c>
      <c r="I9" s="58">
        <v>0</v>
      </c>
      <c r="J9" s="58">
        <v>0</v>
      </c>
      <c r="K9" s="58">
        <v>0</v>
      </c>
      <c r="L9" s="58">
        <v>1700</v>
      </c>
      <c r="M9" s="58">
        <v>1644</v>
      </c>
      <c r="N9" s="58">
        <v>1445</v>
      </c>
      <c r="O9" s="58">
        <v>0</v>
      </c>
      <c r="P9" s="58">
        <v>0</v>
      </c>
      <c r="Q9" s="58">
        <v>3499</v>
      </c>
      <c r="R9" s="58">
        <v>0</v>
      </c>
      <c r="S9" s="58"/>
      <c r="T9" s="58"/>
      <c r="U9" s="58">
        <v>0</v>
      </c>
      <c r="V9" s="58">
        <v>0</v>
      </c>
      <c r="W9" s="58">
        <v>178</v>
      </c>
      <c r="X9" s="58">
        <v>3832</v>
      </c>
      <c r="Y9" s="58">
        <v>746</v>
      </c>
      <c r="Z9" s="58">
        <v>276</v>
      </c>
      <c r="AA9" s="58">
        <v>185</v>
      </c>
      <c r="AB9" s="58">
        <v>2683</v>
      </c>
      <c r="AC9" s="58">
        <v>0</v>
      </c>
      <c r="AD9" s="58">
        <v>0</v>
      </c>
      <c r="AE9" s="58">
        <v>0</v>
      </c>
      <c r="AF9" s="58">
        <v>0</v>
      </c>
      <c r="AG9" s="58">
        <v>0</v>
      </c>
      <c r="AH9" s="58">
        <v>0</v>
      </c>
      <c r="AI9" s="58">
        <v>36061</v>
      </c>
      <c r="AJ9" s="59">
        <v>814</v>
      </c>
      <c r="AL9" s="59">
        <v>0</v>
      </c>
      <c r="AM9" s="59">
        <v>0</v>
      </c>
    </row>
    <row r="10" spans="1:39" x14ac:dyDescent="0.3">
      <c r="A10" s="58" t="s">
        <v>567</v>
      </c>
      <c r="B10" s="58" t="s">
        <v>360</v>
      </c>
      <c r="C10" s="58">
        <v>2433</v>
      </c>
      <c r="D10" s="58">
        <v>0</v>
      </c>
      <c r="E10" s="58">
        <v>1483</v>
      </c>
      <c r="F10" s="58">
        <v>2000</v>
      </c>
      <c r="G10" s="58"/>
      <c r="H10" s="58">
        <v>700</v>
      </c>
      <c r="I10" s="58">
        <v>0</v>
      </c>
      <c r="J10" s="58">
        <v>0</v>
      </c>
      <c r="K10" s="58">
        <v>3200</v>
      </c>
      <c r="L10" s="58">
        <v>8394</v>
      </c>
      <c r="M10" s="58">
        <v>1297</v>
      </c>
      <c r="N10" s="58">
        <v>2721</v>
      </c>
      <c r="O10" s="58">
        <v>0</v>
      </c>
      <c r="P10" s="58">
        <v>0</v>
      </c>
      <c r="Q10" s="58">
        <v>9566</v>
      </c>
      <c r="R10" s="58">
        <v>0</v>
      </c>
      <c r="S10" s="58"/>
      <c r="T10" s="58"/>
      <c r="U10" s="58">
        <v>0</v>
      </c>
      <c r="V10" s="58">
        <v>0</v>
      </c>
      <c r="W10" s="58">
        <v>183</v>
      </c>
      <c r="X10" s="58">
        <v>3765</v>
      </c>
      <c r="Y10" s="58">
        <v>2621</v>
      </c>
      <c r="Z10" s="58">
        <v>0</v>
      </c>
      <c r="AA10" s="58">
        <v>0</v>
      </c>
      <c r="AB10" s="58">
        <v>10970</v>
      </c>
      <c r="AC10" s="58">
        <v>16630</v>
      </c>
      <c r="AD10" s="58">
        <v>8152</v>
      </c>
      <c r="AE10" s="58">
        <v>0</v>
      </c>
      <c r="AF10" s="58">
        <v>1139</v>
      </c>
      <c r="AG10" s="58">
        <v>0</v>
      </c>
      <c r="AH10" s="58">
        <v>625</v>
      </c>
      <c r="AI10" s="58">
        <v>0</v>
      </c>
      <c r="AJ10" s="59">
        <v>454</v>
      </c>
      <c r="AL10" s="59">
        <v>0</v>
      </c>
      <c r="AM10" s="59">
        <v>0</v>
      </c>
    </row>
    <row r="11" spans="1:39" x14ac:dyDescent="0.3">
      <c r="A11" s="58" t="s">
        <v>568</v>
      </c>
      <c r="B11" s="58" t="s">
        <v>360</v>
      </c>
      <c r="C11" s="58">
        <v>6141</v>
      </c>
      <c r="D11" s="58">
        <v>148</v>
      </c>
      <c r="E11" s="58">
        <v>495</v>
      </c>
      <c r="F11" s="58">
        <v>500</v>
      </c>
      <c r="G11" s="58"/>
      <c r="H11" s="58">
        <v>395</v>
      </c>
      <c r="I11" s="58">
        <v>0</v>
      </c>
      <c r="J11" s="58">
        <v>0</v>
      </c>
      <c r="K11" s="58">
        <v>0</v>
      </c>
      <c r="L11" s="58">
        <v>13638</v>
      </c>
      <c r="M11" s="58">
        <v>4036</v>
      </c>
      <c r="N11" s="58">
        <v>444</v>
      </c>
      <c r="O11" s="58">
        <v>57</v>
      </c>
      <c r="P11" s="58">
        <v>238</v>
      </c>
      <c r="Q11" s="58">
        <v>5635</v>
      </c>
      <c r="R11" s="58">
        <v>1608</v>
      </c>
      <c r="S11" s="58"/>
      <c r="T11" s="58"/>
      <c r="U11" s="58">
        <v>0</v>
      </c>
      <c r="V11" s="58">
        <v>46</v>
      </c>
      <c r="W11" s="58">
        <v>536</v>
      </c>
      <c r="X11" s="58">
        <v>997</v>
      </c>
      <c r="Y11" s="58">
        <v>3432</v>
      </c>
      <c r="Z11" s="58">
        <v>1532</v>
      </c>
      <c r="AA11" s="58">
        <v>1206</v>
      </c>
      <c r="AB11" s="58">
        <v>3640</v>
      </c>
      <c r="AC11" s="58">
        <v>0</v>
      </c>
      <c r="AD11" s="58">
        <v>4113</v>
      </c>
      <c r="AE11" s="58">
        <v>0</v>
      </c>
      <c r="AF11" s="58">
        <v>132</v>
      </c>
      <c r="AG11" s="58">
        <v>0</v>
      </c>
      <c r="AH11" s="58">
        <v>411</v>
      </c>
      <c r="AI11" s="58">
        <v>0</v>
      </c>
      <c r="AJ11" s="59">
        <v>2044</v>
      </c>
      <c r="AL11" s="59">
        <v>0</v>
      </c>
      <c r="AM11" s="59">
        <v>1969</v>
      </c>
    </row>
    <row r="12" spans="1:39" x14ac:dyDescent="0.3">
      <c r="A12" s="58" t="s">
        <v>569</v>
      </c>
      <c r="B12" s="58" t="s">
        <v>360</v>
      </c>
      <c r="C12" s="58">
        <v>599</v>
      </c>
      <c r="D12" s="58">
        <v>206</v>
      </c>
      <c r="E12" s="58">
        <v>140</v>
      </c>
      <c r="F12" s="58">
        <v>400</v>
      </c>
      <c r="G12" s="58"/>
      <c r="H12" s="58">
        <v>1063</v>
      </c>
      <c r="I12" s="58">
        <v>670</v>
      </c>
      <c r="J12" s="58">
        <v>148</v>
      </c>
      <c r="K12" s="58">
        <v>3043</v>
      </c>
      <c r="L12" s="58">
        <v>2558</v>
      </c>
      <c r="M12" s="58">
        <v>6635</v>
      </c>
      <c r="N12" s="58">
        <v>525</v>
      </c>
      <c r="O12" s="58">
        <v>412</v>
      </c>
      <c r="P12" s="58">
        <v>149</v>
      </c>
      <c r="Q12" s="58">
        <v>4931</v>
      </c>
      <c r="R12" s="58">
        <v>0</v>
      </c>
      <c r="S12" s="58"/>
      <c r="T12" s="58"/>
      <c r="U12" s="58">
        <v>0</v>
      </c>
      <c r="V12" s="58">
        <v>540</v>
      </c>
      <c r="W12" s="58">
        <v>1414</v>
      </c>
      <c r="X12" s="58">
        <v>1104</v>
      </c>
      <c r="Y12" s="58">
        <v>500</v>
      </c>
      <c r="Z12" s="58">
        <v>256</v>
      </c>
      <c r="AA12" s="58">
        <v>49</v>
      </c>
      <c r="AB12" s="58">
        <v>2226</v>
      </c>
      <c r="AC12" s="58">
        <v>4185</v>
      </c>
      <c r="AD12" s="58">
        <v>1197</v>
      </c>
      <c r="AE12" s="58">
        <v>0</v>
      </c>
      <c r="AF12" s="58">
        <v>49</v>
      </c>
      <c r="AG12" s="58">
        <v>0</v>
      </c>
      <c r="AH12" s="58">
        <v>30</v>
      </c>
      <c r="AI12" s="58">
        <v>76</v>
      </c>
      <c r="AJ12" s="59">
        <v>397</v>
      </c>
      <c r="AL12" s="59">
        <v>40</v>
      </c>
      <c r="AM12" s="59">
        <v>4891</v>
      </c>
    </row>
    <row r="13" spans="1:39" x14ac:dyDescent="0.3">
      <c r="A13" s="58" t="s">
        <v>82</v>
      </c>
      <c r="B13" s="58" t="s">
        <v>360</v>
      </c>
      <c r="C13" s="58">
        <v>0</v>
      </c>
      <c r="D13" s="58">
        <v>0</v>
      </c>
      <c r="E13" s="58">
        <v>4160</v>
      </c>
      <c r="F13" s="58">
        <v>0</v>
      </c>
      <c r="G13" s="58"/>
      <c r="H13" s="58">
        <v>4040</v>
      </c>
      <c r="I13" s="58">
        <v>0</v>
      </c>
      <c r="J13" s="58">
        <v>0</v>
      </c>
      <c r="K13" s="58">
        <v>5580</v>
      </c>
      <c r="L13" s="58">
        <v>56643</v>
      </c>
      <c r="M13" s="58">
        <v>0</v>
      </c>
      <c r="N13" s="58">
        <v>0</v>
      </c>
      <c r="O13" s="58">
        <v>3539</v>
      </c>
      <c r="P13" s="58">
        <v>0</v>
      </c>
      <c r="Q13" s="58">
        <v>0</v>
      </c>
      <c r="R13" s="58">
        <v>0</v>
      </c>
      <c r="S13" s="58"/>
      <c r="T13" s="58"/>
      <c r="U13" s="58">
        <v>0</v>
      </c>
      <c r="V13" s="58">
        <v>486</v>
      </c>
      <c r="W13" s="58">
        <v>0</v>
      </c>
      <c r="X13" s="58">
        <v>0</v>
      </c>
      <c r="Y13" s="58">
        <v>1989</v>
      </c>
      <c r="Z13" s="58">
        <v>2305</v>
      </c>
      <c r="AA13" s="58">
        <v>700</v>
      </c>
      <c r="AB13" s="58">
        <v>3054</v>
      </c>
      <c r="AC13" s="58">
        <v>5834</v>
      </c>
      <c r="AD13" s="58">
        <v>1190</v>
      </c>
      <c r="AE13" s="58">
        <v>0</v>
      </c>
      <c r="AF13" s="58">
        <v>0</v>
      </c>
      <c r="AG13" s="58">
        <v>0</v>
      </c>
      <c r="AH13" s="58">
        <v>0</v>
      </c>
      <c r="AI13" s="58">
        <v>0</v>
      </c>
      <c r="AJ13" s="59">
        <v>0</v>
      </c>
      <c r="AL13" s="59">
        <v>0</v>
      </c>
      <c r="AM13" s="59">
        <v>9018</v>
      </c>
    </row>
    <row r="14" spans="1:39" x14ac:dyDescent="0.3">
      <c r="A14" s="58" t="s">
        <v>570</v>
      </c>
      <c r="B14" s="58" t="s">
        <v>360</v>
      </c>
      <c r="C14" s="58">
        <v>0</v>
      </c>
      <c r="D14" s="58">
        <v>1800</v>
      </c>
      <c r="E14" s="58">
        <v>0</v>
      </c>
      <c r="F14" s="58">
        <v>1</v>
      </c>
      <c r="G14" s="58"/>
      <c r="H14" s="58">
        <v>0</v>
      </c>
      <c r="I14" s="58">
        <v>0</v>
      </c>
      <c r="J14" s="58">
        <v>135</v>
      </c>
      <c r="K14" s="58">
        <v>4500</v>
      </c>
      <c r="L14" s="58">
        <v>3400</v>
      </c>
      <c r="M14" s="58">
        <v>5888</v>
      </c>
      <c r="N14" s="58">
        <v>0</v>
      </c>
      <c r="O14" s="58">
        <v>0</v>
      </c>
      <c r="P14" s="58">
        <v>1000</v>
      </c>
      <c r="Q14" s="58">
        <v>2304</v>
      </c>
      <c r="R14" s="58">
        <v>36</v>
      </c>
      <c r="S14" s="58"/>
      <c r="T14" s="58"/>
      <c r="U14" s="58">
        <v>0</v>
      </c>
      <c r="V14" s="58">
        <v>700</v>
      </c>
      <c r="W14" s="58">
        <v>0</v>
      </c>
      <c r="X14" s="58">
        <v>0</v>
      </c>
      <c r="Y14" s="58">
        <v>0</v>
      </c>
      <c r="Z14" s="58">
        <v>0</v>
      </c>
      <c r="AA14" s="58">
        <v>40</v>
      </c>
      <c r="AB14" s="58">
        <v>6000</v>
      </c>
      <c r="AC14" s="58">
        <v>1737</v>
      </c>
      <c r="AD14" s="58">
        <v>0</v>
      </c>
      <c r="AE14" s="58">
        <v>0</v>
      </c>
      <c r="AF14" s="58">
        <v>0</v>
      </c>
      <c r="AG14" s="58">
        <v>0</v>
      </c>
      <c r="AH14" s="58">
        <v>0</v>
      </c>
      <c r="AI14" s="58">
        <v>6304</v>
      </c>
      <c r="AJ14" s="59">
        <v>0</v>
      </c>
      <c r="AL14" s="59">
        <v>0</v>
      </c>
      <c r="AM14" s="59">
        <v>2721</v>
      </c>
    </row>
    <row r="15" spans="1:39" x14ac:dyDescent="0.3">
      <c r="A15" s="58" t="s">
        <v>571</v>
      </c>
      <c r="B15" s="58" t="s">
        <v>360</v>
      </c>
      <c r="C15" s="58">
        <v>1000</v>
      </c>
      <c r="D15" s="58">
        <v>25</v>
      </c>
      <c r="E15" s="58">
        <v>0</v>
      </c>
      <c r="F15" s="58">
        <v>0</v>
      </c>
      <c r="G15" s="58"/>
      <c r="H15" s="58">
        <v>0</v>
      </c>
      <c r="I15" s="58">
        <v>0</v>
      </c>
      <c r="J15" s="58">
        <v>0</v>
      </c>
      <c r="K15" s="58">
        <v>0</v>
      </c>
      <c r="L15" s="58">
        <v>0</v>
      </c>
      <c r="M15" s="58">
        <v>2000</v>
      </c>
      <c r="N15" s="58">
        <v>0</v>
      </c>
      <c r="O15" s="58">
        <v>0</v>
      </c>
      <c r="P15" s="58">
        <v>0</v>
      </c>
      <c r="Q15" s="58">
        <v>0</v>
      </c>
      <c r="R15" s="58">
        <v>0</v>
      </c>
      <c r="S15" s="58"/>
      <c r="T15" s="58"/>
      <c r="U15" s="58">
        <v>0</v>
      </c>
      <c r="V15" s="58">
        <v>0</v>
      </c>
      <c r="W15" s="58">
        <v>0</v>
      </c>
      <c r="X15" s="58">
        <v>0</v>
      </c>
      <c r="Y15" s="58">
        <v>0</v>
      </c>
      <c r="Z15" s="58">
        <v>0</v>
      </c>
      <c r="AA15" s="58">
        <v>0</v>
      </c>
      <c r="AB15" s="58">
        <v>0</v>
      </c>
      <c r="AC15" s="58">
        <v>0</v>
      </c>
      <c r="AD15" s="58">
        <v>0</v>
      </c>
      <c r="AE15" s="58">
        <v>0</v>
      </c>
      <c r="AF15" s="58">
        <v>0</v>
      </c>
      <c r="AG15" s="58">
        <v>0</v>
      </c>
      <c r="AH15" s="58">
        <v>0</v>
      </c>
      <c r="AI15" s="58">
        <v>0</v>
      </c>
      <c r="AJ15" s="59">
        <v>0</v>
      </c>
      <c r="AL15" s="59">
        <v>0</v>
      </c>
      <c r="AM15" s="59">
        <v>0</v>
      </c>
    </row>
    <row r="16" spans="1:39" x14ac:dyDescent="0.3">
      <c r="A16" s="58" t="s">
        <v>572</v>
      </c>
      <c r="B16" s="58" t="s">
        <v>360</v>
      </c>
      <c r="C16" s="58">
        <v>0</v>
      </c>
      <c r="D16" s="58">
        <v>0</v>
      </c>
      <c r="E16" s="58">
        <v>0</v>
      </c>
      <c r="F16" s="58">
        <v>0</v>
      </c>
      <c r="G16" s="58"/>
      <c r="H16" s="58">
        <v>0</v>
      </c>
      <c r="I16" s="58">
        <v>0</v>
      </c>
      <c r="J16" s="58">
        <v>0</v>
      </c>
      <c r="K16" s="58">
        <v>0</v>
      </c>
      <c r="L16" s="58">
        <v>0</v>
      </c>
      <c r="M16" s="58">
        <v>0</v>
      </c>
      <c r="N16" s="58">
        <v>0</v>
      </c>
      <c r="O16" s="58">
        <v>0</v>
      </c>
      <c r="P16" s="58">
        <v>0</v>
      </c>
      <c r="Q16" s="58">
        <v>0</v>
      </c>
      <c r="R16" s="58">
        <v>0</v>
      </c>
      <c r="S16" s="58"/>
      <c r="T16" s="58"/>
      <c r="U16" s="58">
        <v>0</v>
      </c>
      <c r="V16" s="58">
        <v>0</v>
      </c>
      <c r="W16" s="58">
        <v>0</v>
      </c>
      <c r="X16" s="58">
        <v>0</v>
      </c>
      <c r="Y16" s="58">
        <v>0</v>
      </c>
      <c r="Z16" s="58">
        <v>0</v>
      </c>
      <c r="AA16" s="58">
        <v>0</v>
      </c>
      <c r="AB16" s="58">
        <v>0</v>
      </c>
      <c r="AC16" s="58">
        <v>0</v>
      </c>
      <c r="AD16" s="58">
        <v>0</v>
      </c>
      <c r="AE16" s="58">
        <v>0</v>
      </c>
      <c r="AF16" s="58">
        <v>0</v>
      </c>
      <c r="AG16" s="58">
        <v>0</v>
      </c>
      <c r="AH16" s="58">
        <v>0</v>
      </c>
      <c r="AI16" s="58">
        <v>0</v>
      </c>
      <c r="AJ16" s="59">
        <v>0</v>
      </c>
      <c r="AL16" s="59">
        <v>0</v>
      </c>
      <c r="AM16" s="59">
        <v>0</v>
      </c>
    </row>
    <row r="17" spans="1:39" x14ac:dyDescent="0.3">
      <c r="A17" s="58" t="s">
        <v>573</v>
      </c>
      <c r="B17" s="58" t="s">
        <v>360</v>
      </c>
      <c r="C17" s="58">
        <v>53</v>
      </c>
      <c r="D17" s="58">
        <v>3099</v>
      </c>
      <c r="E17" s="58">
        <v>0</v>
      </c>
      <c r="F17" s="58">
        <v>0</v>
      </c>
      <c r="G17" s="58"/>
      <c r="H17" s="58">
        <v>0</v>
      </c>
      <c r="I17" s="58">
        <v>0</v>
      </c>
      <c r="J17" s="58">
        <v>0</v>
      </c>
      <c r="K17" s="58">
        <v>0</v>
      </c>
      <c r="L17" s="58">
        <v>414</v>
      </c>
      <c r="M17" s="58">
        <v>6858</v>
      </c>
      <c r="N17" s="58">
        <v>810</v>
      </c>
      <c r="O17" s="58">
        <v>0</v>
      </c>
      <c r="P17" s="58">
        <v>400</v>
      </c>
      <c r="Q17" s="58">
        <v>17745</v>
      </c>
      <c r="R17" s="58">
        <v>850</v>
      </c>
      <c r="S17" s="58"/>
      <c r="T17" s="58"/>
      <c r="U17" s="58">
        <v>0</v>
      </c>
      <c r="V17" s="58">
        <v>0</v>
      </c>
      <c r="W17" s="58">
        <v>5001</v>
      </c>
      <c r="X17" s="58">
        <v>0</v>
      </c>
      <c r="Y17" s="58">
        <v>1499</v>
      </c>
      <c r="Z17" s="58">
        <v>0</v>
      </c>
      <c r="AA17" s="58">
        <v>139</v>
      </c>
      <c r="AB17" s="58">
        <v>0</v>
      </c>
      <c r="AC17" s="58">
        <v>0</v>
      </c>
      <c r="AD17" s="58">
        <v>0</v>
      </c>
      <c r="AE17" s="58">
        <v>0</v>
      </c>
      <c r="AF17" s="58">
        <v>0</v>
      </c>
      <c r="AG17" s="58">
        <v>0</v>
      </c>
      <c r="AH17" s="58">
        <v>276</v>
      </c>
      <c r="AI17" s="58">
        <v>0</v>
      </c>
      <c r="AJ17" s="59">
        <v>182</v>
      </c>
      <c r="AL17" s="59">
        <v>0</v>
      </c>
      <c r="AM17" s="59">
        <v>19724</v>
      </c>
    </row>
    <row r="18" spans="1:39" x14ac:dyDescent="0.3">
      <c r="A18" s="58" t="s">
        <v>574</v>
      </c>
      <c r="B18" s="58" t="s">
        <v>360</v>
      </c>
      <c r="C18" s="58">
        <v>0</v>
      </c>
      <c r="D18" s="58">
        <v>0</v>
      </c>
      <c r="E18" s="58">
        <v>0</v>
      </c>
      <c r="F18" s="58">
        <v>0</v>
      </c>
      <c r="G18" s="58"/>
      <c r="H18" s="58">
        <v>0</v>
      </c>
      <c r="I18" s="58">
        <v>0</v>
      </c>
      <c r="J18" s="58">
        <v>0</v>
      </c>
      <c r="K18" s="58">
        <v>0</v>
      </c>
      <c r="L18" s="58">
        <v>0</v>
      </c>
      <c r="M18" s="58">
        <v>0</v>
      </c>
      <c r="N18" s="58">
        <v>0</v>
      </c>
      <c r="O18" s="58">
        <v>0</v>
      </c>
      <c r="P18" s="58">
        <v>0</v>
      </c>
      <c r="Q18" s="58">
        <v>0</v>
      </c>
      <c r="R18" s="58">
        <v>0</v>
      </c>
      <c r="S18" s="58"/>
      <c r="T18" s="58"/>
      <c r="U18" s="58">
        <v>0</v>
      </c>
      <c r="V18" s="58">
        <v>0</v>
      </c>
      <c r="W18" s="58">
        <v>0</v>
      </c>
      <c r="X18" s="58">
        <v>0</v>
      </c>
      <c r="Y18" s="58">
        <v>0</v>
      </c>
      <c r="Z18" s="58">
        <v>0</v>
      </c>
      <c r="AA18" s="58">
        <v>0</v>
      </c>
      <c r="AB18" s="58">
        <v>0</v>
      </c>
      <c r="AC18" s="58">
        <v>0</v>
      </c>
      <c r="AD18" s="58">
        <v>0</v>
      </c>
      <c r="AE18" s="58">
        <v>0</v>
      </c>
      <c r="AF18" s="58">
        <v>0</v>
      </c>
      <c r="AG18" s="58">
        <v>0</v>
      </c>
      <c r="AH18" s="58">
        <v>0</v>
      </c>
      <c r="AI18" s="58">
        <v>0</v>
      </c>
      <c r="AJ18" s="59">
        <v>0</v>
      </c>
      <c r="AL18" s="59">
        <v>0</v>
      </c>
      <c r="AM18" s="59">
        <v>0</v>
      </c>
    </row>
    <row r="19" spans="1:39" x14ac:dyDescent="0.3">
      <c r="A19" s="58" t="s">
        <v>575</v>
      </c>
      <c r="B19" s="58" t="s">
        <v>360</v>
      </c>
      <c r="C19" s="58">
        <v>308</v>
      </c>
      <c r="D19" s="58">
        <v>0</v>
      </c>
      <c r="E19" s="58">
        <v>0</v>
      </c>
      <c r="F19" s="58">
        <v>0</v>
      </c>
      <c r="G19" s="58"/>
      <c r="H19" s="58">
        <v>66</v>
      </c>
      <c r="I19" s="58">
        <v>0</v>
      </c>
      <c r="J19" s="58">
        <v>0</v>
      </c>
      <c r="K19" s="58">
        <v>0</v>
      </c>
      <c r="L19" s="58">
        <v>0</v>
      </c>
      <c r="M19" s="58">
        <v>3646</v>
      </c>
      <c r="N19" s="58">
        <v>0</v>
      </c>
      <c r="O19" s="58">
        <v>0</v>
      </c>
      <c r="P19" s="58">
        <v>432</v>
      </c>
      <c r="Q19" s="58">
        <v>985</v>
      </c>
      <c r="R19" s="58">
        <v>0</v>
      </c>
      <c r="S19" s="58"/>
      <c r="T19" s="58"/>
      <c r="U19" s="58">
        <v>205</v>
      </c>
      <c r="V19" s="58">
        <v>844</v>
      </c>
      <c r="W19" s="58">
        <v>0</v>
      </c>
      <c r="X19" s="58">
        <v>0</v>
      </c>
      <c r="Y19" s="58">
        <v>0</v>
      </c>
      <c r="Z19" s="58">
        <v>56</v>
      </c>
      <c r="AA19" s="58">
        <v>0</v>
      </c>
      <c r="AB19" s="58">
        <v>0</v>
      </c>
      <c r="AC19" s="58">
        <v>0</v>
      </c>
      <c r="AD19" s="58">
        <v>0</v>
      </c>
      <c r="AE19" s="58">
        <v>0</v>
      </c>
      <c r="AF19" s="58">
        <v>0</v>
      </c>
      <c r="AG19" s="58">
        <v>0</v>
      </c>
      <c r="AH19" s="58">
        <v>0</v>
      </c>
      <c r="AI19" s="58">
        <v>0</v>
      </c>
      <c r="AJ19" s="59">
        <v>0</v>
      </c>
      <c r="AL19" s="59">
        <v>0</v>
      </c>
      <c r="AM19" s="59">
        <v>465</v>
      </c>
    </row>
    <row r="20" spans="1:39" x14ac:dyDescent="0.3">
      <c r="A20" s="58" t="s">
        <v>576</v>
      </c>
      <c r="B20" s="58" t="s">
        <v>360</v>
      </c>
      <c r="C20" s="58">
        <v>218</v>
      </c>
      <c r="D20" s="58">
        <v>965</v>
      </c>
      <c r="E20" s="58">
        <v>0</v>
      </c>
      <c r="F20" s="58">
        <v>0</v>
      </c>
      <c r="G20" s="58"/>
      <c r="H20" s="58">
        <v>396</v>
      </c>
      <c r="I20" s="58">
        <v>0</v>
      </c>
      <c r="J20" s="58">
        <v>0</v>
      </c>
      <c r="K20" s="58">
        <v>640</v>
      </c>
      <c r="L20" s="58">
        <v>0</v>
      </c>
      <c r="M20" s="58">
        <v>5461</v>
      </c>
      <c r="N20" s="58">
        <v>1026</v>
      </c>
      <c r="O20" s="58">
        <v>1167</v>
      </c>
      <c r="P20" s="58">
        <v>460</v>
      </c>
      <c r="Q20" s="58">
        <v>4578</v>
      </c>
      <c r="R20" s="58">
        <v>0</v>
      </c>
      <c r="S20" s="58"/>
      <c r="T20" s="58"/>
      <c r="U20" s="58">
        <v>0</v>
      </c>
      <c r="V20" s="58">
        <v>1653</v>
      </c>
      <c r="W20" s="58">
        <v>0</v>
      </c>
      <c r="X20" s="58">
        <v>0</v>
      </c>
      <c r="Y20" s="58">
        <v>0</v>
      </c>
      <c r="Z20" s="58">
        <v>126</v>
      </c>
      <c r="AA20" s="58">
        <v>0</v>
      </c>
      <c r="AB20" s="58">
        <v>0</v>
      </c>
      <c r="AC20" s="58">
        <v>0</v>
      </c>
      <c r="AD20" s="58">
        <v>0</v>
      </c>
      <c r="AE20" s="58">
        <v>0</v>
      </c>
      <c r="AF20" s="58">
        <v>0</v>
      </c>
      <c r="AG20" s="58">
        <v>0</v>
      </c>
      <c r="AH20" s="58">
        <v>0</v>
      </c>
      <c r="AI20" s="58">
        <v>0</v>
      </c>
      <c r="AJ20" s="59">
        <v>0</v>
      </c>
      <c r="AL20" s="59">
        <v>0</v>
      </c>
      <c r="AM20" s="59">
        <v>14880</v>
      </c>
    </row>
    <row r="21" spans="1:39" x14ac:dyDescent="0.3">
      <c r="A21" s="58" t="s">
        <v>577</v>
      </c>
      <c r="B21" s="58" t="s">
        <v>360</v>
      </c>
      <c r="C21" s="58">
        <v>0</v>
      </c>
      <c r="D21" s="58">
        <v>0</v>
      </c>
      <c r="E21" s="58">
        <v>0</v>
      </c>
      <c r="F21" s="58">
        <v>0</v>
      </c>
      <c r="G21" s="58"/>
      <c r="H21" s="58">
        <v>0</v>
      </c>
      <c r="I21" s="58">
        <v>430</v>
      </c>
      <c r="J21" s="58">
        <v>0</v>
      </c>
      <c r="K21" s="58">
        <v>0</v>
      </c>
      <c r="L21" s="58">
        <v>0</v>
      </c>
      <c r="M21" s="58">
        <v>0</v>
      </c>
      <c r="N21" s="58">
        <v>0</v>
      </c>
      <c r="O21" s="58">
        <v>0</v>
      </c>
      <c r="P21" s="58">
        <v>0</v>
      </c>
      <c r="Q21" s="58">
        <v>0</v>
      </c>
      <c r="R21" s="58">
        <v>0</v>
      </c>
      <c r="S21" s="58"/>
      <c r="T21" s="58"/>
      <c r="U21" s="58">
        <v>0</v>
      </c>
      <c r="V21" s="58">
        <v>0</v>
      </c>
      <c r="W21" s="58">
        <v>0</v>
      </c>
      <c r="X21" s="58">
        <v>0</v>
      </c>
      <c r="Y21" s="58">
        <v>0</v>
      </c>
      <c r="Z21" s="58">
        <v>0</v>
      </c>
      <c r="AA21" s="58">
        <v>0</v>
      </c>
      <c r="AB21" s="58">
        <v>0</v>
      </c>
      <c r="AC21" s="58">
        <v>0</v>
      </c>
      <c r="AD21" s="58">
        <v>0</v>
      </c>
      <c r="AE21" s="58">
        <v>0</v>
      </c>
      <c r="AF21" s="58">
        <v>0</v>
      </c>
      <c r="AG21" s="58">
        <v>0</v>
      </c>
      <c r="AH21" s="58">
        <v>0</v>
      </c>
      <c r="AI21" s="58">
        <v>0</v>
      </c>
      <c r="AJ21" s="59">
        <v>0</v>
      </c>
      <c r="AL21" s="59">
        <v>0</v>
      </c>
      <c r="AM21" s="59">
        <v>0</v>
      </c>
    </row>
    <row r="22" spans="1:39" x14ac:dyDescent="0.3">
      <c r="A22" s="58" t="s">
        <v>578</v>
      </c>
      <c r="B22" s="58" t="s">
        <v>360</v>
      </c>
      <c r="C22" s="58">
        <v>400</v>
      </c>
      <c r="D22" s="58">
        <v>0</v>
      </c>
      <c r="E22" s="58">
        <v>0</v>
      </c>
      <c r="F22" s="58">
        <v>201</v>
      </c>
      <c r="G22" s="58"/>
      <c r="H22" s="58">
        <v>50</v>
      </c>
      <c r="I22" s="58">
        <v>0</v>
      </c>
      <c r="J22" s="58">
        <v>0</v>
      </c>
      <c r="K22" s="58">
        <v>0</v>
      </c>
      <c r="L22" s="58">
        <v>792</v>
      </c>
      <c r="M22" s="58">
        <v>0</v>
      </c>
      <c r="N22" s="58">
        <v>777</v>
      </c>
      <c r="O22" s="58">
        <v>834</v>
      </c>
      <c r="P22" s="58">
        <v>805</v>
      </c>
      <c r="Q22" s="58">
        <v>8876</v>
      </c>
      <c r="R22" s="58">
        <v>99</v>
      </c>
      <c r="S22" s="58"/>
      <c r="T22" s="58"/>
      <c r="U22" s="58">
        <v>0</v>
      </c>
      <c r="V22" s="58">
        <v>0</v>
      </c>
      <c r="W22" s="58">
        <v>0</v>
      </c>
      <c r="X22" s="58">
        <v>0</v>
      </c>
      <c r="Y22" s="58">
        <v>0</v>
      </c>
      <c r="Z22" s="58">
        <v>411</v>
      </c>
      <c r="AA22" s="58">
        <v>0</v>
      </c>
      <c r="AB22" s="58">
        <v>24498</v>
      </c>
      <c r="AC22" s="58">
        <v>267</v>
      </c>
      <c r="AD22" s="58">
        <v>0</v>
      </c>
      <c r="AE22" s="58">
        <v>0</v>
      </c>
      <c r="AF22" s="58">
        <v>0</v>
      </c>
      <c r="AG22" s="58">
        <v>0</v>
      </c>
      <c r="AH22" s="58">
        <v>0</v>
      </c>
      <c r="AI22" s="58">
        <v>0</v>
      </c>
      <c r="AJ22" s="59">
        <v>0</v>
      </c>
      <c r="AL22" s="59">
        <v>0</v>
      </c>
      <c r="AM22" s="59">
        <v>0</v>
      </c>
    </row>
    <row r="23" spans="1:39" x14ac:dyDescent="0.3">
      <c r="A23" s="58" t="s">
        <v>579</v>
      </c>
      <c r="B23" s="58" t="s">
        <v>360</v>
      </c>
      <c r="C23" s="58">
        <v>0</v>
      </c>
      <c r="D23" s="58">
        <v>0</v>
      </c>
      <c r="E23" s="58">
        <v>0</v>
      </c>
      <c r="F23" s="58">
        <v>0</v>
      </c>
      <c r="G23" s="58"/>
      <c r="H23" s="58">
        <v>0</v>
      </c>
      <c r="I23" s="58">
        <v>0</v>
      </c>
      <c r="J23" s="58">
        <v>0</v>
      </c>
      <c r="K23" s="58">
        <v>0</v>
      </c>
      <c r="L23" s="58">
        <v>0</v>
      </c>
      <c r="M23" s="58">
        <v>0</v>
      </c>
      <c r="N23" s="58">
        <v>0</v>
      </c>
      <c r="O23" s="58">
        <v>0</v>
      </c>
      <c r="P23" s="58">
        <v>0</v>
      </c>
      <c r="Q23" s="58">
        <v>0</v>
      </c>
      <c r="R23" s="58">
        <v>0</v>
      </c>
      <c r="S23" s="58"/>
      <c r="T23" s="58"/>
      <c r="U23" s="58">
        <v>0</v>
      </c>
      <c r="V23" s="58">
        <v>0</v>
      </c>
      <c r="W23" s="58">
        <v>0</v>
      </c>
      <c r="X23" s="58">
        <v>0</v>
      </c>
      <c r="Y23" s="58">
        <v>0</v>
      </c>
      <c r="Z23" s="58">
        <v>0</v>
      </c>
      <c r="AA23" s="58">
        <v>0</v>
      </c>
      <c r="AB23" s="58">
        <v>0</v>
      </c>
      <c r="AC23" s="58">
        <v>0</v>
      </c>
      <c r="AD23" s="58">
        <v>0</v>
      </c>
      <c r="AE23" s="58">
        <v>0</v>
      </c>
      <c r="AF23" s="58">
        <v>0</v>
      </c>
      <c r="AG23" s="58">
        <v>0</v>
      </c>
      <c r="AH23" s="58">
        <v>0</v>
      </c>
      <c r="AI23" s="58">
        <v>0</v>
      </c>
      <c r="AJ23" s="59">
        <v>0</v>
      </c>
      <c r="AL23" s="59">
        <v>0</v>
      </c>
      <c r="AM23" s="59">
        <v>0</v>
      </c>
    </row>
    <row r="24" spans="1:39" x14ac:dyDescent="0.3">
      <c r="A24" s="58" t="s">
        <v>580</v>
      </c>
      <c r="B24" s="58" t="s">
        <v>360</v>
      </c>
      <c r="C24" s="58">
        <v>1843</v>
      </c>
      <c r="D24" s="58">
        <v>3542</v>
      </c>
      <c r="E24" s="58">
        <v>45</v>
      </c>
      <c r="F24" s="58">
        <v>345</v>
      </c>
      <c r="G24" s="58"/>
      <c r="H24" s="58">
        <v>836</v>
      </c>
      <c r="I24" s="58">
        <v>0</v>
      </c>
      <c r="J24" s="58">
        <v>0</v>
      </c>
      <c r="K24" s="58">
        <v>0</v>
      </c>
      <c r="L24" s="58">
        <v>5346</v>
      </c>
      <c r="M24" s="58">
        <v>0</v>
      </c>
      <c r="N24" s="58">
        <v>2449</v>
      </c>
      <c r="O24" s="58">
        <v>0</v>
      </c>
      <c r="P24" s="58">
        <v>2056</v>
      </c>
      <c r="Q24" s="58">
        <v>6484</v>
      </c>
      <c r="R24" s="58">
        <v>0</v>
      </c>
      <c r="S24" s="58"/>
      <c r="T24" s="58"/>
      <c r="U24" s="58">
        <v>0</v>
      </c>
      <c r="V24" s="58">
        <v>6154</v>
      </c>
      <c r="W24" s="58">
        <v>0</v>
      </c>
      <c r="X24" s="58">
        <v>2839</v>
      </c>
      <c r="Y24" s="58">
        <v>0</v>
      </c>
      <c r="Z24" s="58">
        <v>0</v>
      </c>
      <c r="AA24" s="58">
        <v>0</v>
      </c>
      <c r="AB24" s="58">
        <v>0</v>
      </c>
      <c r="AC24" s="58">
        <v>0</v>
      </c>
      <c r="AD24" s="58">
        <v>0</v>
      </c>
      <c r="AE24" s="58">
        <v>0</v>
      </c>
      <c r="AF24" s="58">
        <v>0</v>
      </c>
      <c r="AG24" s="58">
        <v>0</v>
      </c>
      <c r="AH24" s="58">
        <v>0</v>
      </c>
      <c r="AI24" s="58">
        <v>0</v>
      </c>
      <c r="AJ24" s="59">
        <v>0</v>
      </c>
      <c r="AL24" s="59">
        <v>0</v>
      </c>
      <c r="AM24" s="59">
        <v>1318</v>
      </c>
    </row>
    <row r="25" spans="1:39" x14ac:dyDescent="0.3">
      <c r="A25" s="58" t="s">
        <v>581</v>
      </c>
      <c r="B25" s="58" t="s">
        <v>360</v>
      </c>
      <c r="C25" s="58">
        <v>0</v>
      </c>
      <c r="D25" s="58">
        <v>0</v>
      </c>
      <c r="E25" s="58">
        <v>0</v>
      </c>
      <c r="F25" s="58">
        <v>0</v>
      </c>
      <c r="G25" s="58"/>
      <c r="H25" s="58">
        <v>0</v>
      </c>
      <c r="I25" s="58">
        <v>0</v>
      </c>
      <c r="J25" s="58">
        <v>0</v>
      </c>
      <c r="K25" s="58">
        <v>0</v>
      </c>
      <c r="L25" s="58">
        <v>0</v>
      </c>
      <c r="M25" s="58">
        <v>0</v>
      </c>
      <c r="N25" s="58">
        <v>0</v>
      </c>
      <c r="O25" s="58">
        <v>0</v>
      </c>
      <c r="P25" s="58">
        <v>0</v>
      </c>
      <c r="Q25" s="58">
        <v>0</v>
      </c>
      <c r="R25" s="58">
        <v>0</v>
      </c>
      <c r="S25" s="58"/>
      <c r="T25" s="58"/>
      <c r="U25" s="58">
        <v>0</v>
      </c>
      <c r="V25" s="58">
        <v>0</v>
      </c>
      <c r="W25" s="58">
        <v>0</v>
      </c>
      <c r="X25" s="58">
        <v>0</v>
      </c>
      <c r="Y25" s="58">
        <v>0</v>
      </c>
      <c r="Z25" s="58">
        <v>0</v>
      </c>
      <c r="AA25" s="58">
        <v>0</v>
      </c>
      <c r="AB25" s="58">
        <v>0</v>
      </c>
      <c r="AC25" s="58">
        <v>0</v>
      </c>
      <c r="AD25" s="58">
        <v>0</v>
      </c>
      <c r="AE25" s="58">
        <v>0</v>
      </c>
      <c r="AF25" s="58">
        <v>0</v>
      </c>
      <c r="AG25" s="58">
        <v>0</v>
      </c>
      <c r="AH25" s="58">
        <v>0</v>
      </c>
      <c r="AI25" s="58">
        <v>0</v>
      </c>
      <c r="AJ25" s="59">
        <v>0</v>
      </c>
      <c r="AL25" s="59">
        <v>0</v>
      </c>
      <c r="AM25" s="59">
        <v>0</v>
      </c>
    </row>
    <row r="26" spans="1:39" x14ac:dyDescent="0.3">
      <c r="A26" s="58" t="s">
        <v>582</v>
      </c>
      <c r="B26" s="58" t="s">
        <v>360</v>
      </c>
      <c r="C26" s="58">
        <v>375</v>
      </c>
      <c r="D26" s="58">
        <v>0</v>
      </c>
      <c r="E26" s="58">
        <v>263</v>
      </c>
      <c r="F26" s="58">
        <v>0</v>
      </c>
      <c r="G26" s="58"/>
      <c r="H26" s="58">
        <v>0</v>
      </c>
      <c r="I26" s="58">
        <v>0</v>
      </c>
      <c r="J26" s="58">
        <v>0</v>
      </c>
      <c r="K26" s="58">
        <v>0</v>
      </c>
      <c r="L26" s="58">
        <v>246</v>
      </c>
      <c r="M26" s="58">
        <v>1818</v>
      </c>
      <c r="N26" s="58">
        <v>0</v>
      </c>
      <c r="O26" s="58">
        <v>0</v>
      </c>
      <c r="P26" s="58">
        <v>0</v>
      </c>
      <c r="Q26" s="58">
        <v>8</v>
      </c>
      <c r="R26" s="58">
        <v>0</v>
      </c>
      <c r="S26" s="58"/>
      <c r="T26" s="58"/>
      <c r="U26" s="58">
        <v>152</v>
      </c>
      <c r="V26" s="58">
        <v>0</v>
      </c>
      <c r="W26" s="58">
        <v>0</v>
      </c>
      <c r="X26" s="58">
        <v>0</v>
      </c>
      <c r="Y26" s="58">
        <v>1289</v>
      </c>
      <c r="Z26" s="58">
        <v>16</v>
      </c>
      <c r="AA26" s="58">
        <v>0</v>
      </c>
      <c r="AB26" s="58">
        <v>0</v>
      </c>
      <c r="AC26" s="58">
        <v>0</v>
      </c>
      <c r="AD26" s="58">
        <v>0</v>
      </c>
      <c r="AE26" s="58">
        <v>0</v>
      </c>
      <c r="AF26" s="58">
        <v>0</v>
      </c>
      <c r="AG26" s="58">
        <v>0</v>
      </c>
      <c r="AH26" s="58">
        <v>0</v>
      </c>
      <c r="AI26" s="58">
        <v>0</v>
      </c>
      <c r="AJ26" s="59">
        <v>0</v>
      </c>
      <c r="AL26" s="59">
        <v>0</v>
      </c>
      <c r="AM26" s="59">
        <v>57</v>
      </c>
    </row>
    <row r="27" spans="1:39" x14ac:dyDescent="0.3">
      <c r="A27" s="58" t="s">
        <v>583</v>
      </c>
      <c r="B27" s="58" t="s">
        <v>360</v>
      </c>
      <c r="C27" s="58">
        <v>175</v>
      </c>
      <c r="D27" s="58">
        <v>787</v>
      </c>
      <c r="E27" s="58">
        <v>0</v>
      </c>
      <c r="F27" s="58">
        <v>0</v>
      </c>
      <c r="G27" s="58"/>
      <c r="H27" s="58">
        <v>0</v>
      </c>
      <c r="I27" s="58">
        <v>0</v>
      </c>
      <c r="J27" s="58">
        <v>0</v>
      </c>
      <c r="K27" s="58">
        <v>0</v>
      </c>
      <c r="L27" s="58">
        <v>0</v>
      </c>
      <c r="M27" s="58">
        <v>1120</v>
      </c>
      <c r="N27" s="58">
        <v>0</v>
      </c>
      <c r="O27" s="58">
        <v>0</v>
      </c>
      <c r="P27" s="58">
        <v>0</v>
      </c>
      <c r="Q27" s="58">
        <v>0</v>
      </c>
      <c r="R27" s="58">
        <v>0</v>
      </c>
      <c r="S27" s="58"/>
      <c r="T27" s="58"/>
      <c r="U27" s="58">
        <v>0</v>
      </c>
      <c r="V27" s="58">
        <v>0</v>
      </c>
      <c r="W27" s="58">
        <v>0</v>
      </c>
      <c r="X27" s="58">
        <v>0</v>
      </c>
      <c r="Y27" s="58">
        <v>0</v>
      </c>
      <c r="Z27" s="58">
        <v>74</v>
      </c>
      <c r="AA27" s="58">
        <v>0</v>
      </c>
      <c r="AB27" s="58">
        <v>0</v>
      </c>
      <c r="AC27" s="58">
        <v>0</v>
      </c>
      <c r="AD27" s="58">
        <v>0</v>
      </c>
      <c r="AE27" s="58">
        <v>0</v>
      </c>
      <c r="AF27" s="58">
        <v>0</v>
      </c>
      <c r="AG27" s="58">
        <v>0</v>
      </c>
      <c r="AH27" s="58">
        <v>0</v>
      </c>
      <c r="AI27" s="58">
        <v>0</v>
      </c>
      <c r="AJ27" s="59">
        <v>0</v>
      </c>
      <c r="AL27" s="59">
        <v>0</v>
      </c>
      <c r="AM27" s="59">
        <v>0</v>
      </c>
    </row>
    <row r="28" spans="1:39" x14ac:dyDescent="0.3">
      <c r="A28" s="58" t="s">
        <v>584</v>
      </c>
      <c r="B28" s="58" t="s">
        <v>360</v>
      </c>
      <c r="C28" s="58">
        <v>0</v>
      </c>
      <c r="D28" s="58">
        <v>0</v>
      </c>
      <c r="E28" s="58">
        <v>0</v>
      </c>
      <c r="F28" s="58">
        <v>0</v>
      </c>
      <c r="G28" s="58"/>
      <c r="H28" s="58">
        <v>0</v>
      </c>
      <c r="I28" s="58">
        <v>520</v>
      </c>
      <c r="J28" s="58">
        <v>0</v>
      </c>
      <c r="K28" s="58">
        <v>0</v>
      </c>
      <c r="L28" s="58">
        <v>0</v>
      </c>
      <c r="M28" s="58">
        <v>0</v>
      </c>
      <c r="N28" s="58">
        <v>0</v>
      </c>
      <c r="O28" s="58">
        <v>0</v>
      </c>
      <c r="P28" s="58">
        <v>0</v>
      </c>
      <c r="Q28" s="58">
        <v>0</v>
      </c>
      <c r="R28" s="58">
        <v>0</v>
      </c>
      <c r="S28" s="58"/>
      <c r="T28" s="58"/>
      <c r="U28" s="58">
        <v>0</v>
      </c>
      <c r="V28" s="58">
        <v>0</v>
      </c>
      <c r="W28" s="58">
        <v>0</v>
      </c>
      <c r="X28" s="58">
        <v>0</v>
      </c>
      <c r="Y28" s="58">
        <v>0</v>
      </c>
      <c r="Z28" s="58">
        <v>0</v>
      </c>
      <c r="AA28" s="58">
        <v>0</v>
      </c>
      <c r="AB28" s="58">
        <v>0</v>
      </c>
      <c r="AC28" s="58">
        <v>0</v>
      </c>
      <c r="AD28" s="58">
        <v>0</v>
      </c>
      <c r="AE28" s="58">
        <v>0</v>
      </c>
      <c r="AF28" s="58">
        <v>0</v>
      </c>
      <c r="AG28" s="58">
        <v>0</v>
      </c>
      <c r="AH28" s="58">
        <v>0</v>
      </c>
      <c r="AI28" s="58">
        <v>0</v>
      </c>
      <c r="AJ28" s="59">
        <v>0</v>
      </c>
      <c r="AL28" s="59">
        <v>0</v>
      </c>
      <c r="AM28" s="59">
        <v>0</v>
      </c>
    </row>
    <row r="29" spans="1:39" x14ac:dyDescent="0.3">
      <c r="A29" s="58" t="s">
        <v>585</v>
      </c>
      <c r="B29" s="58" t="s">
        <v>360</v>
      </c>
      <c r="C29" s="58">
        <v>21</v>
      </c>
      <c r="D29" s="58">
        <v>242</v>
      </c>
      <c r="E29" s="58">
        <v>0</v>
      </c>
      <c r="F29" s="58">
        <v>0</v>
      </c>
      <c r="G29" s="58"/>
      <c r="H29" s="58">
        <v>0</v>
      </c>
      <c r="I29" s="58">
        <v>0</v>
      </c>
      <c r="J29" s="58">
        <v>0</v>
      </c>
      <c r="K29" s="58">
        <v>87</v>
      </c>
      <c r="L29" s="58">
        <v>437</v>
      </c>
      <c r="M29" s="58">
        <v>3102</v>
      </c>
      <c r="N29" s="58">
        <v>0</v>
      </c>
      <c r="O29" s="58">
        <v>114</v>
      </c>
      <c r="P29" s="58">
        <v>300</v>
      </c>
      <c r="Q29" s="58">
        <v>4723</v>
      </c>
      <c r="R29" s="58">
        <v>0</v>
      </c>
      <c r="S29" s="58"/>
      <c r="T29" s="58"/>
      <c r="U29" s="58">
        <v>0</v>
      </c>
      <c r="V29" s="58">
        <v>602</v>
      </c>
      <c r="W29" s="58">
        <v>0</v>
      </c>
      <c r="X29" s="58">
        <v>0</v>
      </c>
      <c r="Y29" s="58">
        <v>214</v>
      </c>
      <c r="Z29" s="58">
        <v>0</v>
      </c>
      <c r="AA29" s="58">
        <v>0</v>
      </c>
      <c r="AB29" s="58">
        <v>0</v>
      </c>
      <c r="AC29" s="58">
        <v>0</v>
      </c>
      <c r="AD29" s="58">
        <v>0</v>
      </c>
      <c r="AE29" s="58">
        <v>0</v>
      </c>
      <c r="AF29" s="58">
        <v>0</v>
      </c>
      <c r="AG29" s="58">
        <v>0</v>
      </c>
      <c r="AH29" s="58">
        <v>0</v>
      </c>
      <c r="AI29" s="58">
        <v>0</v>
      </c>
      <c r="AJ29" s="59">
        <v>0</v>
      </c>
      <c r="AL29" s="59">
        <v>0</v>
      </c>
      <c r="AM29" s="59">
        <v>100</v>
      </c>
    </row>
    <row r="30" spans="1:39" x14ac:dyDescent="0.3">
      <c r="A30" s="58" t="s">
        <v>586</v>
      </c>
      <c r="B30" s="58" t="s">
        <v>360</v>
      </c>
      <c r="C30" s="58">
        <v>18</v>
      </c>
      <c r="D30" s="58">
        <v>50</v>
      </c>
      <c r="E30" s="58">
        <v>0</v>
      </c>
      <c r="F30" s="58">
        <v>0</v>
      </c>
      <c r="G30" s="58"/>
      <c r="H30" s="58">
        <v>0</v>
      </c>
      <c r="I30" s="58">
        <v>0</v>
      </c>
      <c r="J30" s="58">
        <v>0</v>
      </c>
      <c r="K30" s="58">
        <v>232</v>
      </c>
      <c r="L30" s="58">
        <v>199</v>
      </c>
      <c r="M30" s="58">
        <v>126</v>
      </c>
      <c r="N30" s="58">
        <v>147</v>
      </c>
      <c r="O30" s="58">
        <v>0</v>
      </c>
      <c r="P30" s="58">
        <v>0</v>
      </c>
      <c r="Q30" s="58">
        <v>664</v>
      </c>
      <c r="R30" s="58">
        <v>0</v>
      </c>
      <c r="S30" s="58"/>
      <c r="T30" s="58"/>
      <c r="U30" s="58">
        <v>0</v>
      </c>
      <c r="V30" s="58">
        <v>40</v>
      </c>
      <c r="W30" s="58">
        <v>0</v>
      </c>
      <c r="X30" s="58">
        <v>0</v>
      </c>
      <c r="Y30" s="58">
        <v>0</v>
      </c>
      <c r="Z30" s="58">
        <v>0</v>
      </c>
      <c r="AA30" s="58">
        <v>415</v>
      </c>
      <c r="AB30" s="58">
        <v>0</v>
      </c>
      <c r="AC30" s="58">
        <v>110</v>
      </c>
      <c r="AD30" s="58">
        <v>0</v>
      </c>
      <c r="AE30" s="58">
        <v>0</v>
      </c>
      <c r="AF30" s="58">
        <v>0</v>
      </c>
      <c r="AG30" s="58">
        <v>0</v>
      </c>
      <c r="AH30" s="58">
        <v>0</v>
      </c>
      <c r="AI30" s="58">
        <v>0</v>
      </c>
      <c r="AJ30" s="59">
        <v>0</v>
      </c>
      <c r="AL30" s="59">
        <v>0</v>
      </c>
      <c r="AM30" s="59">
        <v>2140</v>
      </c>
    </row>
    <row r="31" spans="1:39" x14ac:dyDescent="0.3">
      <c r="A31" s="58" t="s">
        <v>587</v>
      </c>
      <c r="B31" s="58" t="s">
        <v>360</v>
      </c>
      <c r="C31" s="58">
        <v>0</v>
      </c>
      <c r="D31" s="58">
        <v>0</v>
      </c>
      <c r="E31" s="58">
        <v>0</v>
      </c>
      <c r="F31" s="58">
        <v>191</v>
      </c>
      <c r="G31" s="58"/>
      <c r="H31" s="58">
        <v>0</v>
      </c>
      <c r="I31" s="58">
        <v>0</v>
      </c>
      <c r="J31" s="58">
        <v>0</v>
      </c>
      <c r="K31" s="58">
        <v>0</v>
      </c>
      <c r="L31" s="58">
        <v>0</v>
      </c>
      <c r="M31" s="58">
        <v>5033</v>
      </c>
      <c r="N31" s="58">
        <v>0</v>
      </c>
      <c r="O31" s="58">
        <v>0</v>
      </c>
      <c r="P31" s="58">
        <v>0</v>
      </c>
      <c r="Q31" s="58">
        <v>0</v>
      </c>
      <c r="R31" s="58">
        <v>0</v>
      </c>
      <c r="S31" s="58"/>
      <c r="T31" s="58"/>
      <c r="U31" s="58">
        <v>0</v>
      </c>
      <c r="V31" s="58">
        <v>0</v>
      </c>
      <c r="W31" s="58">
        <v>4450</v>
      </c>
      <c r="X31" s="58">
        <v>0</v>
      </c>
      <c r="Y31" s="58">
        <v>0</v>
      </c>
      <c r="Z31" s="58">
        <v>270</v>
      </c>
      <c r="AA31" s="58">
        <v>0</v>
      </c>
      <c r="AB31" s="58">
        <v>0</v>
      </c>
      <c r="AC31" s="58">
        <v>0</v>
      </c>
      <c r="AD31" s="58">
        <v>0</v>
      </c>
      <c r="AE31" s="58">
        <v>0</v>
      </c>
      <c r="AF31" s="58">
        <v>0</v>
      </c>
      <c r="AG31" s="58">
        <v>0</v>
      </c>
      <c r="AH31" s="58">
        <v>720</v>
      </c>
      <c r="AI31" s="58">
        <v>0</v>
      </c>
      <c r="AJ31" s="59">
        <v>0</v>
      </c>
      <c r="AL31" s="59">
        <v>0</v>
      </c>
      <c r="AM31" s="59">
        <v>0</v>
      </c>
    </row>
    <row r="32" spans="1:39" x14ac:dyDescent="0.3">
      <c r="A32" s="58" t="s">
        <v>588</v>
      </c>
      <c r="B32" s="58" t="s">
        <v>360</v>
      </c>
      <c r="C32" s="58">
        <v>0</v>
      </c>
      <c r="D32" s="58">
        <v>0</v>
      </c>
      <c r="E32" s="58">
        <v>0</v>
      </c>
      <c r="F32" s="58">
        <v>0</v>
      </c>
      <c r="G32" s="58"/>
      <c r="H32" s="58">
        <v>0</v>
      </c>
      <c r="I32" s="58">
        <v>0</v>
      </c>
      <c r="J32" s="58">
        <v>0</v>
      </c>
      <c r="K32" s="58">
        <v>471</v>
      </c>
      <c r="L32" s="58">
        <v>0</v>
      </c>
      <c r="M32" s="58">
        <v>0</v>
      </c>
      <c r="N32" s="58">
        <v>0</v>
      </c>
      <c r="O32" s="58">
        <v>0</v>
      </c>
      <c r="P32" s="58">
        <v>0</v>
      </c>
      <c r="Q32" s="58">
        <v>0</v>
      </c>
      <c r="R32" s="58">
        <v>0</v>
      </c>
      <c r="S32" s="58"/>
      <c r="T32" s="58"/>
      <c r="U32" s="58">
        <v>0</v>
      </c>
      <c r="V32" s="58">
        <v>3381</v>
      </c>
      <c r="W32" s="58">
        <v>0</v>
      </c>
      <c r="X32" s="58">
        <v>0</v>
      </c>
      <c r="Y32" s="58">
        <v>0</v>
      </c>
      <c r="Z32" s="58">
        <v>180</v>
      </c>
      <c r="AA32" s="58">
        <v>0</v>
      </c>
      <c r="AB32" s="58">
        <v>0</v>
      </c>
      <c r="AC32" s="58">
        <v>0</v>
      </c>
      <c r="AD32" s="58">
        <v>0</v>
      </c>
      <c r="AE32" s="58">
        <v>0</v>
      </c>
      <c r="AF32" s="58">
        <v>0</v>
      </c>
      <c r="AG32" s="58">
        <v>0</v>
      </c>
      <c r="AH32" s="58">
        <v>0</v>
      </c>
      <c r="AI32" s="58">
        <v>0</v>
      </c>
      <c r="AJ32" s="59">
        <v>0</v>
      </c>
      <c r="AL32" s="59">
        <v>0</v>
      </c>
      <c r="AM32" s="59">
        <v>285</v>
      </c>
    </row>
    <row r="33" spans="1:39" x14ac:dyDescent="0.3">
      <c r="A33" s="58" t="s">
        <v>589</v>
      </c>
      <c r="B33" s="58" t="s">
        <v>360</v>
      </c>
      <c r="C33" s="58">
        <v>0</v>
      </c>
      <c r="D33" s="58">
        <v>0</v>
      </c>
      <c r="E33" s="58">
        <v>25</v>
      </c>
      <c r="F33" s="58">
        <v>0</v>
      </c>
      <c r="G33" s="58"/>
      <c r="H33" s="58">
        <v>372</v>
      </c>
      <c r="I33" s="58">
        <v>0</v>
      </c>
      <c r="J33" s="58">
        <v>0</v>
      </c>
      <c r="K33" s="58">
        <v>0</v>
      </c>
      <c r="L33" s="58">
        <v>0</v>
      </c>
      <c r="M33" s="58">
        <v>0</v>
      </c>
      <c r="N33" s="58">
        <v>0</v>
      </c>
      <c r="O33" s="58">
        <v>0</v>
      </c>
      <c r="P33" s="58">
        <v>0</v>
      </c>
      <c r="Q33" s="58">
        <v>0</v>
      </c>
      <c r="R33" s="58">
        <v>0</v>
      </c>
      <c r="S33" s="58"/>
      <c r="T33" s="58"/>
      <c r="U33" s="58">
        <v>0</v>
      </c>
      <c r="V33" s="58">
        <v>0</v>
      </c>
      <c r="W33" s="58">
        <v>3558</v>
      </c>
      <c r="X33" s="58">
        <v>0</v>
      </c>
      <c r="Y33" s="58">
        <v>620</v>
      </c>
      <c r="Z33" s="58">
        <v>166</v>
      </c>
      <c r="AA33" s="58">
        <v>0</v>
      </c>
      <c r="AB33" s="58">
        <v>0</v>
      </c>
      <c r="AC33" s="58">
        <v>0</v>
      </c>
      <c r="AD33" s="58">
        <v>0</v>
      </c>
      <c r="AE33" s="58">
        <v>0</v>
      </c>
      <c r="AF33" s="58">
        <v>0</v>
      </c>
      <c r="AG33" s="58">
        <v>0</v>
      </c>
      <c r="AH33" s="58">
        <v>0</v>
      </c>
      <c r="AI33" s="58">
        <v>0</v>
      </c>
      <c r="AJ33" s="59">
        <v>0</v>
      </c>
      <c r="AL33" s="59">
        <v>2197</v>
      </c>
      <c r="AM33" s="59">
        <v>0</v>
      </c>
    </row>
    <row r="34" spans="1:39" x14ac:dyDescent="0.3">
      <c r="A34" s="58" t="s">
        <v>590</v>
      </c>
      <c r="B34" s="58" t="s">
        <v>360</v>
      </c>
      <c r="C34" s="58">
        <v>0</v>
      </c>
      <c r="D34" s="58">
        <v>0</v>
      </c>
      <c r="E34" s="58">
        <v>0</v>
      </c>
      <c r="F34" s="58">
        <v>0</v>
      </c>
      <c r="G34" s="58"/>
      <c r="H34" s="58">
        <v>0</v>
      </c>
      <c r="I34" s="58">
        <v>0</v>
      </c>
      <c r="J34" s="58">
        <v>0</v>
      </c>
      <c r="K34" s="58">
        <v>273</v>
      </c>
      <c r="L34" s="58">
        <v>0</v>
      </c>
      <c r="M34" s="58">
        <v>0</v>
      </c>
      <c r="N34" s="58">
        <v>0</v>
      </c>
      <c r="O34" s="58">
        <v>165</v>
      </c>
      <c r="P34" s="58">
        <v>0</v>
      </c>
      <c r="Q34" s="58">
        <v>0</v>
      </c>
      <c r="R34" s="58">
        <v>0</v>
      </c>
      <c r="S34" s="58"/>
      <c r="T34" s="58"/>
      <c r="U34" s="58">
        <v>0</v>
      </c>
      <c r="V34" s="58">
        <v>0</v>
      </c>
      <c r="W34" s="58">
        <v>1884</v>
      </c>
      <c r="X34" s="58">
        <v>0</v>
      </c>
      <c r="Y34" s="58">
        <v>0</v>
      </c>
      <c r="Z34" s="58">
        <v>0</v>
      </c>
      <c r="AA34" s="58">
        <v>0</v>
      </c>
      <c r="AB34" s="58">
        <v>0</v>
      </c>
      <c r="AC34" s="58">
        <v>0</v>
      </c>
      <c r="AD34" s="58">
        <v>0</v>
      </c>
      <c r="AE34" s="58">
        <v>0</v>
      </c>
      <c r="AF34" s="58">
        <v>0</v>
      </c>
      <c r="AG34" s="58">
        <v>0</v>
      </c>
      <c r="AH34" s="58">
        <v>0</v>
      </c>
      <c r="AI34" s="58">
        <v>0</v>
      </c>
      <c r="AJ34" s="59">
        <v>0</v>
      </c>
      <c r="AL34" s="59">
        <v>0</v>
      </c>
      <c r="AM34" s="59">
        <v>12</v>
      </c>
    </row>
    <row r="35" spans="1:39" x14ac:dyDescent="0.3">
      <c r="A35" s="58" t="s">
        <v>591</v>
      </c>
      <c r="B35" s="58" t="s">
        <v>360</v>
      </c>
      <c r="C35" s="58">
        <v>0</v>
      </c>
      <c r="D35" s="58">
        <v>0</v>
      </c>
      <c r="E35" s="58">
        <v>0</v>
      </c>
      <c r="F35" s="58">
        <v>0</v>
      </c>
      <c r="G35" s="58"/>
      <c r="H35" s="58">
        <v>0</v>
      </c>
      <c r="I35" s="58">
        <v>0</v>
      </c>
      <c r="J35" s="58">
        <v>0</v>
      </c>
      <c r="K35" s="58">
        <v>0</v>
      </c>
      <c r="L35" s="58">
        <v>0</v>
      </c>
      <c r="M35" s="58">
        <v>1570</v>
      </c>
      <c r="N35" s="58">
        <v>0</v>
      </c>
      <c r="O35" s="58">
        <v>0</v>
      </c>
      <c r="P35" s="58">
        <v>0</v>
      </c>
      <c r="Q35" s="58">
        <v>0</v>
      </c>
      <c r="R35" s="58">
        <v>0</v>
      </c>
      <c r="S35" s="58"/>
      <c r="T35" s="58"/>
      <c r="U35" s="58">
        <v>0</v>
      </c>
      <c r="V35" s="58">
        <v>0</v>
      </c>
      <c r="W35" s="58">
        <v>1867</v>
      </c>
      <c r="X35" s="58">
        <v>0</v>
      </c>
      <c r="Y35" s="58">
        <v>0</v>
      </c>
      <c r="Z35" s="58">
        <v>0</v>
      </c>
      <c r="AA35" s="58">
        <v>0</v>
      </c>
      <c r="AB35" s="58">
        <v>0</v>
      </c>
      <c r="AC35" s="58">
        <v>0</v>
      </c>
      <c r="AD35" s="58">
        <v>0</v>
      </c>
      <c r="AE35" s="58">
        <v>0</v>
      </c>
      <c r="AF35" s="58">
        <v>0</v>
      </c>
      <c r="AG35" s="58">
        <v>0</v>
      </c>
      <c r="AH35" s="58">
        <v>0</v>
      </c>
      <c r="AI35" s="58">
        <v>0</v>
      </c>
      <c r="AJ35" s="59">
        <v>0</v>
      </c>
      <c r="AL35" s="59">
        <v>0</v>
      </c>
      <c r="AM35" s="59">
        <v>0</v>
      </c>
    </row>
    <row r="36" spans="1:39" x14ac:dyDescent="0.3">
      <c r="A36" s="58" t="s">
        <v>592</v>
      </c>
      <c r="B36" s="58" t="s">
        <v>360</v>
      </c>
      <c r="C36" s="58">
        <v>0</v>
      </c>
      <c r="D36" s="58">
        <v>615</v>
      </c>
      <c r="E36" s="58">
        <v>0</v>
      </c>
      <c r="F36" s="58">
        <v>0</v>
      </c>
      <c r="G36" s="58"/>
      <c r="H36" s="58">
        <v>0</v>
      </c>
      <c r="I36" s="58">
        <v>767</v>
      </c>
      <c r="J36" s="58">
        <v>0</v>
      </c>
      <c r="K36" s="58">
        <v>456</v>
      </c>
      <c r="L36" s="58">
        <v>0</v>
      </c>
      <c r="M36" s="58">
        <v>0</v>
      </c>
      <c r="N36" s="58">
        <v>0</v>
      </c>
      <c r="O36" s="58">
        <v>0</v>
      </c>
      <c r="P36" s="58">
        <v>0</v>
      </c>
      <c r="Q36" s="58">
        <v>0</v>
      </c>
      <c r="R36" s="58">
        <v>0</v>
      </c>
      <c r="S36" s="58"/>
      <c r="T36" s="58"/>
      <c r="U36" s="58">
        <v>0</v>
      </c>
      <c r="V36" s="58">
        <v>0</v>
      </c>
      <c r="W36" s="58">
        <v>747</v>
      </c>
      <c r="X36" s="58">
        <v>0</v>
      </c>
      <c r="Y36" s="58">
        <v>0</v>
      </c>
      <c r="Z36" s="58">
        <v>40</v>
      </c>
      <c r="AA36" s="58">
        <v>0</v>
      </c>
      <c r="AB36" s="58">
        <v>0</v>
      </c>
      <c r="AC36" s="58">
        <v>0</v>
      </c>
      <c r="AD36" s="58">
        <v>0</v>
      </c>
      <c r="AE36" s="58">
        <v>0</v>
      </c>
      <c r="AF36" s="58">
        <v>0</v>
      </c>
      <c r="AG36" s="58">
        <v>0</v>
      </c>
      <c r="AH36" s="58">
        <v>0</v>
      </c>
      <c r="AI36" s="58">
        <v>0</v>
      </c>
      <c r="AJ36" s="59">
        <v>0</v>
      </c>
      <c r="AL36" s="59">
        <v>0</v>
      </c>
      <c r="AM36" s="59">
        <v>3402</v>
      </c>
    </row>
    <row r="37" spans="1:39" x14ac:dyDescent="0.3">
      <c r="A37" s="58" t="s">
        <v>593</v>
      </c>
      <c r="B37" s="58" t="s">
        <v>360</v>
      </c>
      <c r="C37" s="58">
        <v>0</v>
      </c>
      <c r="D37" s="58">
        <v>0</v>
      </c>
      <c r="E37" s="58">
        <v>30</v>
      </c>
      <c r="F37" s="58">
        <v>0</v>
      </c>
      <c r="G37" s="58"/>
      <c r="H37" s="58">
        <v>600</v>
      </c>
      <c r="I37" s="58">
        <v>0</v>
      </c>
      <c r="J37" s="58">
        <v>0</v>
      </c>
      <c r="K37" s="58">
        <v>0</v>
      </c>
      <c r="L37" s="58">
        <v>0</v>
      </c>
      <c r="M37" s="58">
        <v>4560</v>
      </c>
      <c r="N37" s="58">
        <v>591</v>
      </c>
      <c r="O37" s="58">
        <v>0</v>
      </c>
      <c r="P37" s="58">
        <v>0</v>
      </c>
      <c r="Q37" s="58">
        <v>0</v>
      </c>
      <c r="R37" s="58">
        <v>0</v>
      </c>
      <c r="S37" s="58"/>
      <c r="T37" s="58"/>
      <c r="U37" s="58">
        <v>0</v>
      </c>
      <c r="V37" s="58">
        <v>0</v>
      </c>
      <c r="W37" s="58">
        <v>451</v>
      </c>
      <c r="X37" s="58">
        <v>0</v>
      </c>
      <c r="Y37" s="58">
        <v>0</v>
      </c>
      <c r="Z37" s="58">
        <v>47</v>
      </c>
      <c r="AA37" s="58">
        <v>0</v>
      </c>
      <c r="AB37" s="58">
        <v>0</v>
      </c>
      <c r="AC37" s="58">
        <v>0</v>
      </c>
      <c r="AD37" s="58">
        <v>0</v>
      </c>
      <c r="AE37" s="58">
        <v>0</v>
      </c>
      <c r="AF37" s="58">
        <v>225</v>
      </c>
      <c r="AG37" s="58">
        <v>0</v>
      </c>
      <c r="AH37" s="58">
        <v>0</v>
      </c>
      <c r="AI37" s="58">
        <v>0</v>
      </c>
      <c r="AJ37" s="59">
        <v>758</v>
      </c>
      <c r="AL37" s="59">
        <v>0</v>
      </c>
      <c r="AM37" s="59">
        <v>0</v>
      </c>
    </row>
    <row r="38" spans="1:39" x14ac:dyDescent="0.3">
      <c r="A38" s="58" t="s">
        <v>594</v>
      </c>
      <c r="B38" s="58" t="s">
        <v>360</v>
      </c>
      <c r="C38" s="58">
        <v>0</v>
      </c>
      <c r="D38" s="58">
        <v>0</v>
      </c>
      <c r="E38" s="58">
        <v>2076</v>
      </c>
      <c r="F38" s="58">
        <v>0</v>
      </c>
      <c r="G38" s="58"/>
      <c r="H38" s="58">
        <v>3287</v>
      </c>
      <c r="I38" s="58">
        <v>0</v>
      </c>
      <c r="J38" s="58">
        <v>0</v>
      </c>
      <c r="K38" s="58">
        <v>0</v>
      </c>
      <c r="L38" s="58">
        <v>0</v>
      </c>
      <c r="M38" s="58">
        <v>0</v>
      </c>
      <c r="N38" s="58">
        <v>1248</v>
      </c>
      <c r="O38" s="58">
        <v>0</v>
      </c>
      <c r="P38" s="58">
        <v>0</v>
      </c>
      <c r="Q38" s="58">
        <v>0</v>
      </c>
      <c r="R38" s="58">
        <v>0</v>
      </c>
      <c r="S38" s="58"/>
      <c r="T38" s="58"/>
      <c r="U38" s="58">
        <v>0</v>
      </c>
      <c r="V38" s="58">
        <v>0</v>
      </c>
      <c r="W38" s="58">
        <v>4032</v>
      </c>
      <c r="X38" s="58">
        <v>0</v>
      </c>
      <c r="Y38" s="58">
        <v>2814</v>
      </c>
      <c r="Z38" s="58">
        <v>0</v>
      </c>
      <c r="AA38" s="58">
        <v>305</v>
      </c>
      <c r="AB38" s="58">
        <v>0</v>
      </c>
      <c r="AC38" s="58">
        <v>0</v>
      </c>
      <c r="AD38" s="58">
        <v>0</v>
      </c>
      <c r="AE38" s="58">
        <v>0</v>
      </c>
      <c r="AF38" s="58">
        <v>0</v>
      </c>
      <c r="AG38" s="58">
        <v>0</v>
      </c>
      <c r="AH38" s="58">
        <v>615</v>
      </c>
      <c r="AI38" s="58">
        <v>0</v>
      </c>
      <c r="AJ38" s="59">
        <v>0</v>
      </c>
      <c r="AL38" s="59">
        <v>0</v>
      </c>
      <c r="AM38" s="59">
        <v>0</v>
      </c>
    </row>
    <row r="39" spans="1:39" x14ac:dyDescent="0.3">
      <c r="A39" s="58" t="s">
        <v>595</v>
      </c>
      <c r="B39" s="58" t="s">
        <v>360</v>
      </c>
      <c r="C39" s="58">
        <v>0</v>
      </c>
      <c r="D39" s="58">
        <v>0</v>
      </c>
      <c r="E39" s="58">
        <v>0</v>
      </c>
      <c r="F39" s="58">
        <v>0</v>
      </c>
      <c r="G39" s="58"/>
      <c r="H39" s="58">
        <v>0</v>
      </c>
      <c r="I39" s="58">
        <v>0</v>
      </c>
      <c r="J39" s="58">
        <v>0</v>
      </c>
      <c r="K39" s="58">
        <v>0</v>
      </c>
      <c r="L39" s="58">
        <v>0</v>
      </c>
      <c r="M39" s="58">
        <v>0</v>
      </c>
      <c r="N39" s="58">
        <v>0</v>
      </c>
      <c r="O39" s="58">
        <v>0</v>
      </c>
      <c r="P39" s="58">
        <v>78</v>
      </c>
      <c r="Q39" s="58">
        <v>0</v>
      </c>
      <c r="R39" s="58">
        <v>0</v>
      </c>
      <c r="S39" s="58"/>
      <c r="T39" s="58"/>
      <c r="U39" s="58">
        <v>0</v>
      </c>
      <c r="V39" s="58">
        <v>0</v>
      </c>
      <c r="W39" s="58">
        <v>0</v>
      </c>
      <c r="X39" s="58">
        <v>0</v>
      </c>
      <c r="Y39" s="58">
        <v>0</v>
      </c>
      <c r="Z39" s="58">
        <v>51</v>
      </c>
      <c r="AA39" s="58">
        <v>0</v>
      </c>
      <c r="AB39" s="58">
        <v>0</v>
      </c>
      <c r="AC39" s="58">
        <v>0</v>
      </c>
      <c r="AD39" s="58">
        <v>0</v>
      </c>
      <c r="AE39" s="58">
        <v>0</v>
      </c>
      <c r="AF39" s="58">
        <v>0</v>
      </c>
      <c r="AG39" s="58">
        <v>0</v>
      </c>
      <c r="AH39" s="58">
        <v>0</v>
      </c>
      <c r="AI39" s="58">
        <v>0</v>
      </c>
      <c r="AJ39" s="59">
        <v>0</v>
      </c>
      <c r="AL39" s="59">
        <v>0</v>
      </c>
      <c r="AM39" s="59">
        <v>18</v>
      </c>
    </row>
    <row r="40" spans="1:39" x14ac:dyDescent="0.3">
      <c r="A40" s="58" t="s">
        <v>596</v>
      </c>
      <c r="B40" s="58" t="s">
        <v>360</v>
      </c>
      <c r="C40" s="58">
        <v>0</v>
      </c>
      <c r="D40" s="58">
        <v>0</v>
      </c>
      <c r="E40" s="58">
        <v>600</v>
      </c>
      <c r="F40" s="58">
        <v>0</v>
      </c>
      <c r="G40" s="58"/>
      <c r="H40" s="58">
        <v>0</v>
      </c>
      <c r="I40" s="58">
        <v>0</v>
      </c>
      <c r="J40" s="58">
        <v>0</v>
      </c>
      <c r="K40" s="58">
        <v>0</v>
      </c>
      <c r="L40" s="58">
        <v>0</v>
      </c>
      <c r="M40" s="58">
        <v>3117</v>
      </c>
      <c r="N40" s="58">
        <v>579</v>
      </c>
      <c r="O40" s="58">
        <v>0</v>
      </c>
      <c r="P40" s="58">
        <v>0</v>
      </c>
      <c r="Q40" s="58">
        <v>0</v>
      </c>
      <c r="R40" s="58">
        <v>0</v>
      </c>
      <c r="S40" s="58"/>
      <c r="T40" s="58"/>
      <c r="U40" s="58">
        <v>0</v>
      </c>
      <c r="V40" s="58">
        <v>0</v>
      </c>
      <c r="W40" s="58">
        <v>1840</v>
      </c>
      <c r="X40" s="58">
        <v>0</v>
      </c>
      <c r="Y40" s="58">
        <v>0</v>
      </c>
      <c r="Z40" s="58">
        <v>0</v>
      </c>
      <c r="AA40" s="58">
        <v>539</v>
      </c>
      <c r="AB40" s="58">
        <v>0</v>
      </c>
      <c r="AC40" s="58">
        <v>0</v>
      </c>
      <c r="AD40" s="58">
        <v>0</v>
      </c>
      <c r="AE40" s="58">
        <v>0</v>
      </c>
      <c r="AF40" s="58">
        <v>0</v>
      </c>
      <c r="AG40" s="58">
        <v>0</v>
      </c>
      <c r="AH40" s="58">
        <v>0</v>
      </c>
      <c r="AI40" s="58">
        <v>0</v>
      </c>
      <c r="AJ40" s="59">
        <v>4050</v>
      </c>
      <c r="AL40" s="59">
        <v>0</v>
      </c>
      <c r="AM40" s="59">
        <v>0</v>
      </c>
    </row>
    <row r="41" spans="1:39" x14ac:dyDescent="0.3">
      <c r="A41" s="58" t="s">
        <v>597</v>
      </c>
      <c r="B41" s="58" t="s">
        <v>360</v>
      </c>
      <c r="C41" s="58">
        <v>0</v>
      </c>
      <c r="D41" s="58">
        <v>0</v>
      </c>
      <c r="E41" s="58">
        <v>0</v>
      </c>
      <c r="F41" s="58">
        <v>0</v>
      </c>
      <c r="G41" s="58"/>
      <c r="H41" s="58">
        <v>0</v>
      </c>
      <c r="I41" s="58">
        <v>0</v>
      </c>
      <c r="J41" s="58">
        <v>0</v>
      </c>
      <c r="K41" s="58">
        <v>0</v>
      </c>
      <c r="L41" s="58">
        <v>0</v>
      </c>
      <c r="M41" s="58">
        <v>0</v>
      </c>
      <c r="N41" s="58">
        <v>0</v>
      </c>
      <c r="O41" s="58">
        <v>0</v>
      </c>
      <c r="P41" s="58">
        <v>345</v>
      </c>
      <c r="Q41" s="58">
        <v>0</v>
      </c>
      <c r="R41" s="58">
        <v>0</v>
      </c>
      <c r="S41" s="58"/>
      <c r="T41" s="58"/>
      <c r="U41" s="58">
        <v>0</v>
      </c>
      <c r="V41" s="58">
        <v>0</v>
      </c>
      <c r="W41" s="58">
        <v>0</v>
      </c>
      <c r="X41" s="58">
        <v>0</v>
      </c>
      <c r="Y41" s="58">
        <v>0</v>
      </c>
      <c r="Z41" s="58">
        <v>0</v>
      </c>
      <c r="AA41" s="58">
        <v>0</v>
      </c>
      <c r="AB41" s="58">
        <v>0</v>
      </c>
      <c r="AC41" s="58">
        <v>0</v>
      </c>
      <c r="AD41" s="58">
        <v>0</v>
      </c>
      <c r="AE41" s="58">
        <v>0</v>
      </c>
      <c r="AF41" s="58">
        <v>0</v>
      </c>
      <c r="AG41" s="58">
        <v>0</v>
      </c>
      <c r="AH41" s="58">
        <v>0</v>
      </c>
      <c r="AI41" s="58">
        <v>0</v>
      </c>
      <c r="AJ41" s="59">
        <v>0</v>
      </c>
      <c r="AL41" s="59">
        <v>0</v>
      </c>
      <c r="AM41" s="59">
        <v>0</v>
      </c>
    </row>
    <row r="42" spans="1:39" x14ac:dyDescent="0.3">
      <c r="A42" s="58" t="s">
        <v>598</v>
      </c>
      <c r="B42" s="58" t="s">
        <v>360</v>
      </c>
      <c r="C42" s="58">
        <v>0</v>
      </c>
      <c r="D42" s="58">
        <v>158</v>
      </c>
      <c r="E42" s="58">
        <v>0</v>
      </c>
      <c r="F42" s="58">
        <v>0</v>
      </c>
      <c r="G42" s="58"/>
      <c r="H42" s="58">
        <v>0</v>
      </c>
      <c r="I42" s="58">
        <v>0</v>
      </c>
      <c r="J42" s="58">
        <v>0</v>
      </c>
      <c r="K42" s="58">
        <v>0</v>
      </c>
      <c r="L42" s="58">
        <v>0</v>
      </c>
      <c r="M42" s="58">
        <v>0</v>
      </c>
      <c r="N42" s="58">
        <v>0</v>
      </c>
      <c r="O42" s="58">
        <v>0</v>
      </c>
      <c r="P42" s="58">
        <v>0</v>
      </c>
      <c r="Q42" s="58">
        <v>0</v>
      </c>
      <c r="R42" s="58">
        <v>0</v>
      </c>
      <c r="S42" s="58"/>
      <c r="T42" s="58"/>
      <c r="U42" s="58">
        <v>0</v>
      </c>
      <c r="V42" s="58">
        <v>0</v>
      </c>
      <c r="W42" s="58">
        <v>0</v>
      </c>
      <c r="X42" s="58">
        <v>0</v>
      </c>
      <c r="Y42" s="58">
        <v>0</v>
      </c>
      <c r="Z42" s="58">
        <v>0</v>
      </c>
      <c r="AA42" s="58">
        <v>0</v>
      </c>
      <c r="AB42" s="58">
        <v>0</v>
      </c>
      <c r="AC42" s="58">
        <v>0</v>
      </c>
      <c r="AD42" s="58">
        <v>0</v>
      </c>
      <c r="AE42" s="58">
        <v>0</v>
      </c>
      <c r="AF42" s="58">
        <v>0</v>
      </c>
      <c r="AG42" s="58">
        <v>0</v>
      </c>
      <c r="AH42" s="58">
        <v>0</v>
      </c>
      <c r="AI42" s="58">
        <v>0</v>
      </c>
      <c r="AJ42" s="59">
        <v>0</v>
      </c>
      <c r="AL42" s="59">
        <v>0</v>
      </c>
      <c r="AM42" s="59">
        <v>303</v>
      </c>
    </row>
    <row r="43" spans="1:39" x14ac:dyDescent="0.3">
      <c r="A43" s="58" t="s">
        <v>599</v>
      </c>
      <c r="B43" s="58" t="s">
        <v>360</v>
      </c>
      <c r="C43" s="58">
        <v>0</v>
      </c>
      <c r="D43" s="58">
        <v>0</v>
      </c>
      <c r="E43" s="58">
        <v>0</v>
      </c>
      <c r="F43" s="58">
        <v>0</v>
      </c>
      <c r="G43" s="58"/>
      <c r="H43" s="58">
        <v>0</v>
      </c>
      <c r="I43" s="58">
        <v>412</v>
      </c>
      <c r="J43" s="58">
        <v>0</v>
      </c>
      <c r="K43" s="58">
        <v>0</v>
      </c>
      <c r="L43" s="58">
        <v>0</v>
      </c>
      <c r="M43" s="58">
        <v>0</v>
      </c>
      <c r="N43" s="58">
        <v>0</v>
      </c>
      <c r="O43" s="58">
        <v>0</v>
      </c>
      <c r="P43" s="58">
        <v>0</v>
      </c>
      <c r="Q43" s="58">
        <v>0</v>
      </c>
      <c r="R43" s="58">
        <v>0</v>
      </c>
      <c r="S43" s="58"/>
      <c r="T43" s="58"/>
      <c r="U43" s="58">
        <v>0</v>
      </c>
      <c r="V43" s="58">
        <v>0</v>
      </c>
      <c r="W43" s="58">
        <v>0</v>
      </c>
      <c r="X43" s="58">
        <v>0</v>
      </c>
      <c r="Y43" s="58">
        <v>0</v>
      </c>
      <c r="Z43" s="58">
        <v>0</v>
      </c>
      <c r="AA43" s="58">
        <v>0</v>
      </c>
      <c r="AB43" s="58">
        <v>0</v>
      </c>
      <c r="AC43" s="58">
        <v>0</v>
      </c>
      <c r="AD43" s="58">
        <v>0</v>
      </c>
      <c r="AE43" s="58">
        <v>0</v>
      </c>
      <c r="AF43" s="58">
        <v>0</v>
      </c>
      <c r="AG43" s="58">
        <v>0</v>
      </c>
      <c r="AH43" s="58">
        <v>0</v>
      </c>
      <c r="AI43" s="58">
        <v>0</v>
      </c>
      <c r="AJ43" s="59">
        <v>0</v>
      </c>
      <c r="AL43" s="59">
        <v>0</v>
      </c>
      <c r="AM43" s="59">
        <v>0</v>
      </c>
    </row>
    <row r="44" spans="1:39" x14ac:dyDescent="0.3">
      <c r="A44" s="58" t="s">
        <v>600</v>
      </c>
      <c r="B44" s="58" t="s">
        <v>360</v>
      </c>
      <c r="C44" s="58">
        <v>0</v>
      </c>
      <c r="D44" s="58">
        <v>0</v>
      </c>
      <c r="E44" s="58">
        <v>0</v>
      </c>
      <c r="F44" s="58">
        <v>0</v>
      </c>
      <c r="G44" s="58"/>
      <c r="H44" s="58">
        <v>0</v>
      </c>
      <c r="I44" s="58">
        <v>0</v>
      </c>
      <c r="J44" s="58">
        <v>0</v>
      </c>
      <c r="K44" s="58">
        <v>0</v>
      </c>
      <c r="L44" s="58">
        <v>0</v>
      </c>
      <c r="M44" s="58">
        <v>0</v>
      </c>
      <c r="N44" s="58">
        <v>98</v>
      </c>
      <c r="O44" s="58">
        <v>0</v>
      </c>
      <c r="P44" s="58">
        <v>0</v>
      </c>
      <c r="Q44" s="58">
        <v>0</v>
      </c>
      <c r="R44" s="58">
        <v>0</v>
      </c>
      <c r="S44" s="58"/>
      <c r="T44" s="58"/>
      <c r="U44" s="58">
        <v>0</v>
      </c>
      <c r="V44" s="58">
        <v>0</v>
      </c>
      <c r="W44" s="58">
        <v>0</v>
      </c>
      <c r="X44" s="58">
        <v>0</v>
      </c>
      <c r="Y44" s="58">
        <v>0</v>
      </c>
      <c r="Z44" s="58">
        <v>0</v>
      </c>
      <c r="AA44" s="58">
        <v>0</v>
      </c>
      <c r="AB44" s="58">
        <v>0</v>
      </c>
      <c r="AC44" s="58">
        <v>0</v>
      </c>
      <c r="AD44" s="58">
        <v>0</v>
      </c>
      <c r="AE44" s="58">
        <v>0</v>
      </c>
      <c r="AF44" s="58">
        <v>0</v>
      </c>
      <c r="AG44" s="58">
        <v>0</v>
      </c>
      <c r="AH44" s="58">
        <v>0</v>
      </c>
      <c r="AI44" s="58">
        <v>0</v>
      </c>
      <c r="AJ44" s="59">
        <v>0</v>
      </c>
      <c r="AL44" s="59">
        <v>0</v>
      </c>
      <c r="AM44" s="59">
        <v>0</v>
      </c>
    </row>
    <row r="45" spans="1:39" x14ac:dyDescent="0.3">
      <c r="A45" s="58" t="s">
        <v>91</v>
      </c>
      <c r="B45" s="58" t="s">
        <v>360</v>
      </c>
      <c r="C45" s="58">
        <v>168</v>
      </c>
      <c r="D45" s="58">
        <v>0</v>
      </c>
      <c r="E45" s="58">
        <v>0</v>
      </c>
      <c r="F45" s="58">
        <v>0</v>
      </c>
      <c r="G45" s="58"/>
      <c r="H45" s="58">
        <v>13</v>
      </c>
      <c r="I45" s="58">
        <v>0</v>
      </c>
      <c r="J45" s="58">
        <v>0</v>
      </c>
      <c r="K45" s="58">
        <v>0</v>
      </c>
      <c r="L45" s="58">
        <v>152</v>
      </c>
      <c r="M45" s="58">
        <v>839</v>
      </c>
      <c r="N45" s="58">
        <v>310</v>
      </c>
      <c r="O45" s="58">
        <v>410</v>
      </c>
      <c r="P45" s="58">
        <v>324</v>
      </c>
      <c r="Q45" s="58">
        <v>0</v>
      </c>
      <c r="R45" s="58">
        <v>0</v>
      </c>
      <c r="S45" s="58"/>
      <c r="T45" s="58"/>
      <c r="U45" s="58">
        <v>0</v>
      </c>
      <c r="V45" s="58">
        <v>0</v>
      </c>
      <c r="W45" s="58">
        <v>0</v>
      </c>
      <c r="X45" s="58">
        <v>0</v>
      </c>
      <c r="Y45" s="58">
        <v>0</v>
      </c>
      <c r="Z45" s="58">
        <v>0</v>
      </c>
      <c r="AA45" s="58">
        <v>0</v>
      </c>
      <c r="AB45" s="58">
        <v>0</v>
      </c>
      <c r="AC45" s="58">
        <v>0</v>
      </c>
      <c r="AD45" s="58">
        <v>0</v>
      </c>
      <c r="AE45" s="58">
        <v>0</v>
      </c>
      <c r="AF45" s="58">
        <v>0</v>
      </c>
      <c r="AG45" s="58">
        <v>0</v>
      </c>
      <c r="AH45" s="58">
        <v>0</v>
      </c>
      <c r="AI45" s="58">
        <v>0</v>
      </c>
      <c r="AJ45" s="59">
        <v>0</v>
      </c>
      <c r="AL45" s="59">
        <v>0</v>
      </c>
      <c r="AM45" s="59">
        <v>262</v>
      </c>
    </row>
    <row r="46" spans="1:39" x14ac:dyDescent="0.3">
      <c r="A46" s="58" t="s">
        <v>601</v>
      </c>
      <c r="B46" s="58" t="s">
        <v>360</v>
      </c>
      <c r="C46" s="58">
        <v>0</v>
      </c>
      <c r="D46" s="58">
        <v>0</v>
      </c>
      <c r="E46" s="58">
        <v>0</v>
      </c>
      <c r="F46" s="58">
        <v>0</v>
      </c>
      <c r="G46" s="58"/>
      <c r="H46" s="58">
        <v>0</v>
      </c>
      <c r="I46" s="58">
        <v>0</v>
      </c>
      <c r="J46" s="58">
        <v>0</v>
      </c>
      <c r="K46" s="58">
        <v>0</v>
      </c>
      <c r="L46" s="58">
        <v>0</v>
      </c>
      <c r="M46" s="58">
        <v>0</v>
      </c>
      <c r="N46" s="58">
        <v>0</v>
      </c>
      <c r="O46" s="58">
        <v>0</v>
      </c>
      <c r="P46" s="58">
        <v>0</v>
      </c>
      <c r="Q46" s="58">
        <v>0</v>
      </c>
      <c r="R46" s="58">
        <v>0</v>
      </c>
      <c r="S46" s="58"/>
      <c r="T46" s="58"/>
      <c r="U46" s="58">
        <v>0</v>
      </c>
      <c r="V46" s="58">
        <v>0</v>
      </c>
      <c r="W46" s="58">
        <v>0</v>
      </c>
      <c r="X46" s="58">
        <v>0</v>
      </c>
      <c r="Y46" s="58">
        <v>0</v>
      </c>
      <c r="Z46" s="58">
        <v>0</v>
      </c>
      <c r="AA46" s="58">
        <v>0</v>
      </c>
      <c r="AB46" s="58">
        <v>0</v>
      </c>
      <c r="AC46" s="58">
        <v>0</v>
      </c>
      <c r="AD46" s="58">
        <v>0</v>
      </c>
      <c r="AE46" s="58">
        <v>0</v>
      </c>
      <c r="AF46" s="58">
        <v>0</v>
      </c>
      <c r="AG46" s="58">
        <v>0</v>
      </c>
      <c r="AH46" s="58">
        <v>0</v>
      </c>
      <c r="AI46" s="58">
        <v>0</v>
      </c>
      <c r="AJ46" s="59">
        <v>0</v>
      </c>
      <c r="AL46" s="59">
        <v>13</v>
      </c>
      <c r="AM46" s="59">
        <v>0</v>
      </c>
    </row>
    <row r="47" spans="1:39" x14ac:dyDescent="0.3">
      <c r="A47" s="58" t="s">
        <v>602</v>
      </c>
      <c r="B47" s="58" t="s">
        <v>360</v>
      </c>
      <c r="C47" s="58">
        <v>0</v>
      </c>
      <c r="D47" s="58">
        <v>0</v>
      </c>
      <c r="E47" s="58">
        <v>0</v>
      </c>
      <c r="F47" s="58">
        <v>0</v>
      </c>
      <c r="G47" s="58"/>
      <c r="H47" s="58">
        <v>0</v>
      </c>
      <c r="I47" s="58">
        <v>0</v>
      </c>
      <c r="J47" s="58">
        <v>660</v>
      </c>
      <c r="K47" s="58">
        <v>0</v>
      </c>
      <c r="L47" s="58">
        <v>0</v>
      </c>
      <c r="M47" s="58">
        <v>0</v>
      </c>
      <c r="N47" s="58">
        <v>0</v>
      </c>
      <c r="O47" s="58">
        <v>0</v>
      </c>
      <c r="P47" s="58">
        <v>0</v>
      </c>
      <c r="Q47" s="58">
        <v>0</v>
      </c>
      <c r="R47" s="58">
        <v>0</v>
      </c>
      <c r="S47" s="58"/>
      <c r="T47" s="58"/>
      <c r="U47" s="58">
        <v>0</v>
      </c>
      <c r="V47" s="58">
        <v>0</v>
      </c>
      <c r="W47" s="58">
        <v>0</v>
      </c>
      <c r="X47" s="58">
        <v>0</v>
      </c>
      <c r="Y47" s="58">
        <v>0</v>
      </c>
      <c r="Z47" s="58">
        <v>0</v>
      </c>
      <c r="AA47" s="58">
        <v>0</v>
      </c>
      <c r="AB47" s="58">
        <v>0</v>
      </c>
      <c r="AC47" s="58">
        <v>0</v>
      </c>
      <c r="AD47" s="58">
        <v>0</v>
      </c>
      <c r="AE47" s="58">
        <v>0</v>
      </c>
      <c r="AF47" s="58">
        <v>0</v>
      </c>
      <c r="AG47" s="58">
        <v>0</v>
      </c>
      <c r="AH47" s="58">
        <v>0</v>
      </c>
      <c r="AI47" s="58">
        <v>0</v>
      </c>
      <c r="AJ47" s="59">
        <v>0</v>
      </c>
      <c r="AL47" s="59">
        <v>0</v>
      </c>
      <c r="AM47" s="59">
        <v>0</v>
      </c>
    </row>
    <row r="48" spans="1:39" x14ac:dyDescent="0.3">
      <c r="A48" s="58" t="s">
        <v>603</v>
      </c>
      <c r="B48" s="58" t="s">
        <v>360</v>
      </c>
      <c r="C48" s="58">
        <v>0</v>
      </c>
      <c r="D48" s="58">
        <v>0</v>
      </c>
      <c r="E48" s="58">
        <v>0</v>
      </c>
      <c r="F48" s="58">
        <v>0</v>
      </c>
      <c r="G48" s="58"/>
      <c r="H48" s="58">
        <v>0</v>
      </c>
      <c r="I48" s="58">
        <v>0</v>
      </c>
      <c r="J48" s="58">
        <v>346</v>
      </c>
      <c r="K48" s="58">
        <v>0</v>
      </c>
      <c r="L48" s="58">
        <v>0</v>
      </c>
      <c r="M48" s="58">
        <v>0</v>
      </c>
      <c r="N48" s="58">
        <v>0</v>
      </c>
      <c r="O48" s="58">
        <v>0</v>
      </c>
      <c r="P48" s="58">
        <v>0</v>
      </c>
      <c r="Q48" s="58">
        <v>0</v>
      </c>
      <c r="R48" s="58">
        <v>0</v>
      </c>
      <c r="S48" s="58"/>
      <c r="T48" s="58"/>
      <c r="U48" s="58">
        <v>0</v>
      </c>
      <c r="V48" s="58">
        <v>0</v>
      </c>
      <c r="W48" s="58">
        <v>0</v>
      </c>
      <c r="X48" s="58">
        <v>0</v>
      </c>
      <c r="Y48" s="58">
        <v>0</v>
      </c>
      <c r="Z48" s="58">
        <v>0</v>
      </c>
      <c r="AA48" s="58">
        <v>0</v>
      </c>
      <c r="AB48" s="58">
        <v>0</v>
      </c>
      <c r="AC48" s="58">
        <v>0</v>
      </c>
      <c r="AD48" s="58">
        <v>0</v>
      </c>
      <c r="AE48" s="58">
        <v>0</v>
      </c>
      <c r="AF48" s="58">
        <v>0</v>
      </c>
      <c r="AG48" s="58">
        <v>0</v>
      </c>
      <c r="AH48" s="58">
        <v>0</v>
      </c>
      <c r="AI48" s="58">
        <v>0</v>
      </c>
      <c r="AJ48" s="59">
        <v>0</v>
      </c>
      <c r="AL48" s="59">
        <v>0</v>
      </c>
      <c r="AM48" s="59">
        <v>0</v>
      </c>
    </row>
    <row r="49" spans="1:39" x14ac:dyDescent="0.3">
      <c r="A49" s="58" t="s">
        <v>604</v>
      </c>
      <c r="B49" s="58" t="s">
        <v>360</v>
      </c>
      <c r="C49" s="58">
        <v>953</v>
      </c>
      <c r="D49" s="58">
        <v>1324</v>
      </c>
      <c r="E49" s="58">
        <v>0</v>
      </c>
      <c r="F49" s="58">
        <v>200</v>
      </c>
      <c r="G49" s="58"/>
      <c r="H49" s="58">
        <v>1225</v>
      </c>
      <c r="I49" s="58">
        <v>705</v>
      </c>
      <c r="J49" s="58">
        <v>155</v>
      </c>
      <c r="K49" s="58">
        <v>3035</v>
      </c>
      <c r="L49" s="58">
        <v>6533</v>
      </c>
      <c r="M49" s="58">
        <v>15809</v>
      </c>
      <c r="N49" s="58">
        <v>0</v>
      </c>
      <c r="O49" s="58">
        <v>454</v>
      </c>
      <c r="P49" s="58">
        <v>138</v>
      </c>
      <c r="Q49" s="58">
        <v>5984</v>
      </c>
      <c r="R49" s="58">
        <v>0</v>
      </c>
      <c r="S49" s="58"/>
      <c r="T49" s="58"/>
      <c r="U49" s="58">
        <v>150</v>
      </c>
      <c r="V49" s="58">
        <v>3770</v>
      </c>
      <c r="W49" s="58">
        <v>6818</v>
      </c>
      <c r="X49" s="58">
        <v>776</v>
      </c>
      <c r="Y49" s="58">
        <v>0</v>
      </c>
      <c r="Z49" s="58">
        <v>149</v>
      </c>
      <c r="AA49" s="58">
        <v>158</v>
      </c>
      <c r="AB49" s="58">
        <v>3745</v>
      </c>
      <c r="AC49" s="58">
        <v>0</v>
      </c>
      <c r="AD49" s="58">
        <v>889</v>
      </c>
      <c r="AE49" s="58">
        <v>0</v>
      </c>
      <c r="AF49" s="58">
        <v>0</v>
      </c>
      <c r="AG49" s="58">
        <v>0</v>
      </c>
      <c r="AH49" s="58">
        <v>0</v>
      </c>
      <c r="AI49" s="58">
        <v>265</v>
      </c>
      <c r="AJ49" s="59">
        <v>0</v>
      </c>
      <c r="AL49" s="59">
        <v>0</v>
      </c>
      <c r="AM49" s="59">
        <v>7441</v>
      </c>
    </row>
    <row r="51" spans="1:39" s="55" customFormat="1" x14ac:dyDescent="0.3">
      <c r="A51" s="54" t="s">
        <v>605</v>
      </c>
      <c r="B51" s="54"/>
      <c r="C51" s="45" t="s">
        <v>382</v>
      </c>
      <c r="D51" s="45" t="s">
        <v>383</v>
      </c>
      <c r="E51" s="45" t="s">
        <v>384</v>
      </c>
      <c r="F51" s="45" t="s">
        <v>385</v>
      </c>
      <c r="G51" s="45" t="s">
        <v>386</v>
      </c>
      <c r="H51" s="45" t="s">
        <v>387</v>
      </c>
      <c r="I51" s="45" t="s">
        <v>388</v>
      </c>
      <c r="J51" s="45" t="s">
        <v>389</v>
      </c>
      <c r="K51" s="45" t="s">
        <v>390</v>
      </c>
      <c r="L51" s="45" t="s">
        <v>391</v>
      </c>
      <c r="M51" s="45" t="s">
        <v>392</v>
      </c>
      <c r="N51" s="45" t="s">
        <v>393</v>
      </c>
      <c r="O51" s="45" t="s">
        <v>394</v>
      </c>
      <c r="P51" s="45" t="s">
        <v>395</v>
      </c>
      <c r="Q51" s="45" t="s">
        <v>396</v>
      </c>
      <c r="R51" s="45" t="s">
        <v>397</v>
      </c>
      <c r="S51" s="45" t="s">
        <v>398</v>
      </c>
      <c r="T51" s="45" t="s">
        <v>399</v>
      </c>
      <c r="U51" s="45" t="s">
        <v>400</v>
      </c>
      <c r="V51" s="45" t="s">
        <v>401</v>
      </c>
      <c r="W51" s="45" t="s">
        <v>402</v>
      </c>
      <c r="X51" s="45" t="s">
        <v>403</v>
      </c>
      <c r="Y51" s="45" t="s">
        <v>404</v>
      </c>
      <c r="Z51" s="45" t="s">
        <v>405</v>
      </c>
      <c r="AA51" s="45" t="s">
        <v>406</v>
      </c>
      <c r="AB51" s="45" t="s">
        <v>407</v>
      </c>
      <c r="AC51" s="45" t="s">
        <v>408</v>
      </c>
      <c r="AD51" s="45" t="s">
        <v>409</v>
      </c>
      <c r="AE51" s="45" t="s">
        <v>410</v>
      </c>
      <c r="AF51" s="45" t="s">
        <v>411</v>
      </c>
      <c r="AG51" s="45" t="s">
        <v>412</v>
      </c>
      <c r="AH51" s="45" t="s">
        <v>413</v>
      </c>
      <c r="AI51" s="45" t="s">
        <v>414</v>
      </c>
      <c r="AJ51" s="55" t="s">
        <v>415</v>
      </c>
      <c r="AK51" s="55" t="s">
        <v>416</v>
      </c>
      <c r="AL51" s="55" t="s">
        <v>417</v>
      </c>
      <c r="AM51" s="55" t="s">
        <v>418</v>
      </c>
    </row>
    <row r="52" spans="1:39" s="57" customFormat="1" x14ac:dyDescent="0.3">
      <c r="A52" s="56"/>
      <c r="B52" s="56"/>
      <c r="C52" s="46" t="s">
        <v>420</v>
      </c>
      <c r="D52" s="46" t="s">
        <v>421</v>
      </c>
      <c r="E52" s="46" t="s">
        <v>422</v>
      </c>
      <c r="F52" s="46" t="s">
        <v>423</v>
      </c>
      <c r="G52" s="46"/>
      <c r="H52" s="46" t="s">
        <v>424</v>
      </c>
      <c r="I52" s="46" t="s">
        <v>425</v>
      </c>
      <c r="J52" s="46" t="s">
        <v>426</v>
      </c>
      <c r="K52" s="46" t="s">
        <v>427</v>
      </c>
      <c r="L52" s="46" t="s">
        <v>428</v>
      </c>
      <c r="M52" s="46" t="s">
        <v>429</v>
      </c>
      <c r="N52" s="46" t="s">
        <v>430</v>
      </c>
      <c r="O52" s="46" t="s">
        <v>431</v>
      </c>
      <c r="P52" s="46" t="s">
        <v>432</v>
      </c>
      <c r="Q52" s="46" t="s">
        <v>433</v>
      </c>
      <c r="R52" s="46" t="s">
        <v>434</v>
      </c>
      <c r="S52" s="46"/>
      <c r="T52" s="46"/>
      <c r="U52" s="46" t="s">
        <v>435</v>
      </c>
      <c r="V52" s="46" t="s">
        <v>436</v>
      </c>
      <c r="W52" s="46" t="s">
        <v>437</v>
      </c>
      <c r="X52" s="46" t="s">
        <v>438</v>
      </c>
      <c r="Y52" s="46" t="s">
        <v>439</v>
      </c>
      <c r="Z52" s="46" t="s">
        <v>440</v>
      </c>
      <c r="AA52" s="46" t="s">
        <v>441</v>
      </c>
      <c r="AB52" s="46" t="s">
        <v>442</v>
      </c>
      <c r="AC52" s="46" t="s">
        <v>443</v>
      </c>
      <c r="AD52" s="46" t="s">
        <v>444</v>
      </c>
      <c r="AE52" s="46" t="s">
        <v>445</v>
      </c>
      <c r="AF52" s="46" t="s">
        <v>446</v>
      </c>
      <c r="AG52" s="46" t="s">
        <v>447</v>
      </c>
      <c r="AH52" s="46" t="s">
        <v>448</v>
      </c>
      <c r="AI52" s="46" t="s">
        <v>449</v>
      </c>
      <c r="AJ52" s="57" t="s">
        <v>450</v>
      </c>
      <c r="AK52" s="57" t="s">
        <v>451</v>
      </c>
      <c r="AL52" s="57" t="s">
        <v>452</v>
      </c>
      <c r="AM52" s="57" t="s">
        <v>453</v>
      </c>
    </row>
    <row r="53" spans="1:39" x14ac:dyDescent="0.3">
      <c r="A53" s="58" t="s">
        <v>560</v>
      </c>
      <c r="B53" s="58"/>
      <c r="C53" s="58">
        <v>1234</v>
      </c>
      <c r="D53" s="58">
        <v>950</v>
      </c>
      <c r="E53" s="58">
        <v>578</v>
      </c>
      <c r="F53" s="58">
        <v>253</v>
      </c>
      <c r="G53" s="58"/>
      <c r="H53" s="58">
        <v>406</v>
      </c>
      <c r="I53" s="58">
        <v>1021</v>
      </c>
      <c r="J53" s="58">
        <v>132</v>
      </c>
      <c r="K53" s="58">
        <v>700</v>
      </c>
      <c r="L53" s="58">
        <v>7159</v>
      </c>
      <c r="M53" s="58">
        <v>8114</v>
      </c>
      <c r="N53" s="58">
        <v>801</v>
      </c>
      <c r="O53" s="58">
        <v>630</v>
      </c>
      <c r="P53" s="58">
        <v>450</v>
      </c>
      <c r="Q53" s="58">
        <v>1507</v>
      </c>
      <c r="R53" s="58">
        <v>117</v>
      </c>
      <c r="S53" s="58"/>
      <c r="T53" s="58"/>
      <c r="U53" s="58">
        <v>42</v>
      </c>
      <c r="V53" s="58">
        <v>1737</v>
      </c>
      <c r="W53" s="58">
        <v>1000</v>
      </c>
      <c r="X53" s="58">
        <v>797</v>
      </c>
      <c r="Y53" s="58">
        <v>941</v>
      </c>
      <c r="Z53" s="58">
        <v>524</v>
      </c>
      <c r="AA53" s="58">
        <v>244</v>
      </c>
      <c r="AB53" s="58">
        <v>2593</v>
      </c>
      <c r="AC53" s="58">
        <v>2249</v>
      </c>
      <c r="AD53" s="58">
        <v>898</v>
      </c>
      <c r="AE53" s="58">
        <v>0</v>
      </c>
      <c r="AF53" s="58">
        <v>64</v>
      </c>
      <c r="AG53" s="58">
        <v>0</v>
      </c>
      <c r="AH53" s="58">
        <v>746</v>
      </c>
      <c r="AI53" s="58">
        <v>0</v>
      </c>
      <c r="AJ53" s="59">
        <v>633</v>
      </c>
      <c r="AL53" s="59">
        <v>0</v>
      </c>
      <c r="AM53" s="59">
        <v>2276</v>
      </c>
    </row>
    <row r="54" spans="1:39" x14ac:dyDescent="0.3">
      <c r="A54" s="58" t="s">
        <v>561</v>
      </c>
      <c r="B54" s="58" t="s">
        <v>360</v>
      </c>
      <c r="C54" s="58">
        <v>15000</v>
      </c>
      <c r="D54" s="58">
        <v>7130</v>
      </c>
      <c r="E54" s="58">
        <v>6311</v>
      </c>
      <c r="F54" s="58">
        <v>3755</v>
      </c>
      <c r="G54" s="58"/>
      <c r="H54" s="58">
        <v>3200</v>
      </c>
      <c r="I54" s="58">
        <v>6329</v>
      </c>
      <c r="J54" s="58">
        <v>2137</v>
      </c>
      <c r="K54" s="58">
        <v>7720</v>
      </c>
      <c r="L54" s="58">
        <v>44267</v>
      </c>
      <c r="M54" s="58">
        <v>95401</v>
      </c>
      <c r="N54" s="58">
        <v>8196</v>
      </c>
      <c r="O54" s="58">
        <v>2500</v>
      </c>
      <c r="P54" s="58">
        <v>9207</v>
      </c>
      <c r="Q54" s="58">
        <v>23808</v>
      </c>
      <c r="R54" s="58">
        <v>221</v>
      </c>
      <c r="S54" s="58"/>
      <c r="T54" s="58"/>
      <c r="U54" s="58">
        <v>468</v>
      </c>
      <c r="V54" s="58">
        <v>10100</v>
      </c>
      <c r="W54" s="58">
        <v>12880</v>
      </c>
      <c r="X54" s="58">
        <v>12520</v>
      </c>
      <c r="Y54" s="58">
        <v>8000</v>
      </c>
      <c r="Z54" s="58">
        <v>1000</v>
      </c>
      <c r="AA54" s="58">
        <v>1020</v>
      </c>
      <c r="AB54" s="58">
        <v>61306</v>
      </c>
      <c r="AC54" s="58">
        <v>22623</v>
      </c>
      <c r="AD54" s="58">
        <v>1352</v>
      </c>
      <c r="AE54" s="58">
        <v>0</v>
      </c>
      <c r="AF54" s="58">
        <v>1190</v>
      </c>
      <c r="AG54" s="58">
        <v>0</v>
      </c>
      <c r="AH54" s="58">
        <v>436</v>
      </c>
      <c r="AI54" s="58">
        <v>7948</v>
      </c>
      <c r="AJ54" s="59">
        <v>3360</v>
      </c>
      <c r="AL54" s="59">
        <v>200</v>
      </c>
      <c r="AM54" s="59">
        <v>17518</v>
      </c>
    </row>
    <row r="55" spans="1:39" x14ac:dyDescent="0.3">
      <c r="A55" s="58" t="s">
        <v>562</v>
      </c>
      <c r="B55" s="58" t="s">
        <v>360</v>
      </c>
      <c r="C55" s="58">
        <v>0</v>
      </c>
      <c r="D55" s="58">
        <v>6030</v>
      </c>
      <c r="E55" s="58">
        <v>1183</v>
      </c>
      <c r="F55" s="58">
        <v>0</v>
      </c>
      <c r="G55" s="58"/>
      <c r="H55" s="58">
        <v>0</v>
      </c>
      <c r="I55" s="58">
        <v>12625</v>
      </c>
      <c r="J55" s="58">
        <v>0</v>
      </c>
      <c r="K55" s="58">
        <v>5042</v>
      </c>
      <c r="L55" s="58">
        <v>12425</v>
      </c>
      <c r="M55" s="58">
        <v>23878</v>
      </c>
      <c r="N55" s="58">
        <v>11424</v>
      </c>
      <c r="O55" s="58">
        <v>0</v>
      </c>
      <c r="P55" s="58">
        <v>1900</v>
      </c>
      <c r="Q55" s="58">
        <v>644</v>
      </c>
      <c r="R55" s="58">
        <v>154</v>
      </c>
      <c r="S55" s="58"/>
      <c r="T55" s="58"/>
      <c r="U55" s="58">
        <v>0</v>
      </c>
      <c r="V55" s="58">
        <v>16500</v>
      </c>
      <c r="W55" s="58">
        <v>8451</v>
      </c>
      <c r="X55" s="58">
        <v>500</v>
      </c>
      <c r="Y55" s="58">
        <v>672</v>
      </c>
      <c r="Z55" s="58">
        <v>0</v>
      </c>
      <c r="AA55" s="58">
        <v>0</v>
      </c>
      <c r="AB55" s="58">
        <v>2000</v>
      </c>
      <c r="AC55" s="58">
        <v>2408</v>
      </c>
      <c r="AD55" s="58">
        <v>0</v>
      </c>
      <c r="AE55" s="58">
        <v>0</v>
      </c>
      <c r="AF55" s="58">
        <v>0</v>
      </c>
      <c r="AG55" s="58">
        <v>0</v>
      </c>
      <c r="AH55" s="58">
        <v>0</v>
      </c>
      <c r="AI55" s="58">
        <v>2417</v>
      </c>
      <c r="AJ55" s="59">
        <v>0</v>
      </c>
      <c r="AL55" s="59">
        <v>0</v>
      </c>
      <c r="AM55" s="59">
        <v>36765</v>
      </c>
    </row>
    <row r="56" spans="1:39" x14ac:dyDescent="0.3">
      <c r="A56" s="58" t="s">
        <v>563</v>
      </c>
      <c r="B56" s="58" t="s">
        <v>360</v>
      </c>
      <c r="C56" s="58">
        <v>9256</v>
      </c>
      <c r="D56" s="58">
        <v>12318</v>
      </c>
      <c r="E56" s="58">
        <v>1396</v>
      </c>
      <c r="F56" s="58">
        <v>5200</v>
      </c>
      <c r="G56" s="58"/>
      <c r="H56" s="58">
        <v>4320</v>
      </c>
      <c r="I56" s="58">
        <v>1850</v>
      </c>
      <c r="J56" s="58">
        <v>297</v>
      </c>
      <c r="K56" s="58">
        <v>1052</v>
      </c>
      <c r="L56" s="58">
        <v>41820</v>
      </c>
      <c r="M56" s="58">
        <v>105032</v>
      </c>
      <c r="N56" s="58">
        <v>17323</v>
      </c>
      <c r="O56" s="58">
        <v>10540</v>
      </c>
      <c r="P56" s="58">
        <v>400</v>
      </c>
      <c r="Q56" s="58">
        <v>54391</v>
      </c>
      <c r="R56" s="58">
        <v>62</v>
      </c>
      <c r="S56" s="58"/>
      <c r="T56" s="58"/>
      <c r="U56" s="58">
        <v>585</v>
      </c>
      <c r="V56" s="58">
        <v>19450</v>
      </c>
      <c r="W56" s="58">
        <v>7193</v>
      </c>
      <c r="X56" s="58">
        <v>8840</v>
      </c>
      <c r="Y56" s="58">
        <v>6500</v>
      </c>
      <c r="Z56" s="58">
        <v>736</v>
      </c>
      <c r="AA56" s="58">
        <v>1810</v>
      </c>
      <c r="AB56" s="58">
        <v>51645</v>
      </c>
      <c r="AC56" s="58">
        <v>3717</v>
      </c>
      <c r="AD56" s="58">
        <v>6250</v>
      </c>
      <c r="AE56" s="58">
        <v>0</v>
      </c>
      <c r="AF56" s="58">
        <v>35</v>
      </c>
      <c r="AG56" s="58">
        <v>0</v>
      </c>
      <c r="AH56" s="58">
        <v>33</v>
      </c>
      <c r="AI56" s="58">
        <v>54</v>
      </c>
      <c r="AJ56" s="59">
        <v>100</v>
      </c>
      <c r="AL56" s="59">
        <v>0</v>
      </c>
      <c r="AM56" s="59">
        <v>27922</v>
      </c>
    </row>
    <row r="57" spans="1:39" x14ac:dyDescent="0.3">
      <c r="A57" s="58" t="s">
        <v>564</v>
      </c>
      <c r="B57" s="58" t="s">
        <v>360</v>
      </c>
      <c r="C57" s="58">
        <v>0</v>
      </c>
      <c r="D57" s="58">
        <v>0</v>
      </c>
      <c r="E57" s="58">
        <v>0</v>
      </c>
      <c r="F57" s="58">
        <v>200</v>
      </c>
      <c r="G57" s="58"/>
      <c r="H57" s="58">
        <v>0</v>
      </c>
      <c r="I57" s="58">
        <v>0</v>
      </c>
      <c r="J57" s="58">
        <v>0</v>
      </c>
      <c r="K57" s="58">
        <v>0</v>
      </c>
      <c r="L57" s="58">
        <v>0</v>
      </c>
      <c r="M57" s="58">
        <v>0</v>
      </c>
      <c r="N57" s="58">
        <v>70</v>
      </c>
      <c r="O57" s="58">
        <v>0</v>
      </c>
      <c r="P57" s="58">
        <v>0</v>
      </c>
      <c r="Q57" s="58">
        <v>880</v>
      </c>
      <c r="R57" s="58">
        <v>50</v>
      </c>
      <c r="S57" s="58"/>
      <c r="T57" s="58"/>
      <c r="U57" s="58">
        <v>0</v>
      </c>
      <c r="V57" s="58">
        <v>0</v>
      </c>
      <c r="W57" s="58">
        <v>0</v>
      </c>
      <c r="X57" s="58">
        <v>642</v>
      </c>
      <c r="Y57" s="58">
        <v>0</v>
      </c>
      <c r="Z57" s="58">
        <v>0</v>
      </c>
      <c r="AA57" s="58">
        <v>0</v>
      </c>
      <c r="AB57" s="58">
        <v>7300</v>
      </c>
      <c r="AC57" s="58">
        <v>0</v>
      </c>
      <c r="AD57" s="58">
        <v>0</v>
      </c>
      <c r="AE57" s="58">
        <v>0</v>
      </c>
      <c r="AF57" s="58">
        <v>0</v>
      </c>
      <c r="AG57" s="58">
        <v>0</v>
      </c>
      <c r="AH57" s="58">
        <v>0</v>
      </c>
      <c r="AI57" s="58">
        <v>0</v>
      </c>
      <c r="AJ57" s="59">
        <v>0</v>
      </c>
      <c r="AL57" s="59">
        <v>230</v>
      </c>
      <c r="AM57" s="59">
        <v>0</v>
      </c>
    </row>
    <row r="58" spans="1:39" x14ac:dyDescent="0.3">
      <c r="A58" s="58" t="s">
        <v>565</v>
      </c>
      <c r="B58" s="58" t="s">
        <v>360</v>
      </c>
      <c r="C58" s="58">
        <v>300</v>
      </c>
      <c r="D58" s="58">
        <v>1395</v>
      </c>
      <c r="E58" s="58">
        <v>864</v>
      </c>
      <c r="F58" s="58">
        <v>0</v>
      </c>
      <c r="G58" s="58"/>
      <c r="H58" s="58">
        <v>687</v>
      </c>
      <c r="I58" s="58">
        <v>0</v>
      </c>
      <c r="J58" s="58">
        <v>0</v>
      </c>
      <c r="K58" s="58">
        <v>0</v>
      </c>
      <c r="L58" s="58">
        <v>1800</v>
      </c>
      <c r="M58" s="58">
        <v>8393</v>
      </c>
      <c r="N58" s="58">
        <v>0</v>
      </c>
      <c r="O58" s="58">
        <v>0</v>
      </c>
      <c r="P58" s="58">
        <v>292</v>
      </c>
      <c r="Q58" s="58">
        <v>8400</v>
      </c>
      <c r="R58" s="58">
        <v>0</v>
      </c>
      <c r="S58" s="58"/>
      <c r="T58" s="58"/>
      <c r="U58" s="58">
        <v>0</v>
      </c>
      <c r="V58" s="58">
        <v>0</v>
      </c>
      <c r="W58" s="58">
        <v>1323</v>
      </c>
      <c r="X58" s="58">
        <v>555</v>
      </c>
      <c r="Y58" s="58">
        <v>0</v>
      </c>
      <c r="Z58" s="58">
        <v>649</v>
      </c>
      <c r="AA58" s="58">
        <v>0</v>
      </c>
      <c r="AB58" s="58">
        <v>6837</v>
      </c>
      <c r="AC58" s="58">
        <v>0</v>
      </c>
      <c r="AD58" s="58">
        <v>3989</v>
      </c>
      <c r="AE58" s="58">
        <v>0</v>
      </c>
      <c r="AF58" s="58">
        <v>0</v>
      </c>
      <c r="AG58" s="58">
        <v>0</v>
      </c>
      <c r="AH58" s="58">
        <v>0</v>
      </c>
      <c r="AI58" s="58">
        <v>0</v>
      </c>
      <c r="AJ58" s="59">
        <v>0</v>
      </c>
      <c r="AL58" s="59">
        <v>0</v>
      </c>
      <c r="AM58" s="59">
        <v>4004</v>
      </c>
    </row>
    <row r="59" spans="1:39" x14ac:dyDescent="0.3">
      <c r="A59" s="58" t="s">
        <v>566</v>
      </c>
      <c r="B59" s="58" t="s">
        <v>360</v>
      </c>
      <c r="C59" s="58">
        <v>6337</v>
      </c>
      <c r="D59" s="58">
        <v>0</v>
      </c>
      <c r="E59" s="58">
        <v>535</v>
      </c>
      <c r="F59" s="58">
        <v>900</v>
      </c>
      <c r="G59" s="58"/>
      <c r="H59" s="58">
        <v>470</v>
      </c>
      <c r="I59" s="58">
        <v>0</v>
      </c>
      <c r="J59" s="58">
        <v>0</v>
      </c>
      <c r="K59" s="58">
        <v>0</v>
      </c>
      <c r="L59" s="58">
        <v>1700</v>
      </c>
      <c r="M59" s="58">
        <v>1644</v>
      </c>
      <c r="N59" s="58">
        <v>1445</v>
      </c>
      <c r="O59" s="58">
        <v>0</v>
      </c>
      <c r="P59" s="58">
        <v>0</v>
      </c>
      <c r="Q59" s="58">
        <v>3499</v>
      </c>
      <c r="R59" s="58">
        <v>0</v>
      </c>
      <c r="S59" s="58"/>
      <c r="T59" s="58"/>
      <c r="U59" s="58">
        <v>0</v>
      </c>
      <c r="V59" s="58">
        <v>0</v>
      </c>
      <c r="W59" s="58">
        <v>178</v>
      </c>
      <c r="X59" s="58">
        <v>3832</v>
      </c>
      <c r="Y59" s="58">
        <v>746</v>
      </c>
      <c r="Z59" s="58">
        <v>276</v>
      </c>
      <c r="AA59" s="58">
        <v>605</v>
      </c>
      <c r="AB59" s="58">
        <v>2683</v>
      </c>
      <c r="AC59" s="58">
        <v>0</v>
      </c>
      <c r="AD59" s="58">
        <v>0</v>
      </c>
      <c r="AE59" s="58">
        <v>0</v>
      </c>
      <c r="AF59" s="58">
        <v>0</v>
      </c>
      <c r="AG59" s="58">
        <v>0</v>
      </c>
      <c r="AH59" s="58">
        <v>0</v>
      </c>
      <c r="AI59" s="58">
        <v>36061</v>
      </c>
      <c r="AJ59" s="59">
        <v>814</v>
      </c>
      <c r="AL59" s="59">
        <v>0</v>
      </c>
      <c r="AM59" s="59">
        <v>0</v>
      </c>
    </row>
    <row r="60" spans="1:39" x14ac:dyDescent="0.3">
      <c r="A60" s="58" t="s">
        <v>567</v>
      </c>
      <c r="B60" s="58" t="s">
        <v>360</v>
      </c>
      <c r="C60" s="58">
        <v>2433</v>
      </c>
      <c r="D60" s="58">
        <v>0</v>
      </c>
      <c r="E60" s="58">
        <v>1483</v>
      </c>
      <c r="F60" s="58">
        <v>2000</v>
      </c>
      <c r="G60" s="58"/>
      <c r="H60" s="58">
        <v>700</v>
      </c>
      <c r="I60" s="58">
        <v>0</v>
      </c>
      <c r="J60" s="58">
        <v>0</v>
      </c>
      <c r="K60" s="58">
        <v>3200</v>
      </c>
      <c r="L60" s="58">
        <v>8394</v>
      </c>
      <c r="M60" s="58">
        <v>1297</v>
      </c>
      <c r="N60" s="58">
        <v>2721</v>
      </c>
      <c r="O60" s="58">
        <v>0</v>
      </c>
      <c r="P60" s="58">
        <v>0</v>
      </c>
      <c r="Q60" s="58">
        <v>9566</v>
      </c>
      <c r="R60" s="58">
        <v>0</v>
      </c>
      <c r="S60" s="58"/>
      <c r="T60" s="58"/>
      <c r="U60" s="58">
        <v>0</v>
      </c>
      <c r="V60" s="58">
        <v>0</v>
      </c>
      <c r="W60" s="58">
        <v>183</v>
      </c>
      <c r="X60" s="58">
        <v>3765</v>
      </c>
      <c r="Y60" s="58">
        <v>2621</v>
      </c>
      <c r="Z60" s="58">
        <v>0</v>
      </c>
      <c r="AA60" s="58">
        <v>0</v>
      </c>
      <c r="AB60" s="58">
        <v>10970</v>
      </c>
      <c r="AC60" s="58">
        <v>16630</v>
      </c>
      <c r="AD60" s="58">
        <v>8152</v>
      </c>
      <c r="AE60" s="58">
        <v>0</v>
      </c>
      <c r="AF60" s="58">
        <v>1139</v>
      </c>
      <c r="AG60" s="58">
        <v>0</v>
      </c>
      <c r="AH60" s="58">
        <v>816</v>
      </c>
      <c r="AI60" s="58">
        <v>0</v>
      </c>
      <c r="AJ60" s="59">
        <v>454</v>
      </c>
      <c r="AL60" s="59">
        <v>0</v>
      </c>
      <c r="AM60" s="59">
        <v>0</v>
      </c>
    </row>
    <row r="61" spans="1:39" x14ac:dyDescent="0.3">
      <c r="A61" s="58" t="s">
        <v>568</v>
      </c>
      <c r="B61" s="58" t="s">
        <v>360</v>
      </c>
      <c r="C61" s="58">
        <v>6292</v>
      </c>
      <c r="D61" s="58">
        <v>148</v>
      </c>
      <c r="E61" s="58">
        <v>495</v>
      </c>
      <c r="F61" s="58">
        <v>500</v>
      </c>
      <c r="G61" s="58"/>
      <c r="H61" s="58">
        <v>395</v>
      </c>
      <c r="I61" s="58">
        <v>0</v>
      </c>
      <c r="J61" s="58">
        <v>0</v>
      </c>
      <c r="K61" s="58">
        <v>0</v>
      </c>
      <c r="L61" s="58">
        <v>13638</v>
      </c>
      <c r="M61" s="58">
        <v>4036</v>
      </c>
      <c r="N61" s="58">
        <v>444</v>
      </c>
      <c r="O61" s="58">
        <v>57</v>
      </c>
      <c r="P61" s="58">
        <v>238</v>
      </c>
      <c r="Q61" s="58">
        <v>5635</v>
      </c>
      <c r="R61" s="58">
        <v>1608</v>
      </c>
      <c r="S61" s="58"/>
      <c r="T61" s="58"/>
      <c r="U61" s="58">
        <v>0</v>
      </c>
      <c r="V61" s="58">
        <v>46</v>
      </c>
      <c r="W61" s="58">
        <v>536</v>
      </c>
      <c r="X61" s="58">
        <v>997</v>
      </c>
      <c r="Y61" s="58">
        <v>3432</v>
      </c>
      <c r="Z61" s="58">
        <v>1547</v>
      </c>
      <c r="AA61" s="58">
        <v>1331</v>
      </c>
      <c r="AB61" s="58">
        <v>3640</v>
      </c>
      <c r="AC61" s="58">
        <v>0</v>
      </c>
      <c r="AD61" s="58">
        <v>4113</v>
      </c>
      <c r="AE61" s="58">
        <v>0</v>
      </c>
      <c r="AF61" s="58">
        <v>132</v>
      </c>
      <c r="AG61" s="58">
        <v>0</v>
      </c>
      <c r="AH61" s="58">
        <v>411</v>
      </c>
      <c r="AI61" s="58">
        <v>0</v>
      </c>
      <c r="AJ61" s="59">
        <v>2664</v>
      </c>
      <c r="AL61" s="59">
        <v>0</v>
      </c>
      <c r="AM61" s="59">
        <v>1969</v>
      </c>
    </row>
    <row r="62" spans="1:39" x14ac:dyDescent="0.3">
      <c r="A62" s="58" t="s">
        <v>569</v>
      </c>
      <c r="B62" s="58" t="s">
        <v>360</v>
      </c>
      <c r="C62" s="58">
        <v>599</v>
      </c>
      <c r="D62" s="58">
        <v>206</v>
      </c>
      <c r="E62" s="58">
        <v>140</v>
      </c>
      <c r="F62" s="58">
        <v>400</v>
      </c>
      <c r="G62" s="58"/>
      <c r="H62" s="58">
        <v>1063</v>
      </c>
      <c r="I62" s="58">
        <v>629</v>
      </c>
      <c r="J62" s="58">
        <v>148</v>
      </c>
      <c r="K62" s="58">
        <v>3043</v>
      </c>
      <c r="L62" s="58">
        <v>2558</v>
      </c>
      <c r="M62" s="58">
        <v>5235</v>
      </c>
      <c r="N62" s="58">
        <v>525</v>
      </c>
      <c r="O62" s="58">
        <v>404</v>
      </c>
      <c r="P62" s="58">
        <v>84</v>
      </c>
      <c r="Q62" s="58">
        <v>4931</v>
      </c>
      <c r="R62" s="58">
        <v>0</v>
      </c>
      <c r="S62" s="58"/>
      <c r="T62" s="58"/>
      <c r="U62" s="58">
        <v>0</v>
      </c>
      <c r="V62" s="58">
        <v>540</v>
      </c>
      <c r="W62" s="58">
        <v>2332</v>
      </c>
      <c r="X62" s="58">
        <v>1211</v>
      </c>
      <c r="Y62" s="58">
        <v>500</v>
      </c>
      <c r="Z62" s="58">
        <v>319</v>
      </c>
      <c r="AA62" s="58">
        <v>49</v>
      </c>
      <c r="AB62" s="58">
        <v>2226</v>
      </c>
      <c r="AC62" s="58">
        <v>4185</v>
      </c>
      <c r="AD62" s="58">
        <v>1197</v>
      </c>
      <c r="AE62" s="58">
        <v>0</v>
      </c>
      <c r="AF62" s="58">
        <v>49</v>
      </c>
      <c r="AG62" s="58">
        <v>0</v>
      </c>
      <c r="AH62" s="58">
        <v>30</v>
      </c>
      <c r="AI62" s="58">
        <v>76</v>
      </c>
      <c r="AJ62" s="59">
        <v>397</v>
      </c>
      <c r="AL62" s="59">
        <v>40</v>
      </c>
      <c r="AM62" s="59">
        <v>5141</v>
      </c>
    </row>
    <row r="63" spans="1:39" x14ac:dyDescent="0.3">
      <c r="A63" s="58" t="s">
        <v>82</v>
      </c>
      <c r="B63" s="58" t="s">
        <v>360</v>
      </c>
      <c r="C63" s="58">
        <v>0</v>
      </c>
      <c r="D63" s="58">
        <v>0</v>
      </c>
      <c r="E63" s="58">
        <v>4160</v>
      </c>
      <c r="F63" s="58">
        <v>0</v>
      </c>
      <c r="G63" s="58"/>
      <c r="H63" s="58">
        <v>4041</v>
      </c>
      <c r="I63" s="58">
        <v>0</v>
      </c>
      <c r="J63" s="58">
        <v>0</v>
      </c>
      <c r="K63" s="58">
        <v>3690</v>
      </c>
      <c r="L63" s="58">
        <v>37239</v>
      </c>
      <c r="M63" s="58">
        <v>0</v>
      </c>
      <c r="N63" s="58">
        <v>0</v>
      </c>
      <c r="O63" s="58">
        <v>2400</v>
      </c>
      <c r="P63" s="58">
        <v>0</v>
      </c>
      <c r="Q63" s="58">
        <v>0</v>
      </c>
      <c r="R63" s="58">
        <v>0</v>
      </c>
      <c r="S63" s="58"/>
      <c r="T63" s="58"/>
      <c r="U63" s="58">
        <v>0</v>
      </c>
      <c r="V63" s="58">
        <v>0</v>
      </c>
      <c r="W63" s="58">
        <v>5600</v>
      </c>
      <c r="X63" s="58">
        <v>0</v>
      </c>
      <c r="Y63" s="58">
        <v>2628</v>
      </c>
      <c r="Z63" s="58">
        <v>3444</v>
      </c>
      <c r="AA63" s="58">
        <v>1853</v>
      </c>
      <c r="AB63" s="58">
        <v>0</v>
      </c>
      <c r="AC63" s="58">
        <v>0</v>
      </c>
      <c r="AD63" s="58">
        <v>1190</v>
      </c>
      <c r="AE63" s="58">
        <v>0</v>
      </c>
      <c r="AF63" s="58">
        <v>0</v>
      </c>
      <c r="AG63" s="58">
        <v>0</v>
      </c>
      <c r="AH63" s="58">
        <v>0</v>
      </c>
      <c r="AI63" s="58">
        <v>0</v>
      </c>
      <c r="AJ63" s="59">
        <v>0</v>
      </c>
      <c r="AL63" s="59">
        <v>0</v>
      </c>
      <c r="AM63" s="59">
        <v>18552</v>
      </c>
    </row>
    <row r="64" spans="1:39" x14ac:dyDescent="0.3">
      <c r="A64" s="58" t="s">
        <v>570</v>
      </c>
      <c r="B64" s="58" t="s">
        <v>360</v>
      </c>
      <c r="C64" s="58">
        <v>0</v>
      </c>
      <c r="D64" s="58">
        <v>1800</v>
      </c>
      <c r="E64" s="58">
        <v>0</v>
      </c>
      <c r="F64" s="58">
        <v>1</v>
      </c>
      <c r="G64" s="58"/>
      <c r="H64" s="58">
        <v>0</v>
      </c>
      <c r="I64" s="58">
        <v>0</v>
      </c>
      <c r="J64" s="58">
        <v>135</v>
      </c>
      <c r="K64" s="58">
        <v>8550</v>
      </c>
      <c r="L64" s="58">
        <v>3400</v>
      </c>
      <c r="M64" s="58">
        <v>5888</v>
      </c>
      <c r="N64" s="58">
        <v>0</v>
      </c>
      <c r="O64" s="58">
        <v>0</v>
      </c>
      <c r="P64" s="58">
        <v>1900</v>
      </c>
      <c r="Q64" s="58">
        <v>2304</v>
      </c>
      <c r="R64" s="58">
        <v>36</v>
      </c>
      <c r="S64" s="58"/>
      <c r="T64" s="58"/>
      <c r="U64" s="58">
        <v>0</v>
      </c>
      <c r="V64" s="58">
        <v>700</v>
      </c>
      <c r="W64" s="58">
        <v>0</v>
      </c>
      <c r="X64" s="58">
        <v>0</v>
      </c>
      <c r="Y64" s="58">
        <v>0</v>
      </c>
      <c r="Z64" s="58">
        <v>0</v>
      </c>
      <c r="AA64" s="58">
        <v>40</v>
      </c>
      <c r="AB64" s="58">
        <v>6000</v>
      </c>
      <c r="AC64" s="58">
        <v>1737</v>
      </c>
      <c r="AD64" s="58">
        <v>0</v>
      </c>
      <c r="AE64" s="58">
        <v>0</v>
      </c>
      <c r="AF64" s="58">
        <v>0</v>
      </c>
      <c r="AG64" s="58">
        <v>0</v>
      </c>
      <c r="AH64" s="58">
        <v>0</v>
      </c>
      <c r="AI64" s="58">
        <v>6304</v>
      </c>
      <c r="AJ64" s="59">
        <v>0</v>
      </c>
      <c r="AL64" s="59">
        <v>0</v>
      </c>
      <c r="AM64" s="59">
        <v>3995</v>
      </c>
    </row>
    <row r="65" spans="1:39" x14ac:dyDescent="0.3">
      <c r="A65" s="58" t="s">
        <v>571</v>
      </c>
      <c r="B65" s="58" t="s">
        <v>360</v>
      </c>
      <c r="C65" s="58">
        <v>0</v>
      </c>
      <c r="D65" s="58">
        <v>0</v>
      </c>
      <c r="E65" s="58">
        <v>0</v>
      </c>
      <c r="F65" s="58">
        <v>0</v>
      </c>
      <c r="G65" s="58"/>
      <c r="H65" s="58">
        <v>0</v>
      </c>
      <c r="I65" s="58">
        <v>0</v>
      </c>
      <c r="J65" s="58">
        <v>0</v>
      </c>
      <c r="K65" s="58">
        <v>0</v>
      </c>
      <c r="L65" s="58">
        <v>0</v>
      </c>
      <c r="M65" s="58">
        <v>2000</v>
      </c>
      <c r="N65" s="58">
        <v>0</v>
      </c>
      <c r="O65" s="58">
        <v>0</v>
      </c>
      <c r="P65" s="58">
        <v>0</v>
      </c>
      <c r="Q65" s="58">
        <v>0</v>
      </c>
      <c r="R65" s="58">
        <v>0</v>
      </c>
      <c r="S65" s="58"/>
      <c r="T65" s="58"/>
      <c r="U65" s="58">
        <v>0</v>
      </c>
      <c r="V65" s="58">
        <v>0</v>
      </c>
      <c r="W65" s="58">
        <v>0</v>
      </c>
      <c r="X65" s="58">
        <v>0</v>
      </c>
      <c r="Y65" s="58">
        <v>0</v>
      </c>
      <c r="Z65" s="58">
        <v>0</v>
      </c>
      <c r="AA65" s="58">
        <v>0</v>
      </c>
      <c r="AB65" s="58">
        <v>0</v>
      </c>
      <c r="AC65" s="58">
        <v>0</v>
      </c>
      <c r="AD65" s="58">
        <v>0</v>
      </c>
      <c r="AE65" s="58">
        <v>0</v>
      </c>
      <c r="AF65" s="58">
        <v>0</v>
      </c>
      <c r="AG65" s="58">
        <v>0</v>
      </c>
      <c r="AH65" s="58">
        <v>0</v>
      </c>
      <c r="AI65" s="58">
        <v>0</v>
      </c>
      <c r="AJ65" s="59">
        <v>0</v>
      </c>
      <c r="AL65" s="59">
        <v>0</v>
      </c>
      <c r="AM65" s="59">
        <v>0</v>
      </c>
    </row>
    <row r="66" spans="1:39" x14ac:dyDescent="0.3">
      <c r="A66" s="58" t="s">
        <v>572</v>
      </c>
      <c r="B66" s="58" t="s">
        <v>360</v>
      </c>
      <c r="C66" s="58">
        <v>0</v>
      </c>
      <c r="D66" s="58">
        <v>0</v>
      </c>
      <c r="E66" s="58">
        <v>0</v>
      </c>
      <c r="F66" s="58">
        <v>0</v>
      </c>
      <c r="G66" s="58"/>
      <c r="H66" s="58">
        <v>0</v>
      </c>
      <c r="I66" s="58">
        <v>0</v>
      </c>
      <c r="J66" s="58">
        <v>0</v>
      </c>
      <c r="K66" s="58">
        <v>0</v>
      </c>
      <c r="L66" s="58">
        <v>0</v>
      </c>
      <c r="M66" s="58">
        <v>0</v>
      </c>
      <c r="N66" s="58">
        <v>0</v>
      </c>
      <c r="O66" s="58">
        <v>0</v>
      </c>
      <c r="P66" s="58">
        <v>0</v>
      </c>
      <c r="Q66" s="58">
        <v>0</v>
      </c>
      <c r="R66" s="58">
        <v>0</v>
      </c>
      <c r="S66" s="58"/>
      <c r="T66" s="58"/>
      <c r="U66" s="58">
        <v>0</v>
      </c>
      <c r="V66" s="58">
        <v>0</v>
      </c>
      <c r="W66" s="58">
        <v>0</v>
      </c>
      <c r="X66" s="58">
        <v>0</v>
      </c>
      <c r="Y66" s="58">
        <v>0</v>
      </c>
      <c r="Z66" s="58">
        <v>0</v>
      </c>
      <c r="AA66" s="58">
        <v>0</v>
      </c>
      <c r="AB66" s="58">
        <v>0</v>
      </c>
      <c r="AC66" s="58">
        <v>0</v>
      </c>
      <c r="AD66" s="58">
        <v>0</v>
      </c>
      <c r="AE66" s="58">
        <v>0</v>
      </c>
      <c r="AF66" s="58">
        <v>0</v>
      </c>
      <c r="AG66" s="58">
        <v>0</v>
      </c>
      <c r="AH66" s="58">
        <v>0</v>
      </c>
      <c r="AI66" s="58">
        <v>0</v>
      </c>
      <c r="AJ66" s="59">
        <v>0</v>
      </c>
      <c r="AL66" s="59">
        <v>0</v>
      </c>
      <c r="AM66" s="59">
        <v>0</v>
      </c>
    </row>
    <row r="67" spans="1:39" x14ac:dyDescent="0.3">
      <c r="A67" s="58" t="s">
        <v>573</v>
      </c>
      <c r="B67" s="58" t="s">
        <v>360</v>
      </c>
      <c r="C67" s="58">
        <v>0</v>
      </c>
      <c r="D67" s="58">
        <v>3099</v>
      </c>
      <c r="E67" s="58">
        <v>604</v>
      </c>
      <c r="F67" s="58">
        <v>0</v>
      </c>
      <c r="G67" s="58"/>
      <c r="H67" s="58">
        <v>0</v>
      </c>
      <c r="I67" s="58">
        <v>0</v>
      </c>
      <c r="J67" s="58">
        <v>0</v>
      </c>
      <c r="K67" s="58">
        <v>0</v>
      </c>
      <c r="L67" s="58">
        <v>414</v>
      </c>
      <c r="M67" s="58">
        <v>6750</v>
      </c>
      <c r="N67" s="58">
        <v>810</v>
      </c>
      <c r="O67" s="58">
        <v>0</v>
      </c>
      <c r="P67" s="58">
        <v>400</v>
      </c>
      <c r="Q67" s="58">
        <v>17745</v>
      </c>
      <c r="R67" s="58">
        <v>0</v>
      </c>
      <c r="S67" s="58"/>
      <c r="T67" s="58"/>
      <c r="U67" s="58">
        <v>0</v>
      </c>
      <c r="V67" s="58">
        <v>0</v>
      </c>
      <c r="W67" s="58">
        <v>5001</v>
      </c>
      <c r="X67" s="58">
        <v>0</v>
      </c>
      <c r="Y67" s="58">
        <v>1499</v>
      </c>
      <c r="Z67" s="58">
        <v>0</v>
      </c>
      <c r="AA67" s="58">
        <v>139</v>
      </c>
      <c r="AB67" s="58">
        <v>0</v>
      </c>
      <c r="AC67" s="58">
        <v>0</v>
      </c>
      <c r="AD67" s="58">
        <v>0</v>
      </c>
      <c r="AE67" s="58">
        <v>0</v>
      </c>
      <c r="AF67" s="58">
        <v>0</v>
      </c>
      <c r="AG67" s="58">
        <v>0</v>
      </c>
      <c r="AH67" s="58">
        <v>0</v>
      </c>
      <c r="AI67" s="58">
        <v>0</v>
      </c>
      <c r="AJ67" s="59">
        <v>182</v>
      </c>
      <c r="AL67" s="59">
        <v>0</v>
      </c>
      <c r="AM67" s="59">
        <v>19724</v>
      </c>
    </row>
    <row r="68" spans="1:39" x14ac:dyDescent="0.3">
      <c r="A68" s="58" t="s">
        <v>574</v>
      </c>
      <c r="B68" s="58" t="s">
        <v>360</v>
      </c>
      <c r="C68" s="58">
        <v>0</v>
      </c>
      <c r="D68" s="58">
        <v>0</v>
      </c>
      <c r="E68" s="58">
        <v>0</v>
      </c>
      <c r="F68" s="58">
        <v>0</v>
      </c>
      <c r="G68" s="58"/>
      <c r="H68" s="58">
        <v>0</v>
      </c>
      <c r="I68" s="58">
        <v>0</v>
      </c>
      <c r="J68" s="58">
        <v>0</v>
      </c>
      <c r="K68" s="58">
        <v>0</v>
      </c>
      <c r="L68" s="58">
        <v>0</v>
      </c>
      <c r="M68" s="58">
        <v>0</v>
      </c>
      <c r="N68" s="58">
        <v>0</v>
      </c>
      <c r="O68" s="58">
        <v>0</v>
      </c>
      <c r="P68" s="58">
        <v>0</v>
      </c>
      <c r="Q68" s="58">
        <v>0</v>
      </c>
      <c r="R68" s="58">
        <v>0</v>
      </c>
      <c r="S68" s="58"/>
      <c r="T68" s="58"/>
      <c r="U68" s="58">
        <v>0</v>
      </c>
      <c r="V68" s="58">
        <v>0</v>
      </c>
      <c r="W68" s="58">
        <v>0</v>
      </c>
      <c r="X68" s="58">
        <v>0</v>
      </c>
      <c r="Y68" s="58">
        <v>0</v>
      </c>
      <c r="Z68" s="58">
        <v>0</v>
      </c>
      <c r="AA68" s="58">
        <v>0</v>
      </c>
      <c r="AB68" s="58">
        <v>0</v>
      </c>
      <c r="AC68" s="58">
        <v>0</v>
      </c>
      <c r="AD68" s="58">
        <v>0</v>
      </c>
      <c r="AE68" s="58">
        <v>0</v>
      </c>
      <c r="AF68" s="58">
        <v>0</v>
      </c>
      <c r="AG68" s="58">
        <v>0</v>
      </c>
      <c r="AH68" s="58">
        <v>0</v>
      </c>
      <c r="AI68" s="58">
        <v>0</v>
      </c>
      <c r="AJ68" s="59">
        <v>0</v>
      </c>
      <c r="AL68" s="59">
        <v>0</v>
      </c>
      <c r="AM68" s="59">
        <v>0</v>
      </c>
    </row>
    <row r="69" spans="1:39" x14ac:dyDescent="0.3">
      <c r="A69" s="58" t="s">
        <v>575</v>
      </c>
      <c r="B69" s="58" t="s">
        <v>360</v>
      </c>
      <c r="C69" s="58">
        <v>0</v>
      </c>
      <c r="D69" s="58">
        <v>0</v>
      </c>
      <c r="E69" s="58">
        <v>0</v>
      </c>
      <c r="F69" s="58">
        <v>0</v>
      </c>
      <c r="G69" s="58"/>
      <c r="H69" s="58">
        <v>66</v>
      </c>
      <c r="I69" s="58">
        <v>0</v>
      </c>
      <c r="J69" s="58">
        <v>0</v>
      </c>
      <c r="K69" s="58">
        <v>0</v>
      </c>
      <c r="L69" s="58">
        <v>0</v>
      </c>
      <c r="M69" s="58">
        <v>3101</v>
      </c>
      <c r="N69" s="58">
        <v>0</v>
      </c>
      <c r="O69" s="58">
        <v>0</v>
      </c>
      <c r="P69" s="58">
        <v>432</v>
      </c>
      <c r="Q69" s="58">
        <v>985</v>
      </c>
      <c r="R69" s="58">
        <v>0</v>
      </c>
      <c r="S69" s="58"/>
      <c r="T69" s="58"/>
      <c r="U69" s="58">
        <v>205</v>
      </c>
      <c r="V69" s="58">
        <v>844</v>
      </c>
      <c r="W69" s="58">
        <v>0</v>
      </c>
      <c r="X69" s="58">
        <v>0</v>
      </c>
      <c r="Y69" s="58">
        <v>0</v>
      </c>
      <c r="Z69" s="58">
        <v>56</v>
      </c>
      <c r="AA69" s="58">
        <v>0</v>
      </c>
      <c r="AB69" s="58">
        <v>0</v>
      </c>
      <c r="AC69" s="58">
        <v>0</v>
      </c>
      <c r="AD69" s="58">
        <v>0</v>
      </c>
      <c r="AE69" s="58">
        <v>0</v>
      </c>
      <c r="AF69" s="58">
        <v>0</v>
      </c>
      <c r="AG69" s="58">
        <v>0</v>
      </c>
      <c r="AH69" s="58">
        <v>0</v>
      </c>
      <c r="AI69" s="58">
        <v>0</v>
      </c>
      <c r="AJ69" s="59">
        <v>0</v>
      </c>
      <c r="AL69" s="59">
        <v>0</v>
      </c>
      <c r="AM69" s="59">
        <v>465</v>
      </c>
    </row>
    <row r="70" spans="1:39" x14ac:dyDescent="0.3">
      <c r="A70" s="58" t="s">
        <v>576</v>
      </c>
      <c r="B70" s="58" t="s">
        <v>360</v>
      </c>
      <c r="C70" s="58">
        <v>0</v>
      </c>
      <c r="D70" s="58">
        <v>965</v>
      </c>
      <c r="E70" s="58">
        <v>0</v>
      </c>
      <c r="F70" s="58">
        <v>0</v>
      </c>
      <c r="G70" s="58"/>
      <c r="H70" s="58">
        <v>396</v>
      </c>
      <c r="I70" s="58">
        <v>0</v>
      </c>
      <c r="J70" s="58">
        <v>0</v>
      </c>
      <c r="K70" s="58">
        <v>480</v>
      </c>
      <c r="L70" s="58">
        <v>0</v>
      </c>
      <c r="M70" s="58">
        <v>5448</v>
      </c>
      <c r="N70" s="58">
        <v>0</v>
      </c>
      <c r="O70" s="58">
        <v>0</v>
      </c>
      <c r="P70" s="58">
        <v>460</v>
      </c>
      <c r="Q70" s="58">
        <v>4578</v>
      </c>
      <c r="R70" s="58">
        <v>0</v>
      </c>
      <c r="S70" s="58"/>
      <c r="T70" s="58"/>
      <c r="U70" s="58">
        <v>0</v>
      </c>
      <c r="V70" s="58">
        <v>1653</v>
      </c>
      <c r="W70" s="58">
        <v>0</v>
      </c>
      <c r="X70" s="58">
        <v>0</v>
      </c>
      <c r="Y70" s="58">
        <v>0</v>
      </c>
      <c r="Z70" s="58">
        <v>126</v>
      </c>
      <c r="AA70" s="58">
        <v>0</v>
      </c>
      <c r="AB70" s="58">
        <v>0</v>
      </c>
      <c r="AC70" s="58">
        <v>0</v>
      </c>
      <c r="AD70" s="58">
        <v>0</v>
      </c>
      <c r="AE70" s="58">
        <v>0</v>
      </c>
      <c r="AF70" s="58">
        <v>0</v>
      </c>
      <c r="AG70" s="58">
        <v>0</v>
      </c>
      <c r="AH70" s="58">
        <v>0</v>
      </c>
      <c r="AI70" s="58">
        <v>0</v>
      </c>
      <c r="AJ70" s="59">
        <v>0</v>
      </c>
      <c r="AL70" s="59">
        <v>0</v>
      </c>
      <c r="AM70" s="59">
        <v>14880</v>
      </c>
    </row>
    <row r="71" spans="1:39" x14ac:dyDescent="0.3">
      <c r="A71" s="58" t="s">
        <v>577</v>
      </c>
      <c r="B71" s="58" t="s">
        <v>360</v>
      </c>
      <c r="C71" s="58">
        <v>0</v>
      </c>
      <c r="D71" s="58">
        <v>0</v>
      </c>
      <c r="E71" s="58">
        <v>0</v>
      </c>
      <c r="F71" s="58">
        <v>0</v>
      </c>
      <c r="G71" s="58"/>
      <c r="H71" s="58">
        <v>0</v>
      </c>
      <c r="I71" s="58">
        <v>430</v>
      </c>
      <c r="J71" s="58">
        <v>0</v>
      </c>
      <c r="K71" s="58">
        <v>0</v>
      </c>
      <c r="L71" s="58">
        <v>0</v>
      </c>
      <c r="M71" s="58">
        <v>0</v>
      </c>
      <c r="N71" s="58">
        <v>0</v>
      </c>
      <c r="O71" s="58">
        <v>0</v>
      </c>
      <c r="P71" s="58">
        <v>0</v>
      </c>
      <c r="Q71" s="58">
        <v>0</v>
      </c>
      <c r="R71" s="58">
        <v>0</v>
      </c>
      <c r="S71" s="58"/>
      <c r="T71" s="58"/>
      <c r="U71" s="58">
        <v>0</v>
      </c>
      <c r="V71" s="58">
        <v>0</v>
      </c>
      <c r="W71" s="58">
        <v>0</v>
      </c>
      <c r="X71" s="58">
        <v>0</v>
      </c>
      <c r="Y71" s="58">
        <v>0</v>
      </c>
      <c r="Z71" s="58">
        <v>0</v>
      </c>
      <c r="AA71" s="58">
        <v>0</v>
      </c>
      <c r="AB71" s="58">
        <v>0</v>
      </c>
      <c r="AC71" s="58">
        <v>0</v>
      </c>
      <c r="AD71" s="58">
        <v>0</v>
      </c>
      <c r="AE71" s="58">
        <v>0</v>
      </c>
      <c r="AF71" s="58">
        <v>0</v>
      </c>
      <c r="AG71" s="58">
        <v>0</v>
      </c>
      <c r="AH71" s="58">
        <v>0</v>
      </c>
      <c r="AI71" s="58">
        <v>0</v>
      </c>
      <c r="AJ71" s="59">
        <v>0</v>
      </c>
      <c r="AL71" s="59">
        <v>0</v>
      </c>
      <c r="AM71" s="59">
        <v>0</v>
      </c>
    </row>
    <row r="72" spans="1:39" x14ac:dyDescent="0.3">
      <c r="A72" s="58" t="s">
        <v>578</v>
      </c>
      <c r="B72" s="58" t="s">
        <v>360</v>
      </c>
      <c r="C72" s="58">
        <v>0</v>
      </c>
      <c r="D72" s="58">
        <v>0</v>
      </c>
      <c r="E72" s="58">
        <v>0</v>
      </c>
      <c r="F72" s="58">
        <v>0</v>
      </c>
      <c r="G72" s="58"/>
      <c r="H72" s="58">
        <v>50</v>
      </c>
      <c r="I72" s="58">
        <v>0</v>
      </c>
      <c r="J72" s="58">
        <v>0</v>
      </c>
      <c r="K72" s="58">
        <v>0</v>
      </c>
      <c r="L72" s="58">
        <v>792</v>
      </c>
      <c r="M72" s="58">
        <v>0</v>
      </c>
      <c r="N72" s="58">
        <v>777</v>
      </c>
      <c r="O72" s="58">
        <v>427</v>
      </c>
      <c r="P72" s="58">
        <v>805</v>
      </c>
      <c r="Q72" s="58">
        <v>8876</v>
      </c>
      <c r="R72" s="58">
        <v>99</v>
      </c>
      <c r="S72" s="58"/>
      <c r="T72" s="58"/>
      <c r="U72" s="58">
        <v>0</v>
      </c>
      <c r="V72" s="58">
        <v>0</v>
      </c>
      <c r="W72" s="58">
        <v>0</v>
      </c>
      <c r="X72" s="58">
        <v>0</v>
      </c>
      <c r="Y72" s="58">
        <v>0</v>
      </c>
      <c r="Z72" s="58">
        <v>411</v>
      </c>
      <c r="AA72" s="58">
        <v>0</v>
      </c>
      <c r="AB72" s="58">
        <v>24498</v>
      </c>
      <c r="AC72" s="58">
        <v>267</v>
      </c>
      <c r="AD72" s="58">
        <v>0</v>
      </c>
      <c r="AE72" s="58">
        <v>0</v>
      </c>
      <c r="AF72" s="58">
        <v>0</v>
      </c>
      <c r="AG72" s="58">
        <v>0</v>
      </c>
      <c r="AH72" s="58">
        <v>0</v>
      </c>
      <c r="AI72" s="58">
        <v>0</v>
      </c>
      <c r="AJ72" s="59">
        <v>0</v>
      </c>
      <c r="AL72" s="59">
        <v>0</v>
      </c>
      <c r="AM72" s="59">
        <v>0</v>
      </c>
    </row>
    <row r="73" spans="1:39" x14ac:dyDescent="0.3">
      <c r="A73" s="58" t="s">
        <v>579</v>
      </c>
      <c r="B73" s="58" t="s">
        <v>360</v>
      </c>
      <c r="C73" s="58">
        <v>0</v>
      </c>
      <c r="D73" s="58">
        <v>0</v>
      </c>
      <c r="E73" s="58">
        <v>0</v>
      </c>
      <c r="F73" s="58">
        <v>0</v>
      </c>
      <c r="G73" s="58"/>
      <c r="H73" s="58">
        <v>0</v>
      </c>
      <c r="I73" s="58">
        <v>0</v>
      </c>
      <c r="J73" s="58">
        <v>0</v>
      </c>
      <c r="K73" s="58">
        <v>0</v>
      </c>
      <c r="L73" s="58">
        <v>0</v>
      </c>
      <c r="M73" s="58">
        <v>0</v>
      </c>
      <c r="N73" s="58">
        <v>0</v>
      </c>
      <c r="O73" s="58">
        <v>0</v>
      </c>
      <c r="P73" s="58">
        <v>0</v>
      </c>
      <c r="Q73" s="58">
        <v>0</v>
      </c>
      <c r="R73" s="58">
        <v>0</v>
      </c>
      <c r="S73" s="58"/>
      <c r="T73" s="58"/>
      <c r="U73" s="58">
        <v>0</v>
      </c>
      <c r="V73" s="58">
        <v>0</v>
      </c>
      <c r="W73" s="58">
        <v>0</v>
      </c>
      <c r="X73" s="58">
        <v>0</v>
      </c>
      <c r="Y73" s="58">
        <v>0</v>
      </c>
      <c r="Z73" s="58">
        <v>0</v>
      </c>
      <c r="AA73" s="58">
        <v>0</v>
      </c>
      <c r="AB73" s="58">
        <v>0</v>
      </c>
      <c r="AC73" s="58">
        <v>0</v>
      </c>
      <c r="AD73" s="58">
        <v>0</v>
      </c>
      <c r="AE73" s="58">
        <v>0</v>
      </c>
      <c r="AF73" s="58">
        <v>0</v>
      </c>
      <c r="AG73" s="58">
        <v>0</v>
      </c>
      <c r="AH73" s="58">
        <v>0</v>
      </c>
      <c r="AI73" s="58">
        <v>0</v>
      </c>
      <c r="AJ73" s="59">
        <v>0</v>
      </c>
      <c r="AL73" s="59">
        <v>0</v>
      </c>
      <c r="AM73" s="59">
        <v>0</v>
      </c>
    </row>
    <row r="74" spans="1:39" x14ac:dyDescent="0.3">
      <c r="A74" s="58" t="s">
        <v>580</v>
      </c>
      <c r="B74" s="58" t="s">
        <v>360</v>
      </c>
      <c r="C74" s="58">
        <v>1383</v>
      </c>
      <c r="D74" s="58">
        <v>3542</v>
      </c>
      <c r="E74" s="58">
        <v>453</v>
      </c>
      <c r="F74" s="58">
        <v>230</v>
      </c>
      <c r="G74" s="58"/>
      <c r="H74" s="58">
        <v>836</v>
      </c>
      <c r="I74" s="58">
        <v>0</v>
      </c>
      <c r="J74" s="58">
        <v>0</v>
      </c>
      <c r="K74" s="58">
        <v>0</v>
      </c>
      <c r="L74" s="58">
        <v>5346</v>
      </c>
      <c r="M74" s="58">
        <v>0</v>
      </c>
      <c r="N74" s="58">
        <v>2449</v>
      </c>
      <c r="O74" s="58">
        <v>0</v>
      </c>
      <c r="P74" s="58">
        <v>2056</v>
      </c>
      <c r="Q74" s="58">
        <v>6484</v>
      </c>
      <c r="R74" s="58">
        <v>0</v>
      </c>
      <c r="S74" s="58"/>
      <c r="T74" s="58"/>
      <c r="U74" s="58">
        <v>0</v>
      </c>
      <c r="V74" s="58">
        <v>6154</v>
      </c>
      <c r="W74" s="58">
        <v>0</v>
      </c>
      <c r="X74" s="58">
        <v>2839</v>
      </c>
      <c r="Y74" s="58">
        <v>0</v>
      </c>
      <c r="Z74" s="58">
        <v>0</v>
      </c>
      <c r="AA74" s="58">
        <v>0</v>
      </c>
      <c r="AB74" s="58">
        <v>0</v>
      </c>
      <c r="AC74" s="58">
        <v>0</v>
      </c>
      <c r="AD74" s="58">
        <v>0</v>
      </c>
      <c r="AE74" s="58">
        <v>0</v>
      </c>
      <c r="AF74" s="58">
        <v>0</v>
      </c>
      <c r="AG74" s="58">
        <v>0</v>
      </c>
      <c r="AH74" s="58">
        <v>0</v>
      </c>
      <c r="AI74" s="58">
        <v>0</v>
      </c>
      <c r="AJ74" s="59">
        <v>0</v>
      </c>
      <c r="AL74" s="59">
        <v>0</v>
      </c>
      <c r="AM74" s="59">
        <v>1318</v>
      </c>
    </row>
    <row r="75" spans="1:39" x14ac:dyDescent="0.3">
      <c r="A75" s="58" t="s">
        <v>581</v>
      </c>
      <c r="B75" s="58" t="s">
        <v>360</v>
      </c>
      <c r="C75" s="58">
        <v>0</v>
      </c>
      <c r="D75" s="58">
        <v>0</v>
      </c>
      <c r="E75" s="58">
        <v>0</v>
      </c>
      <c r="F75" s="58">
        <v>0</v>
      </c>
      <c r="G75" s="58"/>
      <c r="H75" s="58">
        <v>0</v>
      </c>
      <c r="I75" s="58">
        <v>0</v>
      </c>
      <c r="J75" s="58">
        <v>0</v>
      </c>
      <c r="K75" s="58">
        <v>0</v>
      </c>
      <c r="L75" s="58">
        <v>0</v>
      </c>
      <c r="M75" s="58">
        <v>0</v>
      </c>
      <c r="N75" s="58">
        <v>0</v>
      </c>
      <c r="O75" s="58">
        <v>0</v>
      </c>
      <c r="P75" s="58">
        <v>0</v>
      </c>
      <c r="Q75" s="58">
        <v>0</v>
      </c>
      <c r="R75" s="58">
        <v>0</v>
      </c>
      <c r="S75" s="58"/>
      <c r="T75" s="58"/>
      <c r="U75" s="58">
        <v>0</v>
      </c>
      <c r="V75" s="58">
        <v>0</v>
      </c>
      <c r="W75" s="58">
        <v>0</v>
      </c>
      <c r="X75" s="58">
        <v>0</v>
      </c>
      <c r="Y75" s="58">
        <v>0</v>
      </c>
      <c r="Z75" s="58">
        <v>0</v>
      </c>
      <c r="AA75" s="58">
        <v>0</v>
      </c>
      <c r="AB75" s="58">
        <v>0</v>
      </c>
      <c r="AC75" s="58">
        <v>0</v>
      </c>
      <c r="AD75" s="58">
        <v>0</v>
      </c>
      <c r="AE75" s="58">
        <v>0</v>
      </c>
      <c r="AF75" s="58">
        <v>0</v>
      </c>
      <c r="AG75" s="58">
        <v>0</v>
      </c>
      <c r="AH75" s="58">
        <v>0</v>
      </c>
      <c r="AI75" s="58">
        <v>0</v>
      </c>
      <c r="AJ75" s="59">
        <v>0</v>
      </c>
      <c r="AL75" s="59">
        <v>0</v>
      </c>
      <c r="AM75" s="59">
        <v>0</v>
      </c>
    </row>
    <row r="76" spans="1:39" x14ac:dyDescent="0.3">
      <c r="A76" s="58" t="s">
        <v>582</v>
      </c>
      <c r="B76" s="58" t="s">
        <v>360</v>
      </c>
      <c r="C76" s="58">
        <v>240</v>
      </c>
      <c r="D76" s="58">
        <v>0</v>
      </c>
      <c r="E76" s="58">
        <v>40</v>
      </c>
      <c r="F76" s="58">
        <v>0</v>
      </c>
      <c r="G76" s="58"/>
      <c r="H76" s="58">
        <v>0</v>
      </c>
      <c r="I76" s="58">
        <v>0</v>
      </c>
      <c r="J76" s="58">
        <v>0</v>
      </c>
      <c r="K76" s="58">
        <v>0</v>
      </c>
      <c r="L76" s="58">
        <v>246</v>
      </c>
      <c r="M76" s="58">
        <v>1507</v>
      </c>
      <c r="N76" s="58">
        <v>0</v>
      </c>
      <c r="O76" s="58">
        <v>0</v>
      </c>
      <c r="P76" s="58">
        <v>0</v>
      </c>
      <c r="Q76" s="58">
        <v>8</v>
      </c>
      <c r="R76" s="58">
        <v>0</v>
      </c>
      <c r="S76" s="58"/>
      <c r="T76" s="58"/>
      <c r="U76" s="58">
        <v>152</v>
      </c>
      <c r="V76" s="58">
        <v>0</v>
      </c>
      <c r="W76" s="58">
        <v>0</v>
      </c>
      <c r="X76" s="58">
        <v>0</v>
      </c>
      <c r="Y76" s="58">
        <v>1289</v>
      </c>
      <c r="Z76" s="58">
        <v>16</v>
      </c>
      <c r="AA76" s="58">
        <v>0</v>
      </c>
      <c r="AB76" s="58">
        <v>0</v>
      </c>
      <c r="AC76" s="58">
        <v>0</v>
      </c>
      <c r="AD76" s="58">
        <v>0</v>
      </c>
      <c r="AE76" s="58">
        <v>0</v>
      </c>
      <c r="AF76" s="58">
        <v>0</v>
      </c>
      <c r="AG76" s="58">
        <v>0</v>
      </c>
      <c r="AH76" s="58">
        <v>0</v>
      </c>
      <c r="AI76" s="58">
        <v>0</v>
      </c>
      <c r="AJ76" s="59">
        <v>0</v>
      </c>
      <c r="AL76" s="59">
        <v>0</v>
      </c>
      <c r="AM76" s="59">
        <v>57</v>
      </c>
    </row>
    <row r="77" spans="1:39" x14ac:dyDescent="0.3">
      <c r="A77" s="58" t="s">
        <v>583</v>
      </c>
      <c r="B77" s="58" t="s">
        <v>360</v>
      </c>
      <c r="C77" s="58">
        <v>0</v>
      </c>
      <c r="D77" s="58">
        <v>787</v>
      </c>
      <c r="E77" s="58">
        <v>0</v>
      </c>
      <c r="F77" s="58">
        <v>0</v>
      </c>
      <c r="G77" s="58"/>
      <c r="H77" s="58">
        <v>0</v>
      </c>
      <c r="I77" s="58">
        <v>0</v>
      </c>
      <c r="J77" s="58">
        <v>0</v>
      </c>
      <c r="K77" s="58">
        <v>0</v>
      </c>
      <c r="L77" s="58">
        <v>0</v>
      </c>
      <c r="M77" s="58">
        <v>1120</v>
      </c>
      <c r="N77" s="58">
        <v>0</v>
      </c>
      <c r="O77" s="58">
        <v>0</v>
      </c>
      <c r="P77" s="58">
        <v>0</v>
      </c>
      <c r="Q77" s="58">
        <v>0</v>
      </c>
      <c r="R77" s="58">
        <v>0</v>
      </c>
      <c r="S77" s="58"/>
      <c r="T77" s="58"/>
      <c r="U77" s="58">
        <v>0</v>
      </c>
      <c r="V77" s="58">
        <v>0</v>
      </c>
      <c r="W77" s="58">
        <v>0</v>
      </c>
      <c r="X77" s="58">
        <v>0</v>
      </c>
      <c r="Y77" s="58">
        <v>0</v>
      </c>
      <c r="Z77" s="58">
        <v>74</v>
      </c>
      <c r="AA77" s="58">
        <v>0</v>
      </c>
      <c r="AB77" s="58">
        <v>0</v>
      </c>
      <c r="AC77" s="58">
        <v>0</v>
      </c>
      <c r="AD77" s="58">
        <v>0</v>
      </c>
      <c r="AE77" s="58">
        <v>0</v>
      </c>
      <c r="AF77" s="58">
        <v>0</v>
      </c>
      <c r="AG77" s="58">
        <v>0</v>
      </c>
      <c r="AH77" s="58">
        <v>0</v>
      </c>
      <c r="AI77" s="58">
        <v>0</v>
      </c>
      <c r="AJ77" s="59">
        <v>0</v>
      </c>
      <c r="AL77" s="59">
        <v>0</v>
      </c>
      <c r="AM77" s="59">
        <v>0</v>
      </c>
    </row>
    <row r="78" spans="1:39" x14ac:dyDescent="0.3">
      <c r="A78" s="58" t="s">
        <v>584</v>
      </c>
      <c r="B78" s="58" t="s">
        <v>360</v>
      </c>
      <c r="C78" s="58">
        <v>0</v>
      </c>
      <c r="D78" s="58">
        <v>0</v>
      </c>
      <c r="E78" s="58">
        <v>0</v>
      </c>
      <c r="F78" s="58">
        <v>0</v>
      </c>
      <c r="G78" s="58"/>
      <c r="H78" s="58">
        <v>0</v>
      </c>
      <c r="I78" s="58">
        <v>520</v>
      </c>
      <c r="J78" s="58">
        <v>0</v>
      </c>
      <c r="K78" s="58">
        <v>0</v>
      </c>
      <c r="L78" s="58">
        <v>0</v>
      </c>
      <c r="M78" s="58">
        <v>0</v>
      </c>
      <c r="N78" s="58">
        <v>0</v>
      </c>
      <c r="O78" s="58">
        <v>0</v>
      </c>
      <c r="P78" s="58">
        <v>0</v>
      </c>
      <c r="Q78" s="58">
        <v>0</v>
      </c>
      <c r="R78" s="58">
        <v>0</v>
      </c>
      <c r="S78" s="58"/>
      <c r="T78" s="58"/>
      <c r="U78" s="58">
        <v>0</v>
      </c>
      <c r="V78" s="58">
        <v>0</v>
      </c>
      <c r="W78" s="58">
        <v>0</v>
      </c>
      <c r="X78" s="58">
        <v>0</v>
      </c>
      <c r="Y78" s="58">
        <v>0</v>
      </c>
      <c r="Z78" s="58">
        <v>0</v>
      </c>
      <c r="AA78" s="58">
        <v>0</v>
      </c>
      <c r="AB78" s="58">
        <v>0</v>
      </c>
      <c r="AC78" s="58">
        <v>0</v>
      </c>
      <c r="AD78" s="58">
        <v>0</v>
      </c>
      <c r="AE78" s="58">
        <v>0</v>
      </c>
      <c r="AF78" s="58">
        <v>0</v>
      </c>
      <c r="AG78" s="58">
        <v>0</v>
      </c>
      <c r="AH78" s="58">
        <v>0</v>
      </c>
      <c r="AI78" s="58">
        <v>0</v>
      </c>
      <c r="AJ78" s="59">
        <v>0</v>
      </c>
      <c r="AL78" s="59">
        <v>0</v>
      </c>
      <c r="AM78" s="59">
        <v>0</v>
      </c>
    </row>
    <row r="79" spans="1:39" x14ac:dyDescent="0.3">
      <c r="A79" s="58" t="s">
        <v>585</v>
      </c>
      <c r="B79" s="58" t="s">
        <v>360</v>
      </c>
      <c r="C79" s="58">
        <v>0</v>
      </c>
      <c r="D79" s="58">
        <v>242</v>
      </c>
      <c r="E79" s="58">
        <v>1182</v>
      </c>
      <c r="F79" s="58">
        <v>0</v>
      </c>
      <c r="G79" s="58"/>
      <c r="H79" s="58">
        <v>0</v>
      </c>
      <c r="I79" s="58">
        <v>0</v>
      </c>
      <c r="J79" s="58">
        <v>0</v>
      </c>
      <c r="K79" s="58">
        <v>87</v>
      </c>
      <c r="L79" s="58">
        <v>392</v>
      </c>
      <c r="M79" s="58">
        <v>3181</v>
      </c>
      <c r="N79" s="58">
        <v>0</v>
      </c>
      <c r="O79" s="58">
        <v>0</v>
      </c>
      <c r="P79" s="58">
        <v>300</v>
      </c>
      <c r="Q79" s="58">
        <v>4723</v>
      </c>
      <c r="R79" s="58">
        <v>0</v>
      </c>
      <c r="S79" s="58"/>
      <c r="T79" s="58"/>
      <c r="U79" s="58">
        <v>0</v>
      </c>
      <c r="V79" s="58">
        <v>602</v>
      </c>
      <c r="W79" s="58">
        <v>5000</v>
      </c>
      <c r="X79" s="58">
        <v>0</v>
      </c>
      <c r="Y79" s="58">
        <v>214</v>
      </c>
      <c r="Z79" s="58">
        <v>0</v>
      </c>
      <c r="AA79" s="58">
        <v>0</v>
      </c>
      <c r="AB79" s="58">
        <v>0</v>
      </c>
      <c r="AC79" s="58">
        <v>0</v>
      </c>
      <c r="AD79" s="58">
        <v>0</v>
      </c>
      <c r="AE79" s="58">
        <v>0</v>
      </c>
      <c r="AF79" s="58">
        <v>0</v>
      </c>
      <c r="AG79" s="58">
        <v>0</v>
      </c>
      <c r="AH79" s="58">
        <v>0</v>
      </c>
      <c r="AI79" s="58">
        <v>0</v>
      </c>
      <c r="AJ79" s="59">
        <v>0</v>
      </c>
      <c r="AL79" s="59">
        <v>0</v>
      </c>
      <c r="AM79" s="59">
        <v>100</v>
      </c>
    </row>
    <row r="80" spans="1:39" x14ac:dyDescent="0.3">
      <c r="A80" s="58" t="s">
        <v>586</v>
      </c>
      <c r="B80" s="58" t="s">
        <v>360</v>
      </c>
      <c r="C80" s="58">
        <v>0</v>
      </c>
      <c r="D80" s="58">
        <v>50</v>
      </c>
      <c r="E80" s="58">
        <v>0</v>
      </c>
      <c r="F80" s="58">
        <v>0</v>
      </c>
      <c r="G80" s="58"/>
      <c r="H80" s="58">
        <v>0</v>
      </c>
      <c r="I80" s="58">
        <v>0</v>
      </c>
      <c r="J80" s="58">
        <v>0</v>
      </c>
      <c r="K80" s="58">
        <v>38</v>
      </c>
      <c r="L80" s="58">
        <v>0</v>
      </c>
      <c r="M80" s="58">
        <v>69</v>
      </c>
      <c r="N80" s="58">
        <v>0</v>
      </c>
      <c r="O80" s="58">
        <v>0</v>
      </c>
      <c r="P80" s="58">
        <v>0</v>
      </c>
      <c r="Q80" s="58">
        <v>664</v>
      </c>
      <c r="R80" s="58">
        <v>0</v>
      </c>
      <c r="S80" s="58"/>
      <c r="T80" s="58"/>
      <c r="U80" s="58">
        <v>0</v>
      </c>
      <c r="V80" s="58">
        <v>40</v>
      </c>
      <c r="W80" s="58">
        <v>0</v>
      </c>
      <c r="X80" s="58">
        <v>0</v>
      </c>
      <c r="Y80" s="58">
        <v>0</v>
      </c>
      <c r="Z80" s="58">
        <v>0</v>
      </c>
      <c r="AA80" s="58">
        <v>331</v>
      </c>
      <c r="AB80" s="58">
        <v>0</v>
      </c>
      <c r="AC80" s="58">
        <v>110</v>
      </c>
      <c r="AD80" s="58">
        <v>0</v>
      </c>
      <c r="AE80" s="58">
        <v>0</v>
      </c>
      <c r="AF80" s="58">
        <v>0</v>
      </c>
      <c r="AG80" s="58">
        <v>0</v>
      </c>
      <c r="AH80" s="58">
        <v>0</v>
      </c>
      <c r="AI80" s="58">
        <v>0</v>
      </c>
      <c r="AJ80" s="59">
        <v>0</v>
      </c>
      <c r="AL80" s="59">
        <v>0</v>
      </c>
      <c r="AM80" s="59">
        <v>2140</v>
      </c>
    </row>
    <row r="81" spans="1:39" x14ac:dyDescent="0.3">
      <c r="A81" s="58" t="s">
        <v>587</v>
      </c>
      <c r="B81" s="58" t="s">
        <v>360</v>
      </c>
      <c r="C81" s="58">
        <v>0</v>
      </c>
      <c r="D81" s="58">
        <v>0</v>
      </c>
      <c r="E81" s="58">
        <v>0</v>
      </c>
      <c r="F81" s="58">
        <v>0</v>
      </c>
      <c r="G81" s="58"/>
      <c r="H81" s="58">
        <v>0</v>
      </c>
      <c r="I81" s="58">
        <v>0</v>
      </c>
      <c r="J81" s="58">
        <v>0</v>
      </c>
      <c r="K81" s="58">
        <v>0</v>
      </c>
      <c r="L81" s="58">
        <v>0</v>
      </c>
      <c r="M81" s="58">
        <v>0</v>
      </c>
      <c r="N81" s="58">
        <v>0</v>
      </c>
      <c r="O81" s="58">
        <v>0</v>
      </c>
      <c r="P81" s="58">
        <v>0</v>
      </c>
      <c r="Q81" s="58">
        <v>0</v>
      </c>
      <c r="R81" s="58">
        <v>0</v>
      </c>
      <c r="S81" s="58"/>
      <c r="T81" s="58"/>
      <c r="U81" s="58">
        <v>0</v>
      </c>
      <c r="V81" s="58">
        <v>0</v>
      </c>
      <c r="W81" s="58">
        <v>4450</v>
      </c>
      <c r="X81" s="58">
        <v>0</v>
      </c>
      <c r="Y81" s="58">
        <v>0</v>
      </c>
      <c r="Z81" s="58">
        <v>0</v>
      </c>
      <c r="AA81" s="58">
        <v>0</v>
      </c>
      <c r="AB81" s="58">
        <v>0</v>
      </c>
      <c r="AC81" s="58">
        <v>0</v>
      </c>
      <c r="AD81" s="58">
        <v>0</v>
      </c>
      <c r="AE81" s="58">
        <v>0</v>
      </c>
      <c r="AF81" s="58">
        <v>0</v>
      </c>
      <c r="AG81" s="58">
        <v>0</v>
      </c>
      <c r="AH81" s="58">
        <v>0</v>
      </c>
      <c r="AI81" s="58">
        <v>0</v>
      </c>
      <c r="AJ81" s="59">
        <v>0</v>
      </c>
      <c r="AL81" s="59">
        <v>0</v>
      </c>
      <c r="AM81" s="59">
        <v>0</v>
      </c>
    </row>
    <row r="82" spans="1:39" x14ac:dyDescent="0.3">
      <c r="A82" s="58" t="s">
        <v>588</v>
      </c>
      <c r="B82" s="58" t="s">
        <v>360</v>
      </c>
      <c r="C82" s="58">
        <v>0</v>
      </c>
      <c r="D82" s="58">
        <v>0</v>
      </c>
      <c r="E82" s="58">
        <v>0</v>
      </c>
      <c r="F82" s="58">
        <v>0</v>
      </c>
      <c r="G82" s="58"/>
      <c r="H82" s="58">
        <v>0</v>
      </c>
      <c r="I82" s="58">
        <v>0</v>
      </c>
      <c r="J82" s="58">
        <v>0</v>
      </c>
      <c r="K82" s="58">
        <v>471</v>
      </c>
      <c r="L82" s="58">
        <v>0</v>
      </c>
      <c r="M82" s="58">
        <v>0</v>
      </c>
      <c r="N82" s="58">
        <v>0</v>
      </c>
      <c r="O82" s="58">
        <v>0</v>
      </c>
      <c r="P82" s="58">
        <v>0</v>
      </c>
      <c r="Q82" s="58">
        <v>0</v>
      </c>
      <c r="R82" s="58">
        <v>0</v>
      </c>
      <c r="S82" s="58"/>
      <c r="T82" s="58"/>
      <c r="U82" s="58">
        <v>0</v>
      </c>
      <c r="V82" s="58">
        <v>3381</v>
      </c>
      <c r="W82" s="58">
        <v>0</v>
      </c>
      <c r="X82" s="58">
        <v>0</v>
      </c>
      <c r="Y82" s="58">
        <v>0</v>
      </c>
      <c r="Z82" s="58">
        <v>180</v>
      </c>
      <c r="AA82" s="58">
        <v>0</v>
      </c>
      <c r="AB82" s="58">
        <v>0</v>
      </c>
      <c r="AC82" s="58">
        <v>0</v>
      </c>
      <c r="AD82" s="58">
        <v>0</v>
      </c>
      <c r="AE82" s="58">
        <v>0</v>
      </c>
      <c r="AF82" s="58">
        <v>0</v>
      </c>
      <c r="AG82" s="58">
        <v>0</v>
      </c>
      <c r="AH82" s="58">
        <v>0</v>
      </c>
      <c r="AI82" s="58">
        <v>0</v>
      </c>
      <c r="AJ82" s="59">
        <v>0</v>
      </c>
      <c r="AL82" s="59">
        <v>0</v>
      </c>
      <c r="AM82" s="59">
        <v>285</v>
      </c>
    </row>
    <row r="83" spans="1:39" x14ac:dyDescent="0.3">
      <c r="A83" s="58" t="s">
        <v>589</v>
      </c>
      <c r="B83" s="58" t="s">
        <v>360</v>
      </c>
      <c r="C83" s="58">
        <v>0</v>
      </c>
      <c r="D83" s="58">
        <v>0</v>
      </c>
      <c r="E83" s="58">
        <v>0</v>
      </c>
      <c r="F83" s="58">
        <v>0</v>
      </c>
      <c r="G83" s="58"/>
      <c r="H83" s="58">
        <v>0</v>
      </c>
      <c r="I83" s="58">
        <v>0</v>
      </c>
      <c r="J83" s="58">
        <v>0</v>
      </c>
      <c r="K83" s="58">
        <v>0</v>
      </c>
      <c r="L83" s="58">
        <v>0</v>
      </c>
      <c r="M83" s="58">
        <v>0</v>
      </c>
      <c r="N83" s="58">
        <v>0</v>
      </c>
      <c r="O83" s="58">
        <v>0</v>
      </c>
      <c r="P83" s="58">
        <v>0</v>
      </c>
      <c r="Q83" s="58">
        <v>0</v>
      </c>
      <c r="R83" s="58">
        <v>0</v>
      </c>
      <c r="S83" s="58"/>
      <c r="T83" s="58"/>
      <c r="U83" s="58">
        <v>0</v>
      </c>
      <c r="V83" s="58">
        <v>0</v>
      </c>
      <c r="W83" s="58">
        <v>370</v>
      </c>
      <c r="X83" s="58">
        <v>0</v>
      </c>
      <c r="Y83" s="58">
        <v>620</v>
      </c>
      <c r="Z83" s="58">
        <v>0</v>
      </c>
      <c r="AA83" s="58">
        <v>0</v>
      </c>
      <c r="AB83" s="58">
        <v>0</v>
      </c>
      <c r="AC83" s="58">
        <v>0</v>
      </c>
      <c r="AD83" s="58">
        <v>0</v>
      </c>
      <c r="AE83" s="58">
        <v>0</v>
      </c>
      <c r="AF83" s="58">
        <v>0</v>
      </c>
      <c r="AG83" s="58">
        <v>0</v>
      </c>
      <c r="AH83" s="58">
        <v>0</v>
      </c>
      <c r="AI83" s="58">
        <v>0</v>
      </c>
      <c r="AJ83" s="59">
        <v>0</v>
      </c>
      <c r="AL83" s="59">
        <v>2197</v>
      </c>
      <c r="AM83" s="59">
        <v>0</v>
      </c>
    </row>
    <row r="84" spans="1:39" x14ac:dyDescent="0.3">
      <c r="A84" s="58" t="s">
        <v>590</v>
      </c>
      <c r="B84" s="58" t="s">
        <v>360</v>
      </c>
      <c r="C84" s="58">
        <v>0</v>
      </c>
      <c r="D84" s="58">
        <v>0</v>
      </c>
      <c r="E84" s="58">
        <v>0</v>
      </c>
      <c r="F84" s="58">
        <v>0</v>
      </c>
      <c r="G84" s="58"/>
      <c r="H84" s="58">
        <v>0</v>
      </c>
      <c r="I84" s="58">
        <v>0</v>
      </c>
      <c r="J84" s="58">
        <v>0</v>
      </c>
      <c r="K84" s="58">
        <v>0</v>
      </c>
      <c r="L84" s="58">
        <v>0</v>
      </c>
      <c r="M84" s="58">
        <v>0</v>
      </c>
      <c r="N84" s="58">
        <v>0</v>
      </c>
      <c r="O84" s="58">
        <v>0</v>
      </c>
      <c r="P84" s="58">
        <v>0</v>
      </c>
      <c r="Q84" s="58">
        <v>0</v>
      </c>
      <c r="R84" s="58">
        <v>0</v>
      </c>
      <c r="S84" s="58"/>
      <c r="T84" s="58"/>
      <c r="U84" s="58">
        <v>0</v>
      </c>
      <c r="V84" s="58">
        <v>0</v>
      </c>
      <c r="W84" s="58">
        <v>0</v>
      </c>
      <c r="X84" s="58">
        <v>0</v>
      </c>
      <c r="Y84" s="58">
        <v>0</v>
      </c>
      <c r="Z84" s="58">
        <v>0</v>
      </c>
      <c r="AA84" s="58">
        <v>0</v>
      </c>
      <c r="AB84" s="58">
        <v>0</v>
      </c>
      <c r="AC84" s="58">
        <v>0</v>
      </c>
      <c r="AD84" s="58">
        <v>0</v>
      </c>
      <c r="AE84" s="58">
        <v>0</v>
      </c>
      <c r="AF84" s="58">
        <v>0</v>
      </c>
      <c r="AG84" s="58">
        <v>0</v>
      </c>
      <c r="AH84" s="58">
        <v>0</v>
      </c>
      <c r="AI84" s="58">
        <v>0</v>
      </c>
      <c r="AJ84" s="59">
        <v>0</v>
      </c>
      <c r="AL84" s="59">
        <v>0</v>
      </c>
      <c r="AM84" s="59">
        <v>12</v>
      </c>
    </row>
    <row r="85" spans="1:39" x14ac:dyDescent="0.3">
      <c r="A85" s="58" t="s">
        <v>591</v>
      </c>
      <c r="B85" s="58" t="s">
        <v>360</v>
      </c>
      <c r="C85" s="58">
        <v>0</v>
      </c>
      <c r="D85" s="58">
        <v>0</v>
      </c>
      <c r="E85" s="58">
        <v>0</v>
      </c>
      <c r="F85" s="58">
        <v>0</v>
      </c>
      <c r="G85" s="58"/>
      <c r="H85" s="58">
        <v>0</v>
      </c>
      <c r="I85" s="58">
        <v>0</v>
      </c>
      <c r="J85" s="58">
        <v>0</v>
      </c>
      <c r="K85" s="58">
        <v>0</v>
      </c>
      <c r="L85" s="58">
        <v>0</v>
      </c>
      <c r="M85" s="58">
        <v>0</v>
      </c>
      <c r="N85" s="58">
        <v>0</v>
      </c>
      <c r="O85" s="58">
        <v>0</v>
      </c>
      <c r="P85" s="58">
        <v>0</v>
      </c>
      <c r="Q85" s="58">
        <v>0</v>
      </c>
      <c r="R85" s="58">
        <v>0</v>
      </c>
      <c r="S85" s="58"/>
      <c r="T85" s="58"/>
      <c r="U85" s="58">
        <v>0</v>
      </c>
      <c r="V85" s="58">
        <v>0</v>
      </c>
      <c r="W85" s="58">
        <v>1313</v>
      </c>
      <c r="X85" s="58">
        <v>0</v>
      </c>
      <c r="Y85" s="58">
        <v>0</v>
      </c>
      <c r="Z85" s="58">
        <v>0</v>
      </c>
      <c r="AA85" s="58">
        <v>0</v>
      </c>
      <c r="AB85" s="58">
        <v>0</v>
      </c>
      <c r="AC85" s="58">
        <v>0</v>
      </c>
      <c r="AD85" s="58">
        <v>0</v>
      </c>
      <c r="AE85" s="58">
        <v>0</v>
      </c>
      <c r="AF85" s="58">
        <v>0</v>
      </c>
      <c r="AG85" s="58">
        <v>0</v>
      </c>
      <c r="AH85" s="58">
        <v>0</v>
      </c>
      <c r="AI85" s="58">
        <v>0</v>
      </c>
      <c r="AJ85" s="59">
        <v>0</v>
      </c>
      <c r="AL85" s="59">
        <v>0</v>
      </c>
      <c r="AM85" s="59">
        <v>0</v>
      </c>
    </row>
    <row r="86" spans="1:39" x14ac:dyDescent="0.3">
      <c r="A86" s="58" t="s">
        <v>592</v>
      </c>
      <c r="B86" s="58" t="s">
        <v>360</v>
      </c>
      <c r="C86" s="58">
        <v>0</v>
      </c>
      <c r="D86" s="58">
        <v>615</v>
      </c>
      <c r="E86" s="58">
        <v>0</v>
      </c>
      <c r="F86" s="58">
        <v>0</v>
      </c>
      <c r="G86" s="58"/>
      <c r="H86" s="58">
        <v>0</v>
      </c>
      <c r="I86" s="58">
        <v>767</v>
      </c>
      <c r="J86" s="58">
        <v>0</v>
      </c>
      <c r="K86" s="58">
        <v>266</v>
      </c>
      <c r="L86" s="58">
        <v>0</v>
      </c>
      <c r="M86" s="58">
        <v>0</v>
      </c>
      <c r="N86" s="58">
        <v>0</v>
      </c>
      <c r="O86" s="58">
        <v>0</v>
      </c>
      <c r="P86" s="58">
        <v>0</v>
      </c>
      <c r="Q86" s="58">
        <v>0</v>
      </c>
      <c r="R86" s="58">
        <v>0</v>
      </c>
      <c r="S86" s="58"/>
      <c r="T86" s="58"/>
      <c r="U86" s="58">
        <v>0</v>
      </c>
      <c r="V86" s="58">
        <v>0</v>
      </c>
      <c r="W86" s="58">
        <v>0</v>
      </c>
      <c r="X86" s="58">
        <v>0</v>
      </c>
      <c r="Y86" s="58">
        <v>0</v>
      </c>
      <c r="Z86" s="58">
        <v>40</v>
      </c>
      <c r="AA86" s="58">
        <v>0</v>
      </c>
      <c r="AB86" s="58">
        <v>0</v>
      </c>
      <c r="AC86" s="58">
        <v>0</v>
      </c>
      <c r="AD86" s="58">
        <v>0</v>
      </c>
      <c r="AE86" s="58">
        <v>0</v>
      </c>
      <c r="AF86" s="58">
        <v>0</v>
      </c>
      <c r="AG86" s="58">
        <v>0</v>
      </c>
      <c r="AH86" s="58">
        <v>0</v>
      </c>
      <c r="AI86" s="58">
        <v>0</v>
      </c>
      <c r="AJ86" s="59">
        <v>0</v>
      </c>
      <c r="AL86" s="59">
        <v>0</v>
      </c>
      <c r="AM86" s="59">
        <v>3402</v>
      </c>
    </row>
    <row r="87" spans="1:39" x14ac:dyDescent="0.3">
      <c r="A87" s="58" t="s">
        <v>593</v>
      </c>
      <c r="B87" s="58" t="s">
        <v>360</v>
      </c>
      <c r="C87" s="58">
        <v>0</v>
      </c>
      <c r="D87" s="58">
        <v>0</v>
      </c>
      <c r="E87" s="58">
        <v>30</v>
      </c>
      <c r="F87" s="58">
        <v>0</v>
      </c>
      <c r="G87" s="58"/>
      <c r="H87" s="58">
        <v>600</v>
      </c>
      <c r="I87" s="58">
        <v>0</v>
      </c>
      <c r="J87" s="58">
        <v>0</v>
      </c>
      <c r="K87" s="58">
        <v>0</v>
      </c>
      <c r="L87" s="58">
        <v>0</v>
      </c>
      <c r="M87" s="58">
        <v>0</v>
      </c>
      <c r="N87" s="58">
        <v>0</v>
      </c>
      <c r="O87" s="58">
        <v>0</v>
      </c>
      <c r="P87" s="58">
        <v>0</v>
      </c>
      <c r="Q87" s="58">
        <v>0</v>
      </c>
      <c r="R87" s="58">
        <v>0</v>
      </c>
      <c r="S87" s="58"/>
      <c r="T87" s="58"/>
      <c r="U87" s="58">
        <v>0</v>
      </c>
      <c r="V87" s="58">
        <v>0</v>
      </c>
      <c r="W87" s="58">
        <v>451</v>
      </c>
      <c r="X87" s="58">
        <v>0</v>
      </c>
      <c r="Y87" s="58">
        <v>0</v>
      </c>
      <c r="Z87" s="58">
        <v>0</v>
      </c>
      <c r="AA87" s="58">
        <v>0</v>
      </c>
      <c r="AB87" s="58">
        <v>0</v>
      </c>
      <c r="AC87" s="58">
        <v>0</v>
      </c>
      <c r="AD87" s="58">
        <v>0</v>
      </c>
      <c r="AE87" s="58">
        <v>0</v>
      </c>
      <c r="AF87" s="58">
        <v>0</v>
      </c>
      <c r="AG87" s="58">
        <v>0</v>
      </c>
      <c r="AH87" s="58">
        <v>0</v>
      </c>
      <c r="AI87" s="58">
        <v>0</v>
      </c>
      <c r="AJ87" s="59">
        <v>758</v>
      </c>
      <c r="AL87" s="59">
        <v>0</v>
      </c>
      <c r="AM87" s="59">
        <v>0</v>
      </c>
    </row>
    <row r="88" spans="1:39" x14ac:dyDescent="0.3">
      <c r="A88" s="58" t="s">
        <v>594</v>
      </c>
      <c r="B88" s="58" t="s">
        <v>360</v>
      </c>
      <c r="C88" s="58">
        <v>0</v>
      </c>
      <c r="D88" s="58">
        <v>0</v>
      </c>
      <c r="E88" s="58">
        <v>1206</v>
      </c>
      <c r="F88" s="58">
        <v>0</v>
      </c>
      <c r="G88" s="58"/>
      <c r="H88" s="58">
        <v>1446</v>
      </c>
      <c r="I88" s="58">
        <v>0</v>
      </c>
      <c r="J88" s="58">
        <v>0</v>
      </c>
      <c r="K88" s="58">
        <v>0</v>
      </c>
      <c r="L88" s="58">
        <v>0</v>
      </c>
      <c r="M88" s="58">
        <v>0</v>
      </c>
      <c r="N88" s="58">
        <v>0</v>
      </c>
      <c r="O88" s="58">
        <v>0</v>
      </c>
      <c r="P88" s="58">
        <v>0</v>
      </c>
      <c r="Q88" s="58">
        <v>0</v>
      </c>
      <c r="R88" s="58">
        <v>0</v>
      </c>
      <c r="S88" s="58"/>
      <c r="T88" s="58"/>
      <c r="U88" s="58">
        <v>0</v>
      </c>
      <c r="V88" s="58">
        <v>0</v>
      </c>
      <c r="W88" s="58">
        <v>237</v>
      </c>
      <c r="X88" s="58">
        <v>0</v>
      </c>
      <c r="Y88" s="58">
        <v>1530</v>
      </c>
      <c r="Z88" s="58">
        <v>0</v>
      </c>
      <c r="AA88" s="58">
        <v>0</v>
      </c>
      <c r="AB88" s="58">
        <v>0</v>
      </c>
      <c r="AC88" s="58">
        <v>0</v>
      </c>
      <c r="AD88" s="58">
        <v>0</v>
      </c>
      <c r="AE88" s="58">
        <v>0</v>
      </c>
      <c r="AF88" s="58">
        <v>0</v>
      </c>
      <c r="AG88" s="58">
        <v>0</v>
      </c>
      <c r="AH88" s="58">
        <v>205</v>
      </c>
      <c r="AI88" s="58">
        <v>0</v>
      </c>
      <c r="AJ88" s="59">
        <v>0</v>
      </c>
      <c r="AL88" s="59">
        <v>0</v>
      </c>
      <c r="AM88" s="59">
        <v>0</v>
      </c>
    </row>
    <row r="89" spans="1:39" x14ac:dyDescent="0.3">
      <c r="A89" s="58" t="s">
        <v>595</v>
      </c>
      <c r="B89" s="58" t="s">
        <v>360</v>
      </c>
      <c r="C89" s="58">
        <v>0</v>
      </c>
      <c r="D89" s="58">
        <v>0</v>
      </c>
      <c r="E89" s="58">
        <v>0</v>
      </c>
      <c r="F89" s="58">
        <v>0</v>
      </c>
      <c r="G89" s="58"/>
      <c r="H89" s="58">
        <v>0</v>
      </c>
      <c r="I89" s="58">
        <v>0</v>
      </c>
      <c r="J89" s="58">
        <v>0</v>
      </c>
      <c r="K89" s="58">
        <v>0</v>
      </c>
      <c r="L89" s="58">
        <v>0</v>
      </c>
      <c r="M89" s="58">
        <v>0</v>
      </c>
      <c r="N89" s="58">
        <v>0</v>
      </c>
      <c r="O89" s="58">
        <v>0</v>
      </c>
      <c r="P89" s="58">
        <v>78</v>
      </c>
      <c r="Q89" s="58">
        <v>0</v>
      </c>
      <c r="R89" s="58">
        <v>0</v>
      </c>
      <c r="S89" s="58"/>
      <c r="T89" s="58"/>
      <c r="U89" s="58">
        <v>0</v>
      </c>
      <c r="V89" s="58">
        <v>0</v>
      </c>
      <c r="W89" s="58">
        <v>0</v>
      </c>
      <c r="X89" s="58">
        <v>0</v>
      </c>
      <c r="Y89" s="58">
        <v>0</v>
      </c>
      <c r="Z89" s="58">
        <v>51</v>
      </c>
      <c r="AA89" s="58">
        <v>0</v>
      </c>
      <c r="AB89" s="58">
        <v>0</v>
      </c>
      <c r="AC89" s="58">
        <v>0</v>
      </c>
      <c r="AD89" s="58">
        <v>0</v>
      </c>
      <c r="AE89" s="58">
        <v>0</v>
      </c>
      <c r="AF89" s="58">
        <v>0</v>
      </c>
      <c r="AG89" s="58">
        <v>0</v>
      </c>
      <c r="AH89" s="58">
        <v>0</v>
      </c>
      <c r="AI89" s="58">
        <v>0</v>
      </c>
      <c r="AJ89" s="59">
        <v>0</v>
      </c>
      <c r="AL89" s="59">
        <v>0</v>
      </c>
      <c r="AM89" s="59">
        <v>18</v>
      </c>
    </row>
    <row r="90" spans="1:39" x14ac:dyDescent="0.3">
      <c r="A90" s="58" t="s">
        <v>596</v>
      </c>
      <c r="B90" s="58" t="s">
        <v>360</v>
      </c>
      <c r="C90" s="58">
        <v>0</v>
      </c>
      <c r="D90" s="58">
        <v>0</v>
      </c>
      <c r="E90" s="58">
        <v>600</v>
      </c>
      <c r="F90" s="58">
        <v>0</v>
      </c>
      <c r="G90" s="58"/>
      <c r="H90" s="58">
        <v>0</v>
      </c>
      <c r="I90" s="58">
        <v>0</v>
      </c>
      <c r="J90" s="58">
        <v>0</v>
      </c>
      <c r="K90" s="58">
        <v>0</v>
      </c>
      <c r="L90" s="58">
        <v>0</v>
      </c>
      <c r="M90" s="58">
        <v>0</v>
      </c>
      <c r="N90" s="58">
        <v>0</v>
      </c>
      <c r="O90" s="58">
        <v>0</v>
      </c>
      <c r="P90" s="58">
        <v>0</v>
      </c>
      <c r="Q90" s="58">
        <v>0</v>
      </c>
      <c r="R90" s="58">
        <v>0</v>
      </c>
      <c r="S90" s="58"/>
      <c r="T90" s="58"/>
      <c r="U90" s="58">
        <v>0</v>
      </c>
      <c r="V90" s="58">
        <v>0</v>
      </c>
      <c r="W90" s="58">
        <v>0</v>
      </c>
      <c r="X90" s="58">
        <v>0</v>
      </c>
      <c r="Y90" s="58">
        <v>0</v>
      </c>
      <c r="Z90" s="58">
        <v>0</v>
      </c>
      <c r="AA90" s="58">
        <v>539</v>
      </c>
      <c r="AB90" s="58">
        <v>0</v>
      </c>
      <c r="AC90" s="58">
        <v>0</v>
      </c>
      <c r="AD90" s="58">
        <v>0</v>
      </c>
      <c r="AE90" s="58">
        <v>0</v>
      </c>
      <c r="AF90" s="58">
        <v>0</v>
      </c>
      <c r="AG90" s="58">
        <v>0</v>
      </c>
      <c r="AH90" s="58">
        <v>0</v>
      </c>
      <c r="AI90" s="58">
        <v>0</v>
      </c>
      <c r="AJ90" s="59">
        <v>4050</v>
      </c>
      <c r="AL90" s="59">
        <v>0</v>
      </c>
      <c r="AM90" s="59">
        <v>0</v>
      </c>
    </row>
    <row r="91" spans="1:39" x14ac:dyDescent="0.3">
      <c r="A91" s="58" t="s">
        <v>597</v>
      </c>
      <c r="B91" s="58" t="s">
        <v>360</v>
      </c>
      <c r="C91" s="58">
        <v>0</v>
      </c>
      <c r="D91" s="58">
        <v>0</v>
      </c>
      <c r="E91" s="58">
        <v>0</v>
      </c>
      <c r="F91" s="58">
        <v>0</v>
      </c>
      <c r="G91" s="58"/>
      <c r="H91" s="58">
        <v>0</v>
      </c>
      <c r="I91" s="58">
        <v>0</v>
      </c>
      <c r="J91" s="58">
        <v>0</v>
      </c>
      <c r="K91" s="58">
        <v>0</v>
      </c>
      <c r="L91" s="58">
        <v>0</v>
      </c>
      <c r="M91" s="58">
        <v>0</v>
      </c>
      <c r="N91" s="58">
        <v>0</v>
      </c>
      <c r="O91" s="58">
        <v>0</v>
      </c>
      <c r="P91" s="58">
        <v>0</v>
      </c>
      <c r="Q91" s="58">
        <v>0</v>
      </c>
      <c r="R91" s="58">
        <v>0</v>
      </c>
      <c r="S91" s="58"/>
      <c r="T91" s="58"/>
      <c r="U91" s="58">
        <v>0</v>
      </c>
      <c r="V91" s="58">
        <v>0</v>
      </c>
      <c r="W91" s="58">
        <v>0</v>
      </c>
      <c r="X91" s="58">
        <v>0</v>
      </c>
      <c r="Y91" s="58">
        <v>0</v>
      </c>
      <c r="Z91" s="58">
        <v>0</v>
      </c>
      <c r="AA91" s="58">
        <v>0</v>
      </c>
      <c r="AB91" s="58">
        <v>0</v>
      </c>
      <c r="AC91" s="58">
        <v>0</v>
      </c>
      <c r="AD91" s="58">
        <v>0</v>
      </c>
      <c r="AE91" s="58">
        <v>0</v>
      </c>
      <c r="AF91" s="58">
        <v>0</v>
      </c>
      <c r="AG91" s="58">
        <v>0</v>
      </c>
      <c r="AH91" s="58">
        <v>0</v>
      </c>
      <c r="AI91" s="58">
        <v>0</v>
      </c>
      <c r="AJ91" s="59">
        <v>0</v>
      </c>
      <c r="AL91" s="59">
        <v>0</v>
      </c>
      <c r="AM91" s="59">
        <v>0</v>
      </c>
    </row>
    <row r="92" spans="1:39" x14ac:dyDescent="0.3">
      <c r="A92" s="58" t="s">
        <v>598</v>
      </c>
      <c r="B92" s="58" t="s">
        <v>360</v>
      </c>
      <c r="C92" s="58">
        <v>0</v>
      </c>
      <c r="D92" s="58">
        <v>158</v>
      </c>
      <c r="E92" s="58">
        <v>0</v>
      </c>
      <c r="F92" s="58">
        <v>0</v>
      </c>
      <c r="G92" s="58"/>
      <c r="H92" s="58">
        <v>0</v>
      </c>
      <c r="I92" s="58">
        <v>0</v>
      </c>
      <c r="J92" s="58">
        <v>0</v>
      </c>
      <c r="K92" s="58">
        <v>0</v>
      </c>
      <c r="L92" s="58">
        <v>0</v>
      </c>
      <c r="M92" s="58">
        <v>0</v>
      </c>
      <c r="N92" s="58">
        <v>0</v>
      </c>
      <c r="O92" s="58">
        <v>0</v>
      </c>
      <c r="P92" s="58">
        <v>0</v>
      </c>
      <c r="Q92" s="58">
        <v>0</v>
      </c>
      <c r="R92" s="58">
        <v>0</v>
      </c>
      <c r="S92" s="58"/>
      <c r="T92" s="58"/>
      <c r="U92" s="58">
        <v>0</v>
      </c>
      <c r="V92" s="58">
        <v>0</v>
      </c>
      <c r="W92" s="58">
        <v>0</v>
      </c>
      <c r="X92" s="58">
        <v>0</v>
      </c>
      <c r="Y92" s="58">
        <v>0</v>
      </c>
      <c r="Z92" s="58">
        <v>0</v>
      </c>
      <c r="AA92" s="58">
        <v>0</v>
      </c>
      <c r="AB92" s="58">
        <v>0</v>
      </c>
      <c r="AC92" s="58">
        <v>0</v>
      </c>
      <c r="AD92" s="58">
        <v>0</v>
      </c>
      <c r="AE92" s="58">
        <v>0</v>
      </c>
      <c r="AF92" s="58">
        <v>0</v>
      </c>
      <c r="AG92" s="58">
        <v>0</v>
      </c>
      <c r="AH92" s="58">
        <v>0</v>
      </c>
      <c r="AI92" s="58">
        <v>0</v>
      </c>
      <c r="AJ92" s="59">
        <v>0</v>
      </c>
      <c r="AL92" s="59">
        <v>0</v>
      </c>
      <c r="AM92" s="59">
        <v>303</v>
      </c>
    </row>
    <row r="93" spans="1:39" x14ac:dyDescent="0.3">
      <c r="A93" s="58" t="s">
        <v>599</v>
      </c>
      <c r="B93" s="58" t="s">
        <v>360</v>
      </c>
      <c r="C93" s="58">
        <v>0</v>
      </c>
      <c r="D93" s="58">
        <v>0</v>
      </c>
      <c r="E93" s="58">
        <v>0</v>
      </c>
      <c r="F93" s="58">
        <v>0</v>
      </c>
      <c r="G93" s="58"/>
      <c r="H93" s="58">
        <v>0</v>
      </c>
      <c r="I93" s="58">
        <v>412</v>
      </c>
      <c r="J93" s="58">
        <v>0</v>
      </c>
      <c r="K93" s="58">
        <v>0</v>
      </c>
      <c r="L93" s="58">
        <v>0</v>
      </c>
      <c r="M93" s="58">
        <v>0</v>
      </c>
      <c r="N93" s="58">
        <v>0</v>
      </c>
      <c r="O93" s="58">
        <v>0</v>
      </c>
      <c r="P93" s="58">
        <v>0</v>
      </c>
      <c r="Q93" s="58">
        <v>0</v>
      </c>
      <c r="R93" s="58">
        <v>0</v>
      </c>
      <c r="S93" s="58"/>
      <c r="T93" s="58"/>
      <c r="U93" s="58">
        <v>0</v>
      </c>
      <c r="V93" s="58">
        <v>0</v>
      </c>
      <c r="W93" s="58">
        <v>0</v>
      </c>
      <c r="X93" s="58">
        <v>0</v>
      </c>
      <c r="Y93" s="58">
        <v>0</v>
      </c>
      <c r="Z93" s="58">
        <v>0</v>
      </c>
      <c r="AA93" s="58">
        <v>0</v>
      </c>
      <c r="AB93" s="58">
        <v>0</v>
      </c>
      <c r="AC93" s="58">
        <v>0</v>
      </c>
      <c r="AD93" s="58">
        <v>0</v>
      </c>
      <c r="AE93" s="58">
        <v>0</v>
      </c>
      <c r="AF93" s="58">
        <v>0</v>
      </c>
      <c r="AG93" s="58">
        <v>0</v>
      </c>
      <c r="AH93" s="58">
        <v>0</v>
      </c>
      <c r="AI93" s="58">
        <v>0</v>
      </c>
      <c r="AJ93" s="59">
        <v>0</v>
      </c>
      <c r="AL93" s="59">
        <v>0</v>
      </c>
      <c r="AM93" s="59">
        <v>0</v>
      </c>
    </row>
    <row r="94" spans="1:39" x14ac:dyDescent="0.3">
      <c r="A94" s="58" t="s">
        <v>600</v>
      </c>
      <c r="B94" s="58" t="s">
        <v>360</v>
      </c>
      <c r="C94" s="58">
        <v>0</v>
      </c>
      <c r="D94" s="58">
        <v>0</v>
      </c>
      <c r="E94" s="58">
        <v>0</v>
      </c>
      <c r="F94" s="58">
        <v>0</v>
      </c>
      <c r="G94" s="58"/>
      <c r="H94" s="58">
        <v>0</v>
      </c>
      <c r="I94" s="58">
        <v>0</v>
      </c>
      <c r="J94" s="58">
        <v>0</v>
      </c>
      <c r="K94" s="58">
        <v>0</v>
      </c>
      <c r="L94" s="58">
        <v>0</v>
      </c>
      <c r="M94" s="58">
        <v>0</v>
      </c>
      <c r="N94" s="58">
        <v>98</v>
      </c>
      <c r="O94" s="58">
        <v>0</v>
      </c>
      <c r="P94" s="58">
        <v>0</v>
      </c>
      <c r="Q94" s="58">
        <v>0</v>
      </c>
      <c r="R94" s="58">
        <v>0</v>
      </c>
      <c r="S94" s="58"/>
      <c r="T94" s="58"/>
      <c r="U94" s="58">
        <v>0</v>
      </c>
      <c r="V94" s="58">
        <v>0</v>
      </c>
      <c r="W94" s="58">
        <v>0</v>
      </c>
      <c r="X94" s="58">
        <v>0</v>
      </c>
      <c r="Y94" s="58">
        <v>0</v>
      </c>
      <c r="Z94" s="58">
        <v>0</v>
      </c>
      <c r="AA94" s="58">
        <v>0</v>
      </c>
      <c r="AB94" s="58">
        <v>0</v>
      </c>
      <c r="AC94" s="58">
        <v>0</v>
      </c>
      <c r="AD94" s="58">
        <v>0</v>
      </c>
      <c r="AE94" s="58">
        <v>0</v>
      </c>
      <c r="AF94" s="58">
        <v>0</v>
      </c>
      <c r="AG94" s="58">
        <v>0</v>
      </c>
      <c r="AH94" s="58">
        <v>0</v>
      </c>
      <c r="AI94" s="58">
        <v>0</v>
      </c>
      <c r="AJ94" s="59">
        <v>0</v>
      </c>
      <c r="AL94" s="59">
        <v>0</v>
      </c>
      <c r="AM94" s="59">
        <v>0</v>
      </c>
    </row>
    <row r="95" spans="1:39" x14ac:dyDescent="0.3">
      <c r="A95" s="58" t="s">
        <v>91</v>
      </c>
      <c r="B95" s="58" t="s">
        <v>360</v>
      </c>
      <c r="C95" s="58">
        <v>0</v>
      </c>
      <c r="D95" s="58">
        <v>0</v>
      </c>
      <c r="E95" s="58">
        <v>0</v>
      </c>
      <c r="F95" s="58">
        <v>0</v>
      </c>
      <c r="G95" s="58"/>
      <c r="H95" s="58">
        <v>0</v>
      </c>
      <c r="I95" s="58">
        <v>0</v>
      </c>
      <c r="J95" s="58">
        <v>0</v>
      </c>
      <c r="K95" s="58">
        <v>0</v>
      </c>
      <c r="L95" s="58">
        <v>0</v>
      </c>
      <c r="M95" s="58">
        <v>223</v>
      </c>
      <c r="N95" s="58">
        <v>0</v>
      </c>
      <c r="O95" s="58">
        <v>0</v>
      </c>
      <c r="P95" s="58">
        <v>324</v>
      </c>
      <c r="Q95" s="58">
        <v>0</v>
      </c>
      <c r="R95" s="58">
        <v>0</v>
      </c>
      <c r="S95" s="58"/>
      <c r="T95" s="58"/>
      <c r="U95" s="58">
        <v>0</v>
      </c>
      <c r="V95" s="58">
        <v>0</v>
      </c>
      <c r="W95" s="58">
        <v>0</v>
      </c>
      <c r="X95" s="58">
        <v>0</v>
      </c>
      <c r="Y95" s="58">
        <v>0</v>
      </c>
      <c r="Z95" s="58">
        <v>0</v>
      </c>
      <c r="AA95" s="58">
        <v>0</v>
      </c>
      <c r="AB95" s="58">
        <v>0</v>
      </c>
      <c r="AC95" s="58">
        <v>0</v>
      </c>
      <c r="AD95" s="58">
        <v>0</v>
      </c>
      <c r="AE95" s="58">
        <v>0</v>
      </c>
      <c r="AF95" s="58">
        <v>0</v>
      </c>
      <c r="AG95" s="58">
        <v>0</v>
      </c>
      <c r="AH95" s="58">
        <v>0</v>
      </c>
      <c r="AI95" s="58">
        <v>0</v>
      </c>
      <c r="AJ95" s="59">
        <v>0</v>
      </c>
      <c r="AL95" s="59">
        <v>0</v>
      </c>
      <c r="AM95" s="59">
        <v>262</v>
      </c>
    </row>
    <row r="96" spans="1:39" x14ac:dyDescent="0.3">
      <c r="A96" s="58" t="s">
        <v>601</v>
      </c>
      <c r="B96" s="58" t="s">
        <v>360</v>
      </c>
      <c r="C96" s="58">
        <v>0</v>
      </c>
      <c r="D96" s="58">
        <v>0</v>
      </c>
      <c r="E96" s="58">
        <v>0</v>
      </c>
      <c r="F96" s="58">
        <v>0</v>
      </c>
      <c r="G96" s="58"/>
      <c r="H96" s="58">
        <v>0</v>
      </c>
      <c r="I96" s="58">
        <v>0</v>
      </c>
      <c r="J96" s="58">
        <v>0</v>
      </c>
      <c r="K96" s="58">
        <v>0</v>
      </c>
      <c r="L96" s="58">
        <v>0</v>
      </c>
      <c r="M96" s="58">
        <v>0</v>
      </c>
      <c r="N96" s="58">
        <v>0</v>
      </c>
      <c r="O96" s="58">
        <v>0</v>
      </c>
      <c r="P96" s="58">
        <v>0</v>
      </c>
      <c r="Q96" s="58">
        <v>0</v>
      </c>
      <c r="R96" s="58">
        <v>0</v>
      </c>
      <c r="S96" s="58"/>
      <c r="T96" s="58"/>
      <c r="U96" s="58">
        <v>0</v>
      </c>
      <c r="V96" s="58">
        <v>0</v>
      </c>
      <c r="W96" s="58">
        <v>0</v>
      </c>
      <c r="X96" s="58">
        <v>0</v>
      </c>
      <c r="Y96" s="58">
        <v>0</v>
      </c>
      <c r="Z96" s="58">
        <v>0</v>
      </c>
      <c r="AA96" s="58">
        <v>0</v>
      </c>
      <c r="AB96" s="58">
        <v>0</v>
      </c>
      <c r="AC96" s="58">
        <v>0</v>
      </c>
      <c r="AD96" s="58">
        <v>0</v>
      </c>
      <c r="AE96" s="58">
        <v>0</v>
      </c>
      <c r="AF96" s="58">
        <v>0</v>
      </c>
      <c r="AG96" s="58">
        <v>0</v>
      </c>
      <c r="AH96" s="58">
        <v>0</v>
      </c>
      <c r="AI96" s="58">
        <v>0</v>
      </c>
      <c r="AJ96" s="59">
        <v>0</v>
      </c>
      <c r="AL96" s="59">
        <v>13</v>
      </c>
      <c r="AM96" s="59">
        <v>0</v>
      </c>
    </row>
    <row r="97" spans="1:39" x14ac:dyDescent="0.3">
      <c r="A97" s="58" t="s">
        <v>602</v>
      </c>
      <c r="B97" s="58" t="s">
        <v>360</v>
      </c>
      <c r="C97" s="58">
        <v>0</v>
      </c>
      <c r="D97" s="58">
        <v>0</v>
      </c>
      <c r="E97" s="58">
        <v>0</v>
      </c>
      <c r="F97" s="58">
        <v>0</v>
      </c>
      <c r="G97" s="58"/>
      <c r="H97" s="58">
        <v>0</v>
      </c>
      <c r="I97" s="58">
        <v>0</v>
      </c>
      <c r="J97" s="58">
        <v>660</v>
      </c>
      <c r="K97" s="58">
        <v>0</v>
      </c>
      <c r="L97" s="58">
        <v>0</v>
      </c>
      <c r="M97" s="58">
        <v>0</v>
      </c>
      <c r="N97" s="58">
        <v>0</v>
      </c>
      <c r="O97" s="58">
        <v>0</v>
      </c>
      <c r="P97" s="58">
        <v>0</v>
      </c>
      <c r="Q97" s="58">
        <v>0</v>
      </c>
      <c r="R97" s="58">
        <v>0</v>
      </c>
      <c r="S97" s="58"/>
      <c r="T97" s="58"/>
      <c r="U97" s="58">
        <v>0</v>
      </c>
      <c r="V97" s="58">
        <v>0</v>
      </c>
      <c r="W97" s="58">
        <v>0</v>
      </c>
      <c r="X97" s="58">
        <v>0</v>
      </c>
      <c r="Y97" s="58">
        <v>0</v>
      </c>
      <c r="Z97" s="58">
        <v>0</v>
      </c>
      <c r="AA97" s="58">
        <v>0</v>
      </c>
      <c r="AB97" s="58">
        <v>0</v>
      </c>
      <c r="AC97" s="58">
        <v>0</v>
      </c>
      <c r="AD97" s="58">
        <v>0</v>
      </c>
      <c r="AE97" s="58">
        <v>0</v>
      </c>
      <c r="AF97" s="58">
        <v>0</v>
      </c>
      <c r="AG97" s="58">
        <v>0</v>
      </c>
      <c r="AH97" s="58">
        <v>0</v>
      </c>
      <c r="AI97" s="58">
        <v>0</v>
      </c>
      <c r="AJ97" s="59">
        <v>0</v>
      </c>
      <c r="AL97" s="59">
        <v>0</v>
      </c>
      <c r="AM97" s="59">
        <v>0</v>
      </c>
    </row>
    <row r="98" spans="1:39" x14ac:dyDescent="0.3">
      <c r="A98" s="58" t="s">
        <v>603</v>
      </c>
      <c r="B98" s="58" t="s">
        <v>360</v>
      </c>
      <c r="C98" s="58">
        <v>0</v>
      </c>
      <c r="D98" s="58">
        <v>0</v>
      </c>
      <c r="E98" s="58">
        <v>0</v>
      </c>
      <c r="F98" s="58">
        <v>0</v>
      </c>
      <c r="G98" s="58"/>
      <c r="H98" s="58">
        <v>0</v>
      </c>
      <c r="I98" s="58">
        <v>0</v>
      </c>
      <c r="J98" s="58">
        <v>0</v>
      </c>
      <c r="K98" s="58">
        <v>0</v>
      </c>
      <c r="L98" s="58">
        <v>0</v>
      </c>
      <c r="M98" s="58">
        <v>0</v>
      </c>
      <c r="N98" s="58">
        <v>0</v>
      </c>
      <c r="O98" s="58">
        <v>0</v>
      </c>
      <c r="P98" s="58">
        <v>0</v>
      </c>
      <c r="Q98" s="58">
        <v>0</v>
      </c>
      <c r="R98" s="58">
        <v>0</v>
      </c>
      <c r="S98" s="58"/>
      <c r="T98" s="58"/>
      <c r="U98" s="58">
        <v>0</v>
      </c>
      <c r="V98" s="58">
        <v>0</v>
      </c>
      <c r="W98" s="58">
        <v>0</v>
      </c>
      <c r="X98" s="58">
        <v>0</v>
      </c>
      <c r="Y98" s="58">
        <v>0</v>
      </c>
      <c r="Z98" s="58">
        <v>0</v>
      </c>
      <c r="AA98" s="58">
        <v>0</v>
      </c>
      <c r="AB98" s="58">
        <v>0</v>
      </c>
      <c r="AC98" s="58">
        <v>0</v>
      </c>
      <c r="AD98" s="58">
        <v>0</v>
      </c>
      <c r="AE98" s="58">
        <v>0</v>
      </c>
      <c r="AF98" s="58">
        <v>0</v>
      </c>
      <c r="AG98" s="58">
        <v>0</v>
      </c>
      <c r="AH98" s="58">
        <v>0</v>
      </c>
      <c r="AI98" s="58">
        <v>0</v>
      </c>
      <c r="AJ98" s="59">
        <v>0</v>
      </c>
      <c r="AL98" s="59">
        <v>0</v>
      </c>
      <c r="AM98" s="59">
        <v>0</v>
      </c>
    </row>
    <row r="99" spans="1:39" x14ac:dyDescent="0.3">
      <c r="A99" s="58" t="s">
        <v>604</v>
      </c>
      <c r="B99" s="58" t="s">
        <v>360</v>
      </c>
      <c r="C99" s="58">
        <v>953</v>
      </c>
      <c r="D99" s="58">
        <v>1324</v>
      </c>
      <c r="E99" s="58">
        <v>0</v>
      </c>
      <c r="F99" s="58">
        <v>200</v>
      </c>
      <c r="G99" s="58"/>
      <c r="H99" s="58">
        <v>1225</v>
      </c>
      <c r="I99" s="58">
        <v>497</v>
      </c>
      <c r="J99" s="58">
        <v>155</v>
      </c>
      <c r="K99" s="58">
        <v>1805</v>
      </c>
      <c r="L99" s="58">
        <v>6533</v>
      </c>
      <c r="M99" s="58">
        <v>20565</v>
      </c>
      <c r="N99" s="58">
        <v>0</v>
      </c>
      <c r="O99" s="58">
        <v>454</v>
      </c>
      <c r="P99" s="58">
        <v>138</v>
      </c>
      <c r="Q99" s="58">
        <v>5984</v>
      </c>
      <c r="R99" s="58">
        <v>0</v>
      </c>
      <c r="S99" s="58"/>
      <c r="T99" s="58"/>
      <c r="U99" s="58">
        <v>150</v>
      </c>
      <c r="V99" s="58">
        <v>3770</v>
      </c>
      <c r="W99" s="58">
        <v>7759</v>
      </c>
      <c r="X99" s="58">
        <v>776</v>
      </c>
      <c r="Y99" s="58">
        <v>0</v>
      </c>
      <c r="Z99" s="58">
        <v>173</v>
      </c>
      <c r="AA99" s="58">
        <v>158</v>
      </c>
      <c r="AB99" s="58">
        <v>3745</v>
      </c>
      <c r="AC99" s="58">
        <v>0</v>
      </c>
      <c r="AD99" s="58">
        <v>889</v>
      </c>
      <c r="AE99" s="58">
        <v>0</v>
      </c>
      <c r="AF99" s="58">
        <v>0</v>
      </c>
      <c r="AG99" s="58">
        <v>0</v>
      </c>
      <c r="AH99" s="58">
        <v>0</v>
      </c>
      <c r="AI99" s="58">
        <v>265</v>
      </c>
      <c r="AJ99" s="59">
        <v>0</v>
      </c>
      <c r="AL99" s="59">
        <v>0</v>
      </c>
      <c r="AM99" s="59">
        <v>7441</v>
      </c>
    </row>
    <row r="103" spans="1:39" ht="14.5" x14ac:dyDescent="0.35">
      <c r="A103" s="60" t="s">
        <v>606</v>
      </c>
      <c r="B103" s="60"/>
    </row>
    <row r="104" spans="1:39" ht="14.5" x14ac:dyDescent="0.35">
      <c r="A104" s="60" t="s">
        <v>607</v>
      </c>
      <c r="B104"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6" sqref="A6"/>
    </sheetView>
  </sheetViews>
  <sheetFormatPr defaultRowHeight="14" x14ac:dyDescent="0.3"/>
  <cols>
    <col min="1" max="1" width="25.58203125" customWidth="1"/>
    <col min="2" max="2" width="15.58203125" customWidth="1"/>
  </cols>
  <sheetData>
    <row r="1" spans="1:8" s="37" customFormat="1" x14ac:dyDescent="0.3">
      <c r="A1" s="38" t="s">
        <v>29</v>
      </c>
    </row>
    <row r="2" spans="1:8" s="39" customFormat="1" x14ac:dyDescent="0.3">
      <c r="A2" s="39" t="s">
        <v>30</v>
      </c>
      <c r="B2" s="39" t="s">
        <v>31</v>
      </c>
      <c r="C2" s="39" t="s">
        <v>25</v>
      </c>
    </row>
    <row r="3" spans="1:8" x14ac:dyDescent="0.3">
      <c r="A3" s="23" t="s">
        <v>32</v>
      </c>
      <c r="B3" t="s">
        <v>33</v>
      </c>
      <c r="C3" t="s">
        <v>34</v>
      </c>
    </row>
    <row r="4" spans="1:8" x14ac:dyDescent="0.3">
      <c r="A4" s="23" t="s">
        <v>35</v>
      </c>
      <c r="B4" t="s">
        <v>33</v>
      </c>
      <c r="C4" t="s">
        <v>36</v>
      </c>
    </row>
    <row r="5" spans="1:8" x14ac:dyDescent="0.3">
      <c r="A5" s="23" t="s">
        <v>37</v>
      </c>
      <c r="B5" t="s">
        <v>33</v>
      </c>
      <c r="C5" t="s">
        <v>38</v>
      </c>
    </row>
    <row r="6" spans="1:8" x14ac:dyDescent="0.3">
      <c r="A6" s="23" t="s">
        <v>39</v>
      </c>
      <c r="B6" t="s">
        <v>40</v>
      </c>
      <c r="C6" t="s">
        <v>41</v>
      </c>
    </row>
    <row r="7" spans="1:8" x14ac:dyDescent="0.3">
      <c r="C7" s="36" t="s">
        <v>42</v>
      </c>
      <c r="D7" s="33"/>
      <c r="E7" s="33"/>
      <c r="F7" s="33"/>
      <c r="G7" s="33"/>
      <c r="H7" s="33"/>
    </row>
    <row r="8" spans="1:8" x14ac:dyDescent="0.3">
      <c r="C8" s="35" t="s">
        <v>43</v>
      </c>
      <c r="D8" s="33"/>
      <c r="E8" s="33"/>
      <c r="F8" s="33"/>
      <c r="G8" s="33"/>
      <c r="H8" s="33"/>
    </row>
    <row r="9" spans="1:8" x14ac:dyDescent="0.3">
      <c r="C9" s="34" t="s">
        <v>44</v>
      </c>
      <c r="D9" s="33"/>
      <c r="E9" s="33"/>
      <c r="F9" s="33"/>
      <c r="G9" s="33"/>
      <c r="H9" s="33"/>
    </row>
    <row r="10" spans="1:8" x14ac:dyDescent="0.3">
      <c r="A10" s="23" t="s">
        <v>45</v>
      </c>
      <c r="B10" t="s">
        <v>33</v>
      </c>
      <c r="C10" t="s">
        <v>46</v>
      </c>
    </row>
    <row r="11" spans="1:8" x14ac:dyDescent="0.3">
      <c r="A11" s="23" t="s">
        <v>47</v>
      </c>
      <c r="B11" t="s">
        <v>40</v>
      </c>
      <c r="C11" t="s">
        <v>48</v>
      </c>
    </row>
    <row r="12" spans="1:8" x14ac:dyDescent="0.3">
      <c r="A12" s="23" t="s">
        <v>49</v>
      </c>
      <c r="B12" t="s">
        <v>40</v>
      </c>
      <c r="C12" t="s">
        <v>50</v>
      </c>
    </row>
    <row r="13" spans="1:8" x14ac:dyDescent="0.3">
      <c r="A13" s="23" t="s">
        <v>51</v>
      </c>
      <c r="B13" t="s">
        <v>40</v>
      </c>
      <c r="C13" t="s">
        <v>52</v>
      </c>
    </row>
    <row r="14" spans="1:8" x14ac:dyDescent="0.3">
      <c r="A14" s="23" t="s">
        <v>53</v>
      </c>
      <c r="B14" t="s">
        <v>40</v>
      </c>
      <c r="C14" t="s">
        <v>54</v>
      </c>
    </row>
    <row r="15" spans="1:8" x14ac:dyDescent="0.3">
      <c r="A15" s="23"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election activeCell="C19" sqref="C19"/>
    </sheetView>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4" customFormat="1" x14ac:dyDescent="0.3">
      <c r="A1" s="24" t="s">
        <v>70</v>
      </c>
      <c r="B1" s="24" t="s">
        <v>71</v>
      </c>
      <c r="C1" s="24" t="s">
        <v>72</v>
      </c>
      <c r="D1" s="24" t="s">
        <v>73</v>
      </c>
      <c r="E1" s="24" t="s">
        <v>74</v>
      </c>
      <c r="F1" s="24" t="s">
        <v>75</v>
      </c>
      <c r="G1" s="24"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5"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4" customFormat="1" x14ac:dyDescent="0.3">
      <c r="A1" s="24" t="s">
        <v>81</v>
      </c>
      <c r="B1" s="24" t="s">
        <v>71</v>
      </c>
      <c r="C1" s="24" t="s">
        <v>72</v>
      </c>
      <c r="D1" s="24" t="s">
        <v>73</v>
      </c>
      <c r="E1" s="24" t="s">
        <v>74</v>
      </c>
      <c r="F1" s="24" t="s">
        <v>75</v>
      </c>
      <c r="G1" s="24" t="s">
        <v>72</v>
      </c>
      <c r="H1" s="24" t="s">
        <v>73</v>
      </c>
      <c r="I1" s="24" t="s">
        <v>74</v>
      </c>
      <c r="J1" s="24" t="s">
        <v>75</v>
      </c>
      <c r="K1" s="24"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3">
        <v>2020</v>
      </c>
      <c r="B16" s="33"/>
      <c r="C16" s="33"/>
      <c r="D16" s="33"/>
      <c r="E16" s="33"/>
      <c r="F16" s="33"/>
      <c r="G16" s="33"/>
      <c r="H16" s="33"/>
      <c r="I16" s="33"/>
      <c r="J16" s="33"/>
      <c r="K16" s="33"/>
    </row>
    <row r="17" spans="1:11" x14ac:dyDescent="0.3">
      <c r="A17" s="33" t="s">
        <v>82</v>
      </c>
      <c r="B17" s="33" t="s">
        <v>78</v>
      </c>
      <c r="C17" s="33" t="s">
        <v>83</v>
      </c>
      <c r="D17" s="33"/>
      <c r="E17" s="33">
        <v>0.47</v>
      </c>
      <c r="F17" s="33"/>
      <c r="G17" s="33" t="s">
        <v>84</v>
      </c>
      <c r="H17" s="33"/>
      <c r="I17" s="33">
        <f>ROUND(E17*3.6,2)</f>
        <v>1.69</v>
      </c>
      <c r="J17" s="33"/>
      <c r="K17" s="33"/>
    </row>
    <row r="18" spans="1:11" x14ac:dyDescent="0.3">
      <c r="A18" s="33" t="s">
        <v>86</v>
      </c>
      <c r="B18" s="33" t="s">
        <v>87</v>
      </c>
      <c r="C18" s="33" t="s">
        <v>83</v>
      </c>
      <c r="D18" s="33"/>
      <c r="E18" s="33">
        <v>1.1000000000000001</v>
      </c>
      <c r="F18" s="33"/>
      <c r="G18" s="33" t="s">
        <v>84</v>
      </c>
      <c r="H18" s="33"/>
      <c r="I18" s="33">
        <f>ROUND(E18*3.6,2)</f>
        <v>3.96</v>
      </c>
      <c r="J18" s="33"/>
      <c r="K18" s="33"/>
    </row>
    <row r="19" spans="1:11" x14ac:dyDescent="0.3">
      <c r="A19" s="33" t="s">
        <v>88</v>
      </c>
      <c r="B19" s="33" t="s">
        <v>87</v>
      </c>
      <c r="C19" s="33" t="s">
        <v>83</v>
      </c>
      <c r="D19" s="33"/>
      <c r="E19" s="33">
        <v>2.2999999999999998</v>
      </c>
      <c r="F19" s="33"/>
      <c r="G19" s="33" t="s">
        <v>84</v>
      </c>
      <c r="H19" s="33"/>
      <c r="I19" s="33">
        <f t="shared" ref="I19:I25" si="1">ROUND(E19*3.6,2)</f>
        <v>8.2799999999999994</v>
      </c>
      <c r="J19" s="33"/>
      <c r="K19" s="33"/>
    </row>
    <row r="20" spans="1:11" x14ac:dyDescent="0.3">
      <c r="A20" s="33" t="s">
        <v>89</v>
      </c>
      <c r="B20" s="33" t="s">
        <v>87</v>
      </c>
      <c r="C20" s="33" t="s">
        <v>83</v>
      </c>
      <c r="D20" s="33"/>
      <c r="E20" s="33">
        <v>3</v>
      </c>
      <c r="F20" s="33"/>
      <c r="G20" s="33" t="s">
        <v>84</v>
      </c>
      <c r="H20" s="33"/>
      <c r="I20" s="33">
        <f t="shared" si="1"/>
        <v>10.8</v>
      </c>
      <c r="J20" s="33"/>
      <c r="K20" s="33"/>
    </row>
    <row r="21" spans="1:11" x14ac:dyDescent="0.3">
      <c r="A21" s="33" t="s">
        <v>90</v>
      </c>
      <c r="B21" s="33" t="s">
        <v>78</v>
      </c>
      <c r="C21" s="33" t="s">
        <v>83</v>
      </c>
      <c r="D21" s="33"/>
      <c r="E21" s="33">
        <v>5.6</v>
      </c>
      <c r="F21" s="33"/>
      <c r="G21" s="33" t="s">
        <v>84</v>
      </c>
      <c r="H21" s="33"/>
      <c r="I21" s="33">
        <f t="shared" si="1"/>
        <v>20.16</v>
      </c>
      <c r="J21" s="33"/>
      <c r="K21" s="33"/>
    </row>
    <row r="22" spans="1:11" x14ac:dyDescent="0.3">
      <c r="A22" s="33" t="s">
        <v>91</v>
      </c>
      <c r="B22" s="33" t="s">
        <v>87</v>
      </c>
      <c r="C22" s="33" t="s">
        <v>83</v>
      </c>
      <c r="D22" s="33"/>
      <c r="E22" s="33">
        <v>12.9</v>
      </c>
      <c r="F22" s="33"/>
      <c r="G22" s="33" t="s">
        <v>84</v>
      </c>
      <c r="H22" s="33"/>
      <c r="I22" s="33">
        <f t="shared" si="1"/>
        <v>46.44</v>
      </c>
      <c r="J22" s="33"/>
      <c r="K22" s="33"/>
    </row>
    <row r="23" spans="1:11" x14ac:dyDescent="0.3">
      <c r="A23" s="33" t="s">
        <v>92</v>
      </c>
      <c r="B23" s="33" t="s">
        <v>87</v>
      </c>
      <c r="C23" s="33" t="s">
        <v>83</v>
      </c>
      <c r="D23" s="33"/>
      <c r="E23" s="33">
        <v>10.6</v>
      </c>
      <c r="F23" s="33"/>
      <c r="G23" s="33" t="s">
        <v>84</v>
      </c>
      <c r="H23" s="33"/>
      <c r="I23" s="33">
        <f t="shared" si="1"/>
        <v>38.159999999999997</v>
      </c>
      <c r="J23" s="33"/>
      <c r="K23" s="33"/>
    </row>
    <row r="24" spans="1:11" x14ac:dyDescent="0.3">
      <c r="A24" s="33" t="s">
        <v>93</v>
      </c>
      <c r="B24" s="33" t="s">
        <v>78</v>
      </c>
      <c r="C24" s="33" t="s">
        <v>83</v>
      </c>
      <c r="D24" s="33"/>
      <c r="E24" s="33">
        <f>1.1*E21</f>
        <v>6.16</v>
      </c>
      <c r="F24" s="33"/>
      <c r="G24" s="33" t="s">
        <v>84</v>
      </c>
      <c r="H24" s="33"/>
      <c r="I24" s="33">
        <f t="shared" si="1"/>
        <v>22.18</v>
      </c>
      <c r="J24" s="33"/>
      <c r="K24" s="33"/>
    </row>
    <row r="25" spans="1:11" x14ac:dyDescent="0.3">
      <c r="A25" s="33" t="s">
        <v>95</v>
      </c>
      <c r="B25" s="33" t="s">
        <v>78</v>
      </c>
      <c r="C25" s="33" t="s">
        <v>83</v>
      </c>
      <c r="D25" s="33"/>
      <c r="E25" s="33">
        <f>1.5*E21</f>
        <v>8.3999999999999986</v>
      </c>
      <c r="F25" s="33"/>
      <c r="G25" s="33" t="s">
        <v>84</v>
      </c>
      <c r="H25" s="33"/>
      <c r="I25" s="33">
        <f t="shared" si="1"/>
        <v>30.24</v>
      </c>
      <c r="J25" s="33"/>
      <c r="K25" s="33"/>
    </row>
    <row r="26" spans="1:11" x14ac:dyDescent="0.3">
      <c r="A26" s="33" t="s">
        <v>97</v>
      </c>
      <c r="B26" s="33" t="s">
        <v>78</v>
      </c>
      <c r="C26" s="33" t="s">
        <v>83</v>
      </c>
      <c r="D26" s="33">
        <f>ROUND(H26/3.6,2)</f>
        <v>0</v>
      </c>
      <c r="E26" s="33"/>
      <c r="F26" s="33">
        <f>ROUND(J26/3.6,2)</f>
        <v>4.17</v>
      </c>
      <c r="G26" s="33" t="s">
        <v>84</v>
      </c>
      <c r="H26" s="33">
        <v>0</v>
      </c>
      <c r="I26" s="33">
        <f>AVERAGE(H26,J26)</f>
        <v>7.5</v>
      </c>
      <c r="J26" s="33">
        <v>15</v>
      </c>
      <c r="K26" s="33"/>
    </row>
    <row r="27" spans="1:11" x14ac:dyDescent="0.3">
      <c r="A27" s="33" t="s">
        <v>99</v>
      </c>
      <c r="B27" s="33" t="s">
        <v>78</v>
      </c>
      <c r="C27" s="33" t="s">
        <v>83</v>
      </c>
      <c r="D27" s="33">
        <f>ROUND(H27/3.6,2)</f>
        <v>4.17</v>
      </c>
      <c r="E27" s="33"/>
      <c r="F27" s="33">
        <f>ROUND(J27/3.6,2)</f>
        <v>8.33</v>
      </c>
      <c r="G27" s="33" t="s">
        <v>84</v>
      </c>
      <c r="H27" s="33">
        <v>15</v>
      </c>
      <c r="I27" s="33">
        <f t="shared" ref="I27:I30" si="2">AVERAGE(H27,J27)</f>
        <v>22.5</v>
      </c>
      <c r="J27" s="33">
        <v>30</v>
      </c>
      <c r="K27" s="33"/>
    </row>
    <row r="28" spans="1:11" x14ac:dyDescent="0.3">
      <c r="A28" s="33" t="s">
        <v>100</v>
      </c>
      <c r="B28" s="33" t="s">
        <v>78</v>
      </c>
      <c r="C28" s="33" t="s">
        <v>83</v>
      </c>
      <c r="D28" s="33">
        <f>ROUND(H28/3.6,2)</f>
        <v>8.33</v>
      </c>
      <c r="E28" s="33"/>
      <c r="F28" s="33">
        <f>ROUND(J28/3.6,2)</f>
        <v>12.5</v>
      </c>
      <c r="G28" s="33" t="s">
        <v>84</v>
      </c>
      <c r="H28" s="33">
        <v>30</v>
      </c>
      <c r="I28" s="33">
        <f t="shared" si="2"/>
        <v>37.5</v>
      </c>
      <c r="J28" s="33">
        <v>45</v>
      </c>
      <c r="K28" s="33"/>
    </row>
    <row r="29" spans="1:11" x14ac:dyDescent="0.3">
      <c r="A29" s="33" t="s">
        <v>102</v>
      </c>
      <c r="B29" s="33" t="s">
        <v>78</v>
      </c>
      <c r="C29" s="33" t="s">
        <v>83</v>
      </c>
      <c r="D29" s="33">
        <f>ROUND(H29/3.6,2)</f>
        <v>10</v>
      </c>
      <c r="E29" s="33"/>
      <c r="F29" s="33">
        <f>ROUND(J29/3.6,2)</f>
        <v>28.33</v>
      </c>
      <c r="G29" s="33" t="s">
        <v>84</v>
      </c>
      <c r="H29" s="33">
        <v>36</v>
      </c>
      <c r="I29" s="33">
        <f t="shared" si="2"/>
        <v>69</v>
      </c>
      <c r="J29" s="33">
        <v>102</v>
      </c>
      <c r="K29" s="33"/>
    </row>
    <row r="30" spans="1:11" x14ac:dyDescent="0.3">
      <c r="A30" s="33" t="s">
        <v>104</v>
      </c>
      <c r="B30" s="33" t="s">
        <v>78</v>
      </c>
      <c r="C30" s="33" t="s">
        <v>83</v>
      </c>
      <c r="D30" s="33">
        <f>ROUND(H30/3.6,2)</f>
        <v>11.11</v>
      </c>
      <c r="E30" s="33"/>
      <c r="F30" s="33">
        <f>ROUND(J30/3.6,2)</f>
        <v>34.72</v>
      </c>
      <c r="G30" s="33" t="s">
        <v>84</v>
      </c>
      <c r="H30" s="33">
        <v>40</v>
      </c>
      <c r="I30" s="33">
        <f t="shared" si="2"/>
        <v>82.5</v>
      </c>
      <c r="J30" s="33">
        <v>125</v>
      </c>
      <c r="K30"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851-D12C-45E6-B678-140A0114FC2D}">
  <sheetPr>
    <tabColor theme="8" tint="0.79998168889431442"/>
  </sheetPr>
  <dimension ref="A1:D4"/>
  <sheetViews>
    <sheetView workbookViewId="0">
      <selection activeCell="A5" sqref="A5"/>
    </sheetView>
  </sheetViews>
  <sheetFormatPr defaultRowHeight="14" x14ac:dyDescent="0.3"/>
  <cols>
    <col min="1" max="1" width="20.08203125" customWidth="1"/>
  </cols>
  <sheetData>
    <row r="1" spans="1:4" x14ac:dyDescent="0.3">
      <c r="A1" t="str">
        <f>Wind_potential!B2</f>
        <v>traderesTechnology</v>
      </c>
      <c r="B1" t="str">
        <f>Wind_potential!C2</f>
        <v>Unit</v>
      </c>
      <c r="C1" t="str">
        <f>Wind_potential!N2</f>
        <v>DE</v>
      </c>
      <c r="D1" t="str">
        <f>Wind_potential!W2</f>
        <v>NL</v>
      </c>
    </row>
    <row r="2" spans="1:4" x14ac:dyDescent="0.3">
      <c r="A2" t="str">
        <f>Wind_potential!B3</f>
        <v>WTG_onshore</v>
      </c>
      <c r="B2" t="str">
        <f>Wind_potential!C3</f>
        <v>GW</v>
      </c>
      <c r="C2">
        <f>Wind_potential!N3</f>
        <v>42.191125290999999</v>
      </c>
      <c r="D2">
        <f>Wind_potential!W3</f>
        <v>43.336125919000004</v>
      </c>
    </row>
    <row r="3" spans="1:4" x14ac:dyDescent="0.3">
      <c r="A3" t="str">
        <f>Wind_potential!B4</f>
        <v>WTG_offshore</v>
      </c>
      <c r="B3" t="str">
        <f>B2</f>
        <v>GW</v>
      </c>
      <c r="C3">
        <f>Wind_potential!N4</f>
        <v>27.84</v>
      </c>
      <c r="D3">
        <f>Wind_potential!W4</f>
        <v>47.744999999999997</v>
      </c>
    </row>
    <row r="4" spans="1:4" x14ac:dyDescent="0.3">
      <c r="A4" t="str">
        <f>Solar_potential!B3</f>
        <v>PV_utility_systems</v>
      </c>
      <c r="B4" t="str">
        <f>Solar_potential!C3</f>
        <v>GW_e</v>
      </c>
      <c r="C4">
        <f>Solar_potential!O3</f>
        <v>796.91069999999979</v>
      </c>
      <c r="D4">
        <f>Solar_potential!X3</f>
        <v>96.145200000000003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Q14"/>
  <sheetViews>
    <sheetView workbookViewId="0">
      <pane xSplit="3" ySplit="2" topLeftCell="D3" activePane="bottomRight" state="frozen"/>
      <selection pane="topRight" activeCell="D1" sqref="D1"/>
      <selection pane="bottomLeft" activeCell="A3" sqref="A3"/>
      <selection pane="bottomRight" activeCell="F14" sqref="F14"/>
    </sheetView>
  </sheetViews>
  <sheetFormatPr defaultRowHeight="14" x14ac:dyDescent="0.3"/>
  <cols>
    <col min="1" max="1" width="15.58203125" customWidth="1"/>
  </cols>
  <sheetData>
    <row r="1" spans="1:43" s="24" customFormat="1" ht="14.5" x14ac:dyDescent="0.35">
      <c r="A1" s="24" t="s">
        <v>380</v>
      </c>
      <c r="B1" s="24" t="s">
        <v>381</v>
      </c>
      <c r="C1" s="24" t="s">
        <v>392</v>
      </c>
      <c r="D1" s="24" t="s">
        <v>401</v>
      </c>
      <c r="F1" s="24" t="s">
        <v>72</v>
      </c>
      <c r="G1" s="24" t="s">
        <v>382</v>
      </c>
      <c r="H1" s="24" t="s">
        <v>383</v>
      </c>
      <c r="I1" s="24" t="s">
        <v>384</v>
      </c>
      <c r="J1" s="24" t="s">
        <v>385</v>
      </c>
      <c r="K1" s="24" t="s">
        <v>386</v>
      </c>
      <c r="L1" s="24" t="s">
        <v>387</v>
      </c>
      <c r="M1" s="24" t="s">
        <v>388</v>
      </c>
      <c r="N1" s="24" t="s">
        <v>389</v>
      </c>
      <c r="O1" s="24" t="s">
        <v>390</v>
      </c>
      <c r="P1" s="24" t="s">
        <v>391</v>
      </c>
      <c r="Q1" s="24" t="s">
        <v>393</v>
      </c>
      <c r="R1" s="24" t="s">
        <v>394</v>
      </c>
      <c r="S1" s="24" t="s">
        <v>395</v>
      </c>
      <c r="T1" s="24" t="s">
        <v>396</v>
      </c>
      <c r="U1" s="24" t="s">
        <v>397</v>
      </c>
      <c r="V1" s="24" t="s">
        <v>398</v>
      </c>
      <c r="W1" s="45" t="s">
        <v>399</v>
      </c>
      <c r="X1" s="24" t="s">
        <v>400</v>
      </c>
      <c r="Y1" s="24" t="s">
        <v>402</v>
      </c>
      <c r="Z1" s="24" t="s">
        <v>403</v>
      </c>
      <c r="AA1" s="24" t="s">
        <v>404</v>
      </c>
      <c r="AB1" s="24" t="s">
        <v>405</v>
      </c>
      <c r="AC1" s="24" t="s">
        <v>406</v>
      </c>
      <c r="AD1" s="24" t="s">
        <v>407</v>
      </c>
      <c r="AE1" s="24" t="s">
        <v>408</v>
      </c>
      <c r="AF1" s="24" t="s">
        <v>409</v>
      </c>
      <c r="AG1" s="24" t="s">
        <v>410</v>
      </c>
      <c r="AH1" s="24" t="s">
        <v>411</v>
      </c>
      <c r="AI1" s="24" t="s">
        <v>412</v>
      </c>
      <c r="AJ1" s="24" t="s">
        <v>413</v>
      </c>
      <c r="AK1" s="24" t="s">
        <v>414</v>
      </c>
      <c r="AL1" s="24" t="s">
        <v>415</v>
      </c>
      <c r="AM1" s="24" t="s">
        <v>416</v>
      </c>
      <c r="AN1" s="24" t="s">
        <v>417</v>
      </c>
      <c r="AO1" s="24" t="s">
        <v>418</v>
      </c>
      <c r="AQ1" s="52" t="s">
        <v>419</v>
      </c>
    </row>
    <row r="2" spans="1:43" s="41" customFormat="1" ht="14.5" x14ac:dyDescent="0.35">
      <c r="A2" s="24" t="s">
        <v>380</v>
      </c>
      <c r="B2" s="24" t="s">
        <v>381</v>
      </c>
      <c r="C2" s="41" t="s">
        <v>429</v>
      </c>
      <c r="D2" s="41" t="s">
        <v>436</v>
      </c>
      <c r="F2" s="24" t="s">
        <v>72</v>
      </c>
      <c r="G2" s="41" t="s">
        <v>420</v>
      </c>
      <c r="H2" s="41" t="s">
        <v>421</v>
      </c>
      <c r="I2" s="41" t="s">
        <v>422</v>
      </c>
      <c r="J2" s="41" t="s">
        <v>423</v>
      </c>
      <c r="L2" s="41" t="s">
        <v>424</v>
      </c>
      <c r="M2" s="41" t="s">
        <v>425</v>
      </c>
      <c r="N2" s="41" t="s">
        <v>426</v>
      </c>
      <c r="O2" s="41" t="s">
        <v>427</v>
      </c>
      <c r="P2" s="41" t="s">
        <v>428</v>
      </c>
      <c r="Q2" s="41" t="s">
        <v>430</v>
      </c>
      <c r="R2" s="41" t="s">
        <v>431</v>
      </c>
      <c r="S2" s="41" t="s">
        <v>432</v>
      </c>
      <c r="T2" s="41" t="s">
        <v>433</v>
      </c>
      <c r="U2" s="41" t="s">
        <v>434</v>
      </c>
      <c r="X2" s="41" t="s">
        <v>435</v>
      </c>
      <c r="Y2" s="41" t="s">
        <v>437</v>
      </c>
      <c r="Z2" s="41" t="s">
        <v>438</v>
      </c>
      <c r="AA2" s="41" t="s">
        <v>439</v>
      </c>
      <c r="AB2" s="41" t="s">
        <v>440</v>
      </c>
      <c r="AC2" s="41" t="s">
        <v>441</v>
      </c>
      <c r="AD2" s="41" t="s">
        <v>442</v>
      </c>
      <c r="AE2" s="41" t="s">
        <v>443</v>
      </c>
      <c r="AF2" s="41" t="s">
        <v>444</v>
      </c>
      <c r="AG2" s="41" t="s">
        <v>445</v>
      </c>
      <c r="AH2" s="41" t="s">
        <v>446</v>
      </c>
      <c r="AI2" s="41" t="s">
        <v>447</v>
      </c>
      <c r="AJ2" s="41" t="s">
        <v>448</v>
      </c>
      <c r="AK2" s="41" t="s">
        <v>449</v>
      </c>
      <c r="AL2" s="41" t="s">
        <v>450</v>
      </c>
      <c r="AM2" s="41" t="s">
        <v>451</v>
      </c>
      <c r="AN2" s="41" t="s">
        <v>452</v>
      </c>
      <c r="AO2" s="41" t="s">
        <v>453</v>
      </c>
      <c r="AQ2" s="53"/>
    </row>
    <row r="3" spans="1:43" ht="14.5" x14ac:dyDescent="0.35">
      <c r="A3" t="s">
        <v>612</v>
      </c>
      <c r="B3">
        <v>2019</v>
      </c>
      <c r="C3">
        <v>110</v>
      </c>
      <c r="D3">
        <v>49</v>
      </c>
      <c r="F3" t="s">
        <v>454</v>
      </c>
      <c r="G3">
        <v>7</v>
      </c>
      <c r="H3">
        <v>46</v>
      </c>
      <c r="I3">
        <v>7</v>
      </c>
      <c r="J3">
        <v>3</v>
      </c>
      <c r="L3">
        <v>57</v>
      </c>
      <c r="M3">
        <v>44</v>
      </c>
      <c r="N3">
        <v>9</v>
      </c>
      <c r="O3">
        <v>6</v>
      </c>
      <c r="P3">
        <v>260</v>
      </c>
      <c r="Q3">
        <v>7</v>
      </c>
      <c r="R3">
        <v>72</v>
      </c>
      <c r="S3">
        <v>18</v>
      </c>
      <c r="T3">
        <v>118</v>
      </c>
      <c r="U3">
        <v>7</v>
      </c>
      <c r="X3">
        <v>7</v>
      </c>
      <c r="Y3">
        <v>67</v>
      </c>
      <c r="Z3">
        <v>22</v>
      </c>
      <c r="AA3">
        <v>22</v>
      </c>
      <c r="AB3">
        <v>17</v>
      </c>
      <c r="AC3">
        <v>2</v>
      </c>
      <c r="AD3">
        <v>90</v>
      </c>
      <c r="AE3">
        <v>19</v>
      </c>
      <c r="AF3">
        <v>5</v>
      </c>
      <c r="AH3">
        <v>0</v>
      </c>
      <c r="AJ3">
        <v>1</v>
      </c>
      <c r="AK3">
        <v>4</v>
      </c>
      <c r="AL3">
        <v>11</v>
      </c>
      <c r="AO3">
        <v>160</v>
      </c>
      <c r="AQ3" s="42" t="s">
        <v>455</v>
      </c>
    </row>
    <row r="4" spans="1:43" ht="14.5" x14ac:dyDescent="0.35">
      <c r="A4" t="s">
        <v>612</v>
      </c>
      <c r="B4">
        <v>2020</v>
      </c>
      <c r="C4">
        <v>109</v>
      </c>
      <c r="D4">
        <v>49</v>
      </c>
      <c r="F4" t="s">
        <v>454</v>
      </c>
      <c r="G4">
        <v>7</v>
      </c>
      <c r="H4">
        <v>47</v>
      </c>
      <c r="I4">
        <v>6</v>
      </c>
      <c r="J4">
        <v>3</v>
      </c>
      <c r="L4">
        <v>50</v>
      </c>
      <c r="M4">
        <v>43</v>
      </c>
      <c r="N4">
        <v>8</v>
      </c>
      <c r="O4">
        <v>6</v>
      </c>
      <c r="P4">
        <v>259</v>
      </c>
      <c r="Q4">
        <v>7</v>
      </c>
      <c r="R4">
        <v>63</v>
      </c>
      <c r="S4">
        <v>18</v>
      </c>
      <c r="T4">
        <v>120</v>
      </c>
      <c r="U4">
        <v>7</v>
      </c>
      <c r="X4">
        <v>0</v>
      </c>
      <c r="Y4">
        <v>71</v>
      </c>
      <c r="Z4">
        <v>22</v>
      </c>
      <c r="AA4">
        <v>23</v>
      </c>
      <c r="AB4">
        <v>14</v>
      </c>
      <c r="AC4">
        <v>2</v>
      </c>
      <c r="AD4">
        <v>101</v>
      </c>
      <c r="AE4">
        <v>18</v>
      </c>
      <c r="AF4">
        <v>5</v>
      </c>
      <c r="AH4">
        <v>0</v>
      </c>
      <c r="AJ4">
        <v>1</v>
      </c>
      <c r="AK4">
        <v>3</v>
      </c>
      <c r="AL4">
        <v>11</v>
      </c>
      <c r="AO4">
        <v>157</v>
      </c>
      <c r="AQ4" s="42" t="s">
        <v>456</v>
      </c>
    </row>
    <row r="5" spans="1:43" ht="14.5" x14ac:dyDescent="0.35">
      <c r="A5" t="s">
        <v>612</v>
      </c>
      <c r="B5">
        <v>2030</v>
      </c>
      <c r="C5">
        <v>111</v>
      </c>
      <c r="D5">
        <v>49</v>
      </c>
      <c r="F5" t="s">
        <v>454</v>
      </c>
      <c r="G5">
        <v>8</v>
      </c>
      <c r="H5">
        <v>49</v>
      </c>
      <c r="I5">
        <v>6</v>
      </c>
      <c r="J5">
        <v>3</v>
      </c>
      <c r="L5">
        <v>45</v>
      </c>
      <c r="M5">
        <v>44</v>
      </c>
      <c r="N5">
        <v>8</v>
      </c>
      <c r="O5">
        <v>6</v>
      </c>
      <c r="P5">
        <v>259</v>
      </c>
      <c r="Q5">
        <v>8</v>
      </c>
      <c r="R5">
        <v>62</v>
      </c>
      <c r="S5">
        <v>18</v>
      </c>
      <c r="T5">
        <v>119</v>
      </c>
      <c r="U5">
        <v>8</v>
      </c>
      <c r="X5">
        <v>0</v>
      </c>
      <c r="Y5">
        <v>79</v>
      </c>
      <c r="Z5">
        <v>23</v>
      </c>
      <c r="AA5">
        <v>24</v>
      </c>
      <c r="AB5">
        <v>13</v>
      </c>
      <c r="AC5">
        <v>2</v>
      </c>
      <c r="AD5">
        <v>104</v>
      </c>
      <c r="AE5">
        <v>18</v>
      </c>
      <c r="AF5">
        <v>5</v>
      </c>
      <c r="AH5">
        <v>0</v>
      </c>
      <c r="AJ5">
        <v>1</v>
      </c>
      <c r="AK5">
        <v>4</v>
      </c>
      <c r="AL5">
        <v>11</v>
      </c>
      <c r="AO5">
        <v>159</v>
      </c>
      <c r="AQ5" s="42"/>
    </row>
    <row r="6" spans="1:43" ht="14.5" x14ac:dyDescent="0.35">
      <c r="A6" t="s">
        <v>612</v>
      </c>
      <c r="B6">
        <v>2040</v>
      </c>
      <c r="C6">
        <v>113</v>
      </c>
      <c r="D6">
        <v>49</v>
      </c>
      <c r="F6" t="s">
        <v>454</v>
      </c>
      <c r="G6">
        <v>8</v>
      </c>
      <c r="H6">
        <v>52</v>
      </c>
      <c r="I6">
        <v>6</v>
      </c>
      <c r="J6">
        <v>3</v>
      </c>
      <c r="L6">
        <v>44</v>
      </c>
      <c r="M6">
        <v>44</v>
      </c>
      <c r="N6">
        <v>8</v>
      </c>
      <c r="O6">
        <v>7</v>
      </c>
      <c r="P6">
        <v>259</v>
      </c>
      <c r="Q6">
        <v>8</v>
      </c>
      <c r="R6">
        <v>63</v>
      </c>
      <c r="S6">
        <v>18</v>
      </c>
      <c r="T6">
        <v>118</v>
      </c>
      <c r="U6">
        <v>8</v>
      </c>
      <c r="X6">
        <v>0</v>
      </c>
      <c r="Y6">
        <v>87</v>
      </c>
      <c r="Z6">
        <v>24</v>
      </c>
      <c r="AA6">
        <v>22</v>
      </c>
      <c r="AB6">
        <v>13</v>
      </c>
      <c r="AC6">
        <v>2</v>
      </c>
      <c r="AD6">
        <v>108</v>
      </c>
      <c r="AE6">
        <v>19</v>
      </c>
      <c r="AF6">
        <v>6</v>
      </c>
      <c r="AH6">
        <v>0</v>
      </c>
      <c r="AJ6">
        <v>1</v>
      </c>
      <c r="AK6">
        <v>4</v>
      </c>
      <c r="AL6">
        <v>11</v>
      </c>
      <c r="AO6">
        <v>160</v>
      </c>
      <c r="AQ6" s="42"/>
    </row>
    <row r="7" spans="1:43" ht="14.5" x14ac:dyDescent="0.35">
      <c r="A7" t="s">
        <v>612</v>
      </c>
      <c r="B7">
        <v>2050</v>
      </c>
      <c r="C7">
        <v>116</v>
      </c>
      <c r="D7">
        <v>49</v>
      </c>
      <c r="F7" t="s">
        <v>454</v>
      </c>
      <c r="G7">
        <v>9</v>
      </c>
      <c r="H7">
        <v>56</v>
      </c>
      <c r="I7">
        <v>6</v>
      </c>
      <c r="J7">
        <v>3</v>
      </c>
      <c r="L7">
        <v>43</v>
      </c>
      <c r="M7">
        <v>44</v>
      </c>
      <c r="N7">
        <v>8</v>
      </c>
      <c r="O7">
        <v>8</v>
      </c>
      <c r="P7">
        <v>258</v>
      </c>
      <c r="Q7">
        <v>8</v>
      </c>
      <c r="R7">
        <v>64</v>
      </c>
      <c r="S7">
        <v>18</v>
      </c>
      <c r="T7">
        <v>116</v>
      </c>
      <c r="U7">
        <v>9</v>
      </c>
      <c r="X7">
        <v>0</v>
      </c>
      <c r="Y7">
        <v>96</v>
      </c>
      <c r="Z7">
        <v>24</v>
      </c>
      <c r="AA7">
        <v>21</v>
      </c>
      <c r="AB7">
        <v>12</v>
      </c>
      <c r="AC7">
        <v>2</v>
      </c>
      <c r="AD7">
        <v>112</v>
      </c>
      <c r="AE7">
        <v>20</v>
      </c>
      <c r="AF7">
        <v>7</v>
      </c>
      <c r="AH7">
        <v>0</v>
      </c>
      <c r="AJ7">
        <v>1</v>
      </c>
      <c r="AK7">
        <v>4</v>
      </c>
      <c r="AL7">
        <v>11</v>
      </c>
      <c r="AO7">
        <v>162</v>
      </c>
      <c r="AQ7" s="42"/>
    </row>
    <row r="8" spans="1:43" ht="14.5" x14ac:dyDescent="0.35">
      <c r="A8" t="s">
        <v>613</v>
      </c>
      <c r="B8">
        <v>2019</v>
      </c>
      <c r="C8">
        <v>462</v>
      </c>
      <c r="D8">
        <v>19</v>
      </c>
      <c r="F8" t="s">
        <v>454</v>
      </c>
      <c r="G8">
        <v>113</v>
      </c>
      <c r="H8">
        <v>30</v>
      </c>
      <c r="I8">
        <v>63</v>
      </c>
      <c r="J8">
        <v>22</v>
      </c>
      <c r="L8">
        <v>93</v>
      </c>
      <c r="M8">
        <v>27</v>
      </c>
      <c r="N8">
        <v>43</v>
      </c>
      <c r="O8">
        <v>198</v>
      </c>
      <c r="P8">
        <v>349</v>
      </c>
      <c r="Q8">
        <v>18</v>
      </c>
      <c r="R8">
        <v>59</v>
      </c>
      <c r="S8">
        <v>14</v>
      </c>
      <c r="T8">
        <v>126</v>
      </c>
      <c r="U8">
        <v>58</v>
      </c>
      <c r="X8">
        <v>3</v>
      </c>
      <c r="Y8">
        <v>236</v>
      </c>
      <c r="Z8">
        <v>58</v>
      </c>
      <c r="AA8">
        <v>145</v>
      </c>
      <c r="AB8">
        <v>51</v>
      </c>
      <c r="AC8">
        <v>34</v>
      </c>
      <c r="AD8">
        <v>154</v>
      </c>
      <c r="AE8">
        <v>330</v>
      </c>
      <c r="AF8">
        <v>64</v>
      </c>
      <c r="AH8">
        <v>12</v>
      </c>
      <c r="AJ8">
        <v>7</v>
      </c>
      <c r="AK8">
        <v>96</v>
      </c>
      <c r="AL8">
        <v>36</v>
      </c>
      <c r="AO8">
        <v>82</v>
      </c>
      <c r="AQ8" s="42" t="s">
        <v>457</v>
      </c>
    </row>
    <row r="9" spans="1:43" ht="14.5" x14ac:dyDescent="0.35">
      <c r="A9" t="s">
        <v>613</v>
      </c>
      <c r="B9">
        <v>2020</v>
      </c>
      <c r="C9">
        <v>335</v>
      </c>
      <c r="D9">
        <v>19</v>
      </c>
      <c r="F9" t="s">
        <v>454</v>
      </c>
      <c r="G9">
        <v>80</v>
      </c>
      <c r="H9">
        <v>30</v>
      </c>
      <c r="I9">
        <v>48</v>
      </c>
      <c r="J9">
        <v>17</v>
      </c>
      <c r="L9">
        <v>67</v>
      </c>
      <c r="M9">
        <v>24</v>
      </c>
      <c r="N9">
        <v>30</v>
      </c>
      <c r="O9">
        <v>137</v>
      </c>
      <c r="P9">
        <v>267</v>
      </c>
      <c r="Q9">
        <v>16</v>
      </c>
      <c r="R9">
        <v>52</v>
      </c>
      <c r="S9">
        <v>12</v>
      </c>
      <c r="T9">
        <v>109</v>
      </c>
      <c r="U9">
        <v>42</v>
      </c>
      <c r="X9">
        <v>1</v>
      </c>
      <c r="Y9">
        <v>188</v>
      </c>
      <c r="Z9">
        <v>35</v>
      </c>
      <c r="AA9">
        <v>131</v>
      </c>
      <c r="AB9">
        <v>33</v>
      </c>
      <c r="AC9">
        <v>26</v>
      </c>
      <c r="AD9">
        <v>124</v>
      </c>
      <c r="AE9">
        <v>221</v>
      </c>
      <c r="AF9">
        <v>42</v>
      </c>
      <c r="AH9">
        <v>8</v>
      </c>
      <c r="AJ9">
        <v>7</v>
      </c>
      <c r="AK9">
        <v>66</v>
      </c>
      <c r="AL9">
        <v>29</v>
      </c>
      <c r="AO9">
        <v>61</v>
      </c>
      <c r="AQ9" s="42"/>
    </row>
    <row r="10" spans="1:43" ht="14.5" x14ac:dyDescent="0.35">
      <c r="A10" t="s">
        <v>613</v>
      </c>
      <c r="B10">
        <v>2030</v>
      </c>
      <c r="C10">
        <v>309</v>
      </c>
      <c r="D10">
        <v>22</v>
      </c>
      <c r="F10" t="s">
        <v>454</v>
      </c>
      <c r="G10">
        <v>74</v>
      </c>
      <c r="H10">
        <v>30</v>
      </c>
      <c r="I10">
        <v>36</v>
      </c>
      <c r="J10">
        <v>16</v>
      </c>
      <c r="L10">
        <v>62</v>
      </c>
      <c r="M10">
        <v>24</v>
      </c>
      <c r="N10">
        <v>26</v>
      </c>
      <c r="O10">
        <v>124</v>
      </c>
      <c r="P10">
        <v>269</v>
      </c>
      <c r="Q10">
        <v>17</v>
      </c>
      <c r="R10">
        <v>49</v>
      </c>
      <c r="S10">
        <v>12</v>
      </c>
      <c r="T10">
        <v>103</v>
      </c>
      <c r="U10">
        <v>42</v>
      </c>
      <c r="X10">
        <v>1</v>
      </c>
      <c r="Y10">
        <v>172</v>
      </c>
      <c r="Z10">
        <v>36</v>
      </c>
      <c r="AA10">
        <v>125</v>
      </c>
      <c r="AB10">
        <v>30</v>
      </c>
      <c r="AC10">
        <v>23</v>
      </c>
      <c r="AD10">
        <v>116</v>
      </c>
      <c r="AE10">
        <v>210</v>
      </c>
      <c r="AF10">
        <v>38</v>
      </c>
      <c r="AH10">
        <v>9</v>
      </c>
      <c r="AJ10">
        <v>7</v>
      </c>
      <c r="AK10">
        <v>62</v>
      </c>
      <c r="AL10">
        <v>30</v>
      </c>
      <c r="AO10">
        <v>66</v>
      </c>
      <c r="AQ10" s="42"/>
    </row>
    <row r="11" spans="1:43" ht="14.5" x14ac:dyDescent="0.35">
      <c r="A11" t="s">
        <v>613</v>
      </c>
      <c r="B11">
        <v>2040</v>
      </c>
      <c r="C11">
        <v>299</v>
      </c>
      <c r="D11">
        <v>25</v>
      </c>
      <c r="F11" t="s">
        <v>454</v>
      </c>
      <c r="G11">
        <v>75</v>
      </c>
      <c r="H11">
        <v>33</v>
      </c>
      <c r="I11">
        <v>35</v>
      </c>
      <c r="J11">
        <v>15</v>
      </c>
      <c r="L11">
        <v>60</v>
      </c>
      <c r="M11">
        <v>26</v>
      </c>
      <c r="N11">
        <v>24</v>
      </c>
      <c r="O11">
        <v>117</v>
      </c>
      <c r="P11">
        <v>273</v>
      </c>
      <c r="Q11">
        <v>17</v>
      </c>
      <c r="R11">
        <v>53</v>
      </c>
      <c r="S11">
        <v>16</v>
      </c>
      <c r="T11">
        <v>107</v>
      </c>
      <c r="U11">
        <v>45</v>
      </c>
      <c r="X11">
        <v>1</v>
      </c>
      <c r="Y11">
        <v>180</v>
      </c>
      <c r="Z11">
        <v>37</v>
      </c>
      <c r="AA11">
        <v>128</v>
      </c>
      <c r="AB11">
        <v>30</v>
      </c>
      <c r="AC11">
        <v>22</v>
      </c>
      <c r="AD11">
        <v>119</v>
      </c>
      <c r="AE11">
        <v>219</v>
      </c>
      <c r="AF11">
        <v>39</v>
      </c>
      <c r="AH11">
        <v>9</v>
      </c>
      <c r="AJ11">
        <v>8</v>
      </c>
      <c r="AK11">
        <v>63</v>
      </c>
      <c r="AL11">
        <v>32</v>
      </c>
      <c r="AO11">
        <v>67</v>
      </c>
      <c r="AQ11" s="42"/>
    </row>
    <row r="12" spans="1:43" ht="14.5" x14ac:dyDescent="0.35">
      <c r="A12" t="s">
        <v>613</v>
      </c>
      <c r="B12">
        <v>2050</v>
      </c>
      <c r="C12">
        <v>321</v>
      </c>
      <c r="D12">
        <v>28</v>
      </c>
      <c r="F12" t="s">
        <v>454</v>
      </c>
      <c r="G12">
        <v>79</v>
      </c>
      <c r="H12">
        <v>36</v>
      </c>
      <c r="I12">
        <v>34</v>
      </c>
      <c r="J12">
        <v>15</v>
      </c>
      <c r="L12">
        <v>61</v>
      </c>
      <c r="M12">
        <v>28</v>
      </c>
      <c r="N12">
        <v>25</v>
      </c>
      <c r="O12">
        <v>132</v>
      </c>
      <c r="P12">
        <v>289</v>
      </c>
      <c r="Q12">
        <v>18</v>
      </c>
      <c r="R12">
        <v>56</v>
      </c>
      <c r="S12">
        <v>16</v>
      </c>
      <c r="T12">
        <v>113</v>
      </c>
      <c r="U12">
        <v>45</v>
      </c>
      <c r="X12">
        <v>2</v>
      </c>
      <c r="Y12">
        <v>181</v>
      </c>
      <c r="Z12">
        <v>43</v>
      </c>
      <c r="AA12">
        <v>132</v>
      </c>
      <c r="AB12">
        <v>29</v>
      </c>
      <c r="AC12">
        <v>22</v>
      </c>
      <c r="AD12">
        <v>124</v>
      </c>
      <c r="AE12">
        <v>217</v>
      </c>
      <c r="AF12">
        <v>42</v>
      </c>
      <c r="AH12">
        <v>9</v>
      </c>
      <c r="AJ12">
        <v>8</v>
      </c>
      <c r="AK12">
        <v>66</v>
      </c>
      <c r="AL12">
        <v>35</v>
      </c>
      <c r="AO12">
        <v>68</v>
      </c>
      <c r="AQ12" s="42"/>
    </row>
    <row r="14" spans="1:43" ht="14.5" x14ac:dyDescent="0.35">
      <c r="G14" s="42" t="s">
        <v>458</v>
      </c>
    </row>
  </sheetData>
  <sortState xmlns:xlrd2="http://schemas.microsoft.com/office/spreadsheetml/2017/richdata2" ref="A21:A55">
    <sortCondition ref="A2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zoomScale="75" zoomScaleNormal="75" workbookViewId="0">
      <pane xSplit="6" ySplit="2" topLeftCell="G3" activePane="bottomRight" state="frozen"/>
      <selection pane="topRight" activeCell="E1" sqref="E1"/>
      <selection pane="bottomLeft" activeCell="A3" sqref="A3"/>
      <selection pane="bottomRight" activeCell="R136" sqref="A1:R136"/>
    </sheetView>
  </sheetViews>
  <sheetFormatPr defaultRowHeight="14" x14ac:dyDescent="0.3"/>
  <cols>
    <col min="1" max="1" width="24.25" style="2" customWidth="1"/>
    <col min="2"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6" customFormat="1" ht="56.5" customHeight="1" x14ac:dyDescent="0.3">
      <c r="A1" s="25" t="s">
        <v>105</v>
      </c>
      <c r="B1" s="25" t="s">
        <v>106</v>
      </c>
      <c r="C1" s="25" t="s">
        <v>81</v>
      </c>
      <c r="D1" s="25" t="s">
        <v>107</v>
      </c>
      <c r="E1" s="25" t="s">
        <v>108</v>
      </c>
      <c r="F1" s="25" t="s">
        <v>71</v>
      </c>
      <c r="G1" s="26" t="s">
        <v>109</v>
      </c>
      <c r="H1" s="26" t="s">
        <v>110</v>
      </c>
      <c r="I1" s="26" t="s">
        <v>111</v>
      </c>
      <c r="J1" s="26" t="s">
        <v>110</v>
      </c>
      <c r="K1" s="26" t="s">
        <v>112</v>
      </c>
      <c r="L1" s="26" t="s">
        <v>110</v>
      </c>
      <c r="M1" s="26" t="s">
        <v>113</v>
      </c>
      <c r="N1" s="26" t="s">
        <v>110</v>
      </c>
      <c r="O1" s="26" t="s">
        <v>114</v>
      </c>
      <c r="P1" s="26" t="s">
        <v>110</v>
      </c>
      <c r="Q1" s="26" t="s">
        <v>115</v>
      </c>
      <c r="R1" s="26" t="s">
        <v>116</v>
      </c>
      <c r="S1" s="26" t="s">
        <v>117</v>
      </c>
      <c r="T1" s="26" t="s">
        <v>118</v>
      </c>
      <c r="U1" s="26" t="s">
        <v>110</v>
      </c>
      <c r="V1" s="26" t="s">
        <v>119</v>
      </c>
      <c r="W1" s="26" t="s">
        <v>110</v>
      </c>
      <c r="X1" s="26" t="s">
        <v>120</v>
      </c>
      <c r="Y1" s="26" t="s">
        <v>121</v>
      </c>
      <c r="Z1" s="26" t="s">
        <v>122</v>
      </c>
      <c r="AA1" s="26" t="s">
        <v>123</v>
      </c>
      <c r="AB1" s="26" t="s">
        <v>124</v>
      </c>
      <c r="AC1" s="26" t="s">
        <v>125</v>
      </c>
      <c r="AD1" s="26" t="s">
        <v>126</v>
      </c>
      <c r="AE1" s="26" t="s">
        <v>127</v>
      </c>
      <c r="AF1" s="26" t="s">
        <v>128</v>
      </c>
      <c r="AG1" s="26" t="s">
        <v>129</v>
      </c>
      <c r="AH1" s="26" t="s">
        <v>130</v>
      </c>
      <c r="AI1" s="26" t="s">
        <v>131</v>
      </c>
      <c r="AJ1" s="26" t="s">
        <v>132</v>
      </c>
      <c r="AK1" s="26" t="s">
        <v>133</v>
      </c>
      <c r="AL1" s="26" t="s">
        <v>110</v>
      </c>
      <c r="AM1" s="26" t="s">
        <v>134</v>
      </c>
      <c r="AN1" s="26" t="s">
        <v>135</v>
      </c>
      <c r="AO1" s="26" t="s">
        <v>136</v>
      </c>
      <c r="AP1" s="26" t="s">
        <v>110</v>
      </c>
      <c r="AQ1" s="26" t="s">
        <v>137</v>
      </c>
      <c r="AR1" s="26" t="s">
        <v>110</v>
      </c>
      <c r="AS1" s="26" t="s">
        <v>138</v>
      </c>
      <c r="AT1" s="26" t="s">
        <v>110</v>
      </c>
      <c r="AU1" s="26" t="s">
        <v>139</v>
      </c>
      <c r="AV1" s="26" t="s">
        <v>140</v>
      </c>
      <c r="AW1" s="26" t="s">
        <v>110</v>
      </c>
      <c r="AX1" s="26" t="s">
        <v>141</v>
      </c>
      <c r="AY1" s="26" t="s">
        <v>142</v>
      </c>
      <c r="AZ1" s="26" t="s">
        <v>143</v>
      </c>
      <c r="BA1" s="26" t="s">
        <v>144</v>
      </c>
      <c r="BB1" s="26" t="s">
        <v>145</v>
      </c>
      <c r="BC1" s="26" t="s">
        <v>146</v>
      </c>
      <c r="BD1" s="26" t="s">
        <v>147</v>
      </c>
      <c r="BE1" s="26" t="s">
        <v>148</v>
      </c>
      <c r="BF1" s="26" t="s">
        <v>110</v>
      </c>
      <c r="BG1" s="26" t="s">
        <v>149</v>
      </c>
      <c r="BH1" s="26" t="s">
        <v>150</v>
      </c>
      <c r="BI1" s="26" t="s">
        <v>110</v>
      </c>
    </row>
    <row r="2" spans="1:61" s="27" customFormat="1" ht="30" hidden="1" customHeight="1" x14ac:dyDescent="0.3">
      <c r="G2" s="27" t="s">
        <v>151</v>
      </c>
      <c r="I2" s="27" t="s">
        <v>152</v>
      </c>
      <c r="K2" s="27" t="s">
        <v>153</v>
      </c>
      <c r="M2" s="27" t="s">
        <v>84</v>
      </c>
      <c r="O2" s="27" t="s">
        <v>154</v>
      </c>
      <c r="Q2" s="27" t="s">
        <v>154</v>
      </c>
      <c r="R2" s="27" t="s">
        <v>155</v>
      </c>
      <c r="T2" s="27" t="s">
        <v>153</v>
      </c>
      <c r="V2" s="27" t="s">
        <v>156</v>
      </c>
      <c r="X2" s="27" t="s">
        <v>157</v>
      </c>
      <c r="Y2" s="27" t="s">
        <v>157</v>
      </c>
      <c r="Z2" s="27" t="s">
        <v>157</v>
      </c>
      <c r="AA2" s="27" t="s">
        <v>158</v>
      </c>
      <c r="AB2" s="27" t="s">
        <v>158</v>
      </c>
      <c r="AC2" s="27" t="s">
        <v>158</v>
      </c>
      <c r="AD2" s="27" t="s">
        <v>159</v>
      </c>
      <c r="AE2" s="27" t="s">
        <v>159</v>
      </c>
      <c r="AF2" s="27" t="s">
        <v>159</v>
      </c>
      <c r="AG2" s="27" t="s">
        <v>159</v>
      </c>
      <c r="AH2" s="27" t="s">
        <v>157</v>
      </c>
      <c r="AI2" s="27" t="s">
        <v>159</v>
      </c>
      <c r="AJ2" s="27" t="s">
        <v>159</v>
      </c>
      <c r="AK2" s="27" t="s">
        <v>155</v>
      </c>
      <c r="AM2" s="27" t="s">
        <v>155</v>
      </c>
      <c r="AN2" s="27" t="s">
        <v>155</v>
      </c>
      <c r="AO2" s="27" t="s">
        <v>160</v>
      </c>
      <c r="AQ2" s="27" t="s">
        <v>161</v>
      </c>
      <c r="AS2" s="27" t="s">
        <v>157</v>
      </c>
      <c r="AU2" s="27" t="s">
        <v>162</v>
      </c>
      <c r="AV2" s="27" t="s">
        <v>163</v>
      </c>
      <c r="AX2" s="27" t="s">
        <v>155</v>
      </c>
      <c r="AY2" s="27" t="s">
        <v>155</v>
      </c>
      <c r="AZ2" s="27" t="s">
        <v>155</v>
      </c>
      <c r="BA2" s="27" t="s">
        <v>155</v>
      </c>
      <c r="BB2" s="27" t="s">
        <v>155</v>
      </c>
      <c r="BC2" s="27" t="s">
        <v>155</v>
      </c>
      <c r="BD2" s="27" t="s">
        <v>155</v>
      </c>
      <c r="BE2" s="27" t="s">
        <v>155</v>
      </c>
      <c r="BG2" s="27" t="s">
        <v>159</v>
      </c>
    </row>
    <row r="3" spans="1:61" ht="28" x14ac:dyDescent="0.3">
      <c r="A3" t="s">
        <v>609</v>
      </c>
      <c r="B3" s="2" t="s">
        <v>164</v>
      </c>
      <c r="C3" t="s">
        <v>165</v>
      </c>
      <c r="D3" t="s">
        <v>166</v>
      </c>
      <c r="E3">
        <v>2030</v>
      </c>
      <c r="G3">
        <v>5</v>
      </c>
      <c r="H3" t="s">
        <v>167</v>
      </c>
      <c r="I3">
        <v>1040</v>
      </c>
      <c r="J3" t="s">
        <v>168</v>
      </c>
      <c r="K3">
        <v>12600</v>
      </c>
      <c r="L3" t="s">
        <v>168</v>
      </c>
      <c r="M3">
        <v>1.35</v>
      </c>
      <c r="N3" t="s">
        <v>168</v>
      </c>
      <c r="O3">
        <v>30</v>
      </c>
      <c r="P3" t="s">
        <v>167</v>
      </c>
      <c r="Q3">
        <v>20</v>
      </c>
      <c r="R3">
        <v>7</v>
      </c>
      <c r="S3" s="28">
        <f>IFERROR(ROUND(-PMT(R3/100,Q3,1),6),0)</f>
        <v>9.4393000000000005E-2</v>
      </c>
      <c r="T3" s="28">
        <f t="shared" ref="T3:T82" si="0">S3*I3*1000</f>
        <v>98168.72</v>
      </c>
      <c r="U3" t="s">
        <v>169</v>
      </c>
      <c r="X3">
        <v>0</v>
      </c>
      <c r="Y3">
        <v>0</v>
      </c>
      <c r="Z3">
        <v>0</v>
      </c>
      <c r="AA3">
        <v>0</v>
      </c>
      <c r="AB3">
        <v>0</v>
      </c>
      <c r="AC3">
        <v>0</v>
      </c>
      <c r="AD3">
        <v>0</v>
      </c>
      <c r="AE3">
        <v>0</v>
      </c>
      <c r="AF3">
        <v>0</v>
      </c>
      <c r="AG3">
        <v>0</v>
      </c>
      <c r="AH3">
        <v>0</v>
      </c>
      <c r="AI3">
        <v>0</v>
      </c>
      <c r="AJ3">
        <v>0</v>
      </c>
      <c r="AK3">
        <v>0</v>
      </c>
      <c r="AL3" t="s">
        <v>170</v>
      </c>
      <c r="AM3">
        <v>100</v>
      </c>
      <c r="AN3">
        <v>100</v>
      </c>
      <c r="AP3" t="s">
        <v>171</v>
      </c>
      <c r="AQ3" t="s">
        <v>172</v>
      </c>
      <c r="AS3">
        <v>0</v>
      </c>
      <c r="AU3" t="s">
        <v>172</v>
      </c>
      <c r="AV3" t="s">
        <v>172</v>
      </c>
      <c r="BF3" t="s">
        <v>173</v>
      </c>
      <c r="BG3">
        <v>3600</v>
      </c>
      <c r="BH3" s="29">
        <f>ROUND(BG3/8760,5)</f>
        <v>0.41095999999999999</v>
      </c>
      <c r="BI3" t="s">
        <v>174</v>
      </c>
    </row>
    <row r="4" spans="1:61" ht="28" x14ac:dyDescent="0.3">
      <c r="A4" t="s">
        <v>609</v>
      </c>
      <c r="B4" s="2" t="s">
        <v>164</v>
      </c>
      <c r="C4" t="s">
        <v>165</v>
      </c>
      <c r="D4" t="s">
        <v>166</v>
      </c>
      <c r="E4">
        <v>2040</v>
      </c>
      <c r="G4">
        <v>5.5</v>
      </c>
      <c r="H4" t="s">
        <v>167</v>
      </c>
      <c r="I4">
        <v>980</v>
      </c>
      <c r="J4" t="s">
        <v>168</v>
      </c>
      <c r="K4">
        <v>11592</v>
      </c>
      <c r="L4" t="s">
        <v>168</v>
      </c>
      <c r="M4">
        <v>1.24</v>
      </c>
      <c r="N4" t="s">
        <v>168</v>
      </c>
      <c r="O4">
        <v>30</v>
      </c>
      <c r="P4" t="s">
        <v>167</v>
      </c>
      <c r="Q4">
        <v>20</v>
      </c>
      <c r="R4">
        <v>7</v>
      </c>
      <c r="S4" s="28">
        <f t="shared" ref="S4:S83" si="1">IFERROR(ROUND(-PMT(R4/100,Q4,1),6),0)</f>
        <v>9.4393000000000005E-2</v>
      </c>
      <c r="T4" s="28">
        <f t="shared" si="0"/>
        <v>92505.140000000014</v>
      </c>
      <c r="U4" t="s">
        <v>169</v>
      </c>
      <c r="X4">
        <v>0</v>
      </c>
      <c r="Y4">
        <v>0</v>
      </c>
      <c r="Z4">
        <v>0</v>
      </c>
      <c r="AA4">
        <v>0</v>
      </c>
      <c r="AB4">
        <v>0</v>
      </c>
      <c r="AC4">
        <v>0</v>
      </c>
      <c r="AD4">
        <v>0</v>
      </c>
      <c r="AE4">
        <v>0</v>
      </c>
      <c r="AF4">
        <v>0</v>
      </c>
      <c r="AG4">
        <v>0</v>
      </c>
      <c r="AH4">
        <v>0</v>
      </c>
      <c r="AI4">
        <v>0</v>
      </c>
      <c r="AJ4">
        <v>0</v>
      </c>
      <c r="AK4">
        <v>0</v>
      </c>
      <c r="AL4" t="s">
        <v>170</v>
      </c>
      <c r="AM4">
        <v>100</v>
      </c>
      <c r="AN4">
        <v>100</v>
      </c>
      <c r="AP4" t="s">
        <v>171</v>
      </c>
      <c r="AQ4" t="s">
        <v>172</v>
      </c>
      <c r="AS4">
        <v>0</v>
      </c>
      <c r="AU4" t="s">
        <v>172</v>
      </c>
      <c r="AV4" t="s">
        <v>172</v>
      </c>
      <c r="BF4" t="s">
        <v>173</v>
      </c>
      <c r="BG4">
        <v>3700</v>
      </c>
      <c r="BH4" s="29">
        <f t="shared" ref="BH4:BH14" si="2">ROUND(BG4/8760,5)</f>
        <v>0.42237000000000002</v>
      </c>
      <c r="BI4" t="s">
        <v>174</v>
      </c>
    </row>
    <row r="5" spans="1:61" ht="28" x14ac:dyDescent="0.3">
      <c r="A5" t="s">
        <v>609</v>
      </c>
      <c r="B5" s="2" t="s">
        <v>164</v>
      </c>
      <c r="C5" t="s">
        <v>165</v>
      </c>
      <c r="D5" t="s">
        <v>166</v>
      </c>
      <c r="E5">
        <v>2050</v>
      </c>
      <c r="G5">
        <v>6</v>
      </c>
      <c r="H5" t="s">
        <v>167</v>
      </c>
      <c r="I5">
        <v>960</v>
      </c>
      <c r="J5" t="s">
        <v>168</v>
      </c>
      <c r="K5">
        <v>11340</v>
      </c>
      <c r="L5" t="s">
        <v>168</v>
      </c>
      <c r="M5">
        <v>1.22</v>
      </c>
      <c r="N5" t="s">
        <v>168</v>
      </c>
      <c r="O5">
        <v>30</v>
      </c>
      <c r="P5" t="s">
        <v>167</v>
      </c>
      <c r="Q5">
        <v>20</v>
      </c>
      <c r="R5">
        <v>7</v>
      </c>
      <c r="S5" s="28">
        <f t="shared" si="1"/>
        <v>9.4393000000000005E-2</v>
      </c>
      <c r="T5" s="28">
        <f t="shared" si="0"/>
        <v>90617.280000000013</v>
      </c>
      <c r="U5" t="s">
        <v>169</v>
      </c>
      <c r="X5">
        <v>0</v>
      </c>
      <c r="Y5">
        <v>0</v>
      </c>
      <c r="Z5">
        <v>0</v>
      </c>
      <c r="AA5">
        <v>0</v>
      </c>
      <c r="AB5">
        <v>0</v>
      </c>
      <c r="AC5">
        <v>0</v>
      </c>
      <c r="AD5">
        <v>0</v>
      </c>
      <c r="AE5">
        <v>0</v>
      </c>
      <c r="AF5">
        <v>0</v>
      </c>
      <c r="AG5">
        <v>0</v>
      </c>
      <c r="AH5">
        <v>0</v>
      </c>
      <c r="AI5">
        <v>0</v>
      </c>
      <c r="AJ5">
        <v>0</v>
      </c>
      <c r="AK5">
        <v>0</v>
      </c>
      <c r="AL5" t="s">
        <v>170</v>
      </c>
      <c r="AM5">
        <v>100</v>
      </c>
      <c r="AN5">
        <v>100</v>
      </c>
      <c r="AP5" t="s">
        <v>171</v>
      </c>
      <c r="AQ5" t="s">
        <v>172</v>
      </c>
      <c r="AS5">
        <v>0</v>
      </c>
      <c r="AU5" t="s">
        <v>172</v>
      </c>
      <c r="AV5" t="s">
        <v>172</v>
      </c>
      <c r="BF5" t="s">
        <v>173</v>
      </c>
      <c r="BG5">
        <v>3800</v>
      </c>
      <c r="BH5" s="29">
        <f t="shared" si="2"/>
        <v>0.43379000000000001</v>
      </c>
      <c r="BI5" t="s">
        <v>174</v>
      </c>
    </row>
    <row r="6" spans="1:61" ht="28" x14ac:dyDescent="0.3">
      <c r="A6" t="s">
        <v>610</v>
      </c>
      <c r="B6" s="2" t="s">
        <v>164</v>
      </c>
      <c r="C6" t="s">
        <v>165</v>
      </c>
      <c r="D6" t="s">
        <v>166</v>
      </c>
      <c r="E6">
        <v>2030</v>
      </c>
      <c r="G6">
        <v>15</v>
      </c>
      <c r="H6" t="s">
        <v>175</v>
      </c>
      <c r="I6">
        <v>1930</v>
      </c>
      <c r="J6" t="s">
        <v>176</v>
      </c>
      <c r="K6">
        <v>36053</v>
      </c>
      <c r="L6" t="s">
        <v>176</v>
      </c>
      <c r="M6">
        <v>2.7</v>
      </c>
      <c r="N6" t="s">
        <v>176</v>
      </c>
      <c r="O6">
        <v>30</v>
      </c>
      <c r="P6" t="s">
        <v>175</v>
      </c>
      <c r="Q6">
        <v>20</v>
      </c>
      <c r="R6">
        <v>7</v>
      </c>
      <c r="S6" s="28">
        <f t="shared" si="1"/>
        <v>9.4393000000000005E-2</v>
      </c>
      <c r="T6" s="28">
        <f t="shared" si="0"/>
        <v>182178.49000000002</v>
      </c>
      <c r="U6" t="s">
        <v>169</v>
      </c>
      <c r="X6">
        <v>0</v>
      </c>
      <c r="Y6">
        <v>0</v>
      </c>
      <c r="Z6">
        <v>0</v>
      </c>
      <c r="AA6">
        <v>0</v>
      </c>
      <c r="AB6">
        <v>0</v>
      </c>
      <c r="AC6">
        <v>0</v>
      </c>
      <c r="AD6">
        <v>0</v>
      </c>
      <c r="AE6">
        <v>0</v>
      </c>
      <c r="AF6">
        <v>0</v>
      </c>
      <c r="AG6">
        <v>0</v>
      </c>
      <c r="AH6">
        <v>0</v>
      </c>
      <c r="AI6">
        <v>0</v>
      </c>
      <c r="AJ6">
        <v>0</v>
      </c>
      <c r="AK6">
        <v>0</v>
      </c>
      <c r="AL6" t="s">
        <v>170</v>
      </c>
      <c r="AM6">
        <v>100</v>
      </c>
      <c r="AN6">
        <v>100</v>
      </c>
      <c r="AP6" t="s">
        <v>171</v>
      </c>
      <c r="AQ6" t="s">
        <v>172</v>
      </c>
      <c r="AS6">
        <v>0</v>
      </c>
      <c r="AU6" t="s">
        <v>172</v>
      </c>
      <c r="AV6" t="s">
        <v>172</v>
      </c>
      <c r="BF6" t="s">
        <v>177</v>
      </c>
      <c r="BG6">
        <v>4650</v>
      </c>
      <c r="BH6" s="29">
        <f>ROUND(BG6/8760,5)</f>
        <v>0.53081999999999996</v>
      </c>
      <c r="BI6" t="s">
        <v>175</v>
      </c>
    </row>
    <row r="7" spans="1:61" ht="28" x14ac:dyDescent="0.3">
      <c r="A7" t="s">
        <v>610</v>
      </c>
      <c r="B7" s="2" t="s">
        <v>164</v>
      </c>
      <c r="C7" t="s">
        <v>165</v>
      </c>
      <c r="D7" t="s">
        <v>166</v>
      </c>
      <c r="E7">
        <v>2040</v>
      </c>
      <c r="G7">
        <v>18</v>
      </c>
      <c r="H7" t="s">
        <v>175</v>
      </c>
      <c r="I7">
        <v>1810</v>
      </c>
      <c r="J7" t="s">
        <v>176</v>
      </c>
      <c r="K7">
        <v>33169</v>
      </c>
      <c r="L7" t="s">
        <v>176</v>
      </c>
      <c r="M7">
        <v>2.5</v>
      </c>
      <c r="N7" t="s">
        <v>176</v>
      </c>
      <c r="O7">
        <v>30</v>
      </c>
      <c r="P7" t="s">
        <v>175</v>
      </c>
      <c r="Q7">
        <v>20</v>
      </c>
      <c r="R7">
        <v>7</v>
      </c>
      <c r="S7" s="28">
        <f t="shared" si="1"/>
        <v>9.4393000000000005E-2</v>
      </c>
      <c r="T7" s="28">
        <f t="shared" si="0"/>
        <v>170851.33000000002</v>
      </c>
      <c r="U7" t="s">
        <v>169</v>
      </c>
      <c r="X7">
        <v>0</v>
      </c>
      <c r="Y7">
        <v>0</v>
      </c>
      <c r="Z7">
        <v>0</v>
      </c>
      <c r="AA7">
        <v>0</v>
      </c>
      <c r="AB7">
        <v>0</v>
      </c>
      <c r="AC7">
        <v>0</v>
      </c>
      <c r="AD7">
        <v>0</v>
      </c>
      <c r="AE7">
        <v>0</v>
      </c>
      <c r="AF7">
        <v>0</v>
      </c>
      <c r="AG7">
        <v>0</v>
      </c>
      <c r="AH7">
        <v>0</v>
      </c>
      <c r="AI7">
        <v>0</v>
      </c>
      <c r="AJ7">
        <v>0</v>
      </c>
      <c r="AK7">
        <v>0</v>
      </c>
      <c r="AL7" t="s">
        <v>170</v>
      </c>
      <c r="AM7">
        <v>100</v>
      </c>
      <c r="AN7">
        <v>100</v>
      </c>
      <c r="AP7" t="s">
        <v>171</v>
      </c>
      <c r="AQ7" t="s">
        <v>172</v>
      </c>
      <c r="AS7">
        <v>0</v>
      </c>
      <c r="AU7" t="s">
        <v>172</v>
      </c>
      <c r="AV7" t="s">
        <v>172</v>
      </c>
      <c r="BF7" t="s">
        <v>177</v>
      </c>
      <c r="BG7">
        <v>4700</v>
      </c>
      <c r="BH7" s="29">
        <f t="shared" si="2"/>
        <v>0.53652999999999995</v>
      </c>
      <c r="BI7" t="s">
        <v>175</v>
      </c>
    </row>
    <row r="8" spans="1:61" ht="28" x14ac:dyDescent="0.3">
      <c r="A8" t="s">
        <v>610</v>
      </c>
      <c r="B8" s="2" t="s">
        <v>164</v>
      </c>
      <c r="C8" t="s">
        <v>165</v>
      </c>
      <c r="D8" t="s">
        <v>166</v>
      </c>
      <c r="E8">
        <v>2050</v>
      </c>
      <c r="G8">
        <v>20</v>
      </c>
      <c r="H8" t="s">
        <v>175</v>
      </c>
      <c r="I8">
        <v>1780</v>
      </c>
      <c r="J8" t="s">
        <v>176</v>
      </c>
      <c r="K8">
        <v>32448</v>
      </c>
      <c r="L8" t="s">
        <v>176</v>
      </c>
      <c r="M8">
        <v>2.4</v>
      </c>
      <c r="N8" t="s">
        <v>176</v>
      </c>
      <c r="O8">
        <v>30</v>
      </c>
      <c r="P8" t="s">
        <v>175</v>
      </c>
      <c r="Q8">
        <v>20</v>
      </c>
      <c r="R8">
        <v>7</v>
      </c>
      <c r="S8" s="28">
        <f t="shared" si="1"/>
        <v>9.4393000000000005E-2</v>
      </c>
      <c r="T8" s="28">
        <f>S8*I8*1000</f>
        <v>168019.54</v>
      </c>
      <c r="U8" t="s">
        <v>169</v>
      </c>
      <c r="X8">
        <v>0</v>
      </c>
      <c r="Y8">
        <v>0</v>
      </c>
      <c r="Z8">
        <v>0</v>
      </c>
      <c r="AA8">
        <v>0</v>
      </c>
      <c r="AB8">
        <v>0</v>
      </c>
      <c r="AC8">
        <v>0</v>
      </c>
      <c r="AD8">
        <v>0</v>
      </c>
      <c r="AE8">
        <v>0</v>
      </c>
      <c r="AF8">
        <v>0</v>
      </c>
      <c r="AG8">
        <v>0</v>
      </c>
      <c r="AH8">
        <v>0</v>
      </c>
      <c r="AI8">
        <v>0</v>
      </c>
      <c r="AJ8">
        <v>0</v>
      </c>
      <c r="AK8">
        <v>0</v>
      </c>
      <c r="AL8" t="s">
        <v>170</v>
      </c>
      <c r="AM8">
        <v>100</v>
      </c>
      <c r="AN8">
        <v>100</v>
      </c>
      <c r="AP8" t="s">
        <v>171</v>
      </c>
      <c r="AQ8" t="s">
        <v>172</v>
      </c>
      <c r="AS8">
        <v>0</v>
      </c>
      <c r="AU8" t="s">
        <v>172</v>
      </c>
      <c r="AV8" t="s">
        <v>172</v>
      </c>
      <c r="BF8" t="s">
        <v>177</v>
      </c>
      <c r="BG8">
        <v>4900</v>
      </c>
      <c r="BH8" s="29">
        <f t="shared" si="2"/>
        <v>0.55935999999999997</v>
      </c>
      <c r="BI8" t="s">
        <v>175</v>
      </c>
    </row>
    <row r="9" spans="1:61" ht="28" x14ac:dyDescent="0.3">
      <c r="A9" s="2" t="s">
        <v>178</v>
      </c>
      <c r="B9" s="2" t="s">
        <v>164</v>
      </c>
      <c r="C9" t="s">
        <v>165</v>
      </c>
      <c r="D9" t="s">
        <v>166</v>
      </c>
      <c r="E9">
        <v>2030</v>
      </c>
      <c r="G9">
        <f>6/1000</f>
        <v>6.0000000000000001E-3</v>
      </c>
      <c r="H9" t="s">
        <v>179</v>
      </c>
      <c r="I9">
        <v>870</v>
      </c>
      <c r="J9" t="s">
        <v>180</v>
      </c>
      <c r="K9">
        <v>10815</v>
      </c>
      <c r="L9" t="s">
        <v>180</v>
      </c>
      <c r="M9" t="s">
        <v>172</v>
      </c>
      <c r="O9">
        <v>40</v>
      </c>
      <c r="P9" t="s">
        <v>179</v>
      </c>
      <c r="Q9">
        <v>20</v>
      </c>
      <c r="R9">
        <v>7</v>
      </c>
      <c r="S9" s="28">
        <f t="shared" si="1"/>
        <v>9.4393000000000005E-2</v>
      </c>
      <c r="T9" s="28">
        <f t="shared" si="0"/>
        <v>82121.91</v>
      </c>
      <c r="U9" t="s">
        <v>169</v>
      </c>
      <c r="X9">
        <v>0</v>
      </c>
      <c r="Y9">
        <v>0</v>
      </c>
      <c r="Z9">
        <v>0</v>
      </c>
      <c r="AA9">
        <v>0</v>
      </c>
      <c r="AB9">
        <v>0</v>
      </c>
      <c r="AC9">
        <v>0</v>
      </c>
      <c r="AD9">
        <v>0</v>
      </c>
      <c r="AE9">
        <v>0</v>
      </c>
      <c r="AF9">
        <v>0</v>
      </c>
      <c r="AG9">
        <v>0</v>
      </c>
      <c r="AH9">
        <v>0</v>
      </c>
      <c r="AI9">
        <v>0</v>
      </c>
      <c r="AJ9">
        <v>0</v>
      </c>
      <c r="AK9">
        <v>0</v>
      </c>
      <c r="AL9" t="s">
        <v>181</v>
      </c>
      <c r="AM9">
        <v>100</v>
      </c>
      <c r="AN9">
        <v>100</v>
      </c>
      <c r="AP9" t="s">
        <v>182</v>
      </c>
      <c r="AQ9" t="s">
        <v>172</v>
      </c>
      <c r="AS9">
        <v>0</v>
      </c>
      <c r="AU9" t="s">
        <v>172</v>
      </c>
      <c r="AV9" t="s">
        <v>172</v>
      </c>
      <c r="BG9">
        <v>1077</v>
      </c>
      <c r="BH9" s="30">
        <f t="shared" si="2"/>
        <v>0.12295</v>
      </c>
      <c r="BI9" t="s">
        <v>179</v>
      </c>
    </row>
    <row r="10" spans="1:61" ht="28" x14ac:dyDescent="0.3">
      <c r="A10" s="2" t="s">
        <v>178</v>
      </c>
      <c r="B10" s="2" t="s">
        <v>164</v>
      </c>
      <c r="C10" t="s">
        <v>165</v>
      </c>
      <c r="D10" t="s">
        <v>166</v>
      </c>
      <c r="E10">
        <v>2050</v>
      </c>
      <c r="G10">
        <f>6/1000</f>
        <v>6.0000000000000001E-3</v>
      </c>
      <c r="H10" t="s">
        <v>179</v>
      </c>
      <c r="I10">
        <v>590</v>
      </c>
      <c r="J10" t="s">
        <v>180</v>
      </c>
      <c r="K10">
        <v>9135</v>
      </c>
      <c r="L10" t="s">
        <v>180</v>
      </c>
      <c r="M10" t="s">
        <v>172</v>
      </c>
      <c r="O10">
        <v>40</v>
      </c>
      <c r="P10" t="s">
        <v>179</v>
      </c>
      <c r="Q10">
        <v>20</v>
      </c>
      <c r="R10">
        <v>7</v>
      </c>
      <c r="S10" s="28">
        <f t="shared" si="1"/>
        <v>9.4393000000000005E-2</v>
      </c>
      <c r="T10" s="28">
        <f t="shared" si="0"/>
        <v>55691.87</v>
      </c>
      <c r="U10" t="s">
        <v>169</v>
      </c>
      <c r="X10">
        <v>0</v>
      </c>
      <c r="Y10">
        <v>0</v>
      </c>
      <c r="Z10">
        <v>0</v>
      </c>
      <c r="AA10">
        <v>0</v>
      </c>
      <c r="AB10">
        <v>0</v>
      </c>
      <c r="AC10">
        <v>0</v>
      </c>
      <c r="AD10">
        <v>0</v>
      </c>
      <c r="AE10">
        <v>0</v>
      </c>
      <c r="AF10">
        <v>0</v>
      </c>
      <c r="AG10">
        <v>0</v>
      </c>
      <c r="AH10">
        <v>0</v>
      </c>
      <c r="AI10">
        <v>0</v>
      </c>
      <c r="AJ10">
        <v>0</v>
      </c>
      <c r="AK10">
        <v>0</v>
      </c>
      <c r="AL10" t="s">
        <v>181</v>
      </c>
      <c r="AM10">
        <v>100</v>
      </c>
      <c r="AN10">
        <v>100</v>
      </c>
      <c r="AP10" t="s">
        <v>183</v>
      </c>
      <c r="AQ10" t="s">
        <v>172</v>
      </c>
      <c r="AS10">
        <v>0</v>
      </c>
      <c r="AU10" t="s">
        <v>172</v>
      </c>
      <c r="AV10" t="s">
        <v>172</v>
      </c>
      <c r="BG10">
        <v>1124</v>
      </c>
      <c r="BH10" s="30">
        <f t="shared" si="2"/>
        <v>0.12831000000000001</v>
      </c>
      <c r="BI10" t="s">
        <v>179</v>
      </c>
    </row>
    <row r="11" spans="1:61" ht="28" x14ac:dyDescent="0.3">
      <c r="A11" s="2" t="s">
        <v>184</v>
      </c>
      <c r="B11" s="2" t="s">
        <v>164</v>
      </c>
      <c r="C11" t="s">
        <v>165</v>
      </c>
      <c r="D11" t="s">
        <v>166</v>
      </c>
      <c r="E11">
        <v>2030</v>
      </c>
      <c r="G11">
        <f>100/1000</f>
        <v>0.1</v>
      </c>
      <c r="H11" t="s">
        <v>185</v>
      </c>
      <c r="I11">
        <v>630</v>
      </c>
      <c r="J11" t="s">
        <v>186</v>
      </c>
      <c r="K11">
        <v>9240</v>
      </c>
      <c r="L11" t="s">
        <v>186</v>
      </c>
      <c r="M11" t="s">
        <v>172</v>
      </c>
      <c r="O11">
        <v>40</v>
      </c>
      <c r="P11" t="s">
        <v>185</v>
      </c>
      <c r="Q11">
        <v>20</v>
      </c>
      <c r="R11">
        <v>7</v>
      </c>
      <c r="S11" s="28">
        <f t="shared" si="1"/>
        <v>9.4393000000000005E-2</v>
      </c>
      <c r="T11" s="28">
        <f t="shared" si="0"/>
        <v>59467.590000000004</v>
      </c>
      <c r="U11" t="s">
        <v>169</v>
      </c>
      <c r="X11">
        <v>0</v>
      </c>
      <c r="Y11">
        <v>0</v>
      </c>
      <c r="Z11">
        <v>0</v>
      </c>
      <c r="AA11">
        <v>0</v>
      </c>
      <c r="AB11">
        <v>0</v>
      </c>
      <c r="AC11">
        <v>0</v>
      </c>
      <c r="AD11">
        <v>0</v>
      </c>
      <c r="AE11">
        <v>0</v>
      </c>
      <c r="AF11">
        <v>0</v>
      </c>
      <c r="AG11">
        <v>0</v>
      </c>
      <c r="AH11">
        <v>0</v>
      </c>
      <c r="AI11">
        <v>0</v>
      </c>
      <c r="AJ11">
        <v>0</v>
      </c>
      <c r="AK11">
        <v>0</v>
      </c>
      <c r="AL11" t="s">
        <v>181</v>
      </c>
      <c r="AM11">
        <v>100</v>
      </c>
      <c r="AN11">
        <v>100</v>
      </c>
      <c r="AP11" t="s">
        <v>187</v>
      </c>
      <c r="AQ11" t="s">
        <v>172</v>
      </c>
      <c r="AS11">
        <v>0</v>
      </c>
      <c r="AU11" t="s">
        <v>172</v>
      </c>
      <c r="AV11" t="s">
        <v>172</v>
      </c>
      <c r="BG11">
        <v>1166</v>
      </c>
      <c r="BH11" s="30">
        <f t="shared" si="2"/>
        <v>0.13311000000000001</v>
      </c>
      <c r="BI11" t="s">
        <v>185</v>
      </c>
    </row>
    <row r="12" spans="1:61" ht="28" x14ac:dyDescent="0.3">
      <c r="A12" s="2" t="s">
        <v>184</v>
      </c>
      <c r="B12" s="2" t="s">
        <v>164</v>
      </c>
      <c r="C12" t="s">
        <v>165</v>
      </c>
      <c r="D12" t="s">
        <v>166</v>
      </c>
      <c r="E12">
        <v>2050</v>
      </c>
      <c r="G12">
        <f>100/1000</f>
        <v>0.1</v>
      </c>
      <c r="H12" t="s">
        <v>185</v>
      </c>
      <c r="I12">
        <v>490</v>
      </c>
      <c r="J12" t="s">
        <v>186</v>
      </c>
      <c r="K12">
        <v>7810</v>
      </c>
      <c r="L12" t="s">
        <v>186</v>
      </c>
      <c r="M12" t="s">
        <v>172</v>
      </c>
      <c r="O12">
        <v>40</v>
      </c>
      <c r="P12" t="s">
        <v>185</v>
      </c>
      <c r="Q12">
        <v>20</v>
      </c>
      <c r="R12">
        <v>7</v>
      </c>
      <c r="S12" s="28">
        <f t="shared" si="1"/>
        <v>9.4393000000000005E-2</v>
      </c>
      <c r="T12" s="28">
        <f t="shared" si="0"/>
        <v>46252.570000000007</v>
      </c>
      <c r="U12" t="s">
        <v>169</v>
      </c>
      <c r="X12">
        <v>0</v>
      </c>
      <c r="Y12">
        <v>0</v>
      </c>
      <c r="Z12">
        <v>0</v>
      </c>
      <c r="AA12">
        <v>0</v>
      </c>
      <c r="AB12">
        <v>0</v>
      </c>
      <c r="AC12">
        <v>0</v>
      </c>
      <c r="AD12">
        <v>0</v>
      </c>
      <c r="AE12">
        <v>0</v>
      </c>
      <c r="AF12">
        <v>0</v>
      </c>
      <c r="AG12">
        <v>0</v>
      </c>
      <c r="AH12">
        <v>0</v>
      </c>
      <c r="AI12">
        <v>0</v>
      </c>
      <c r="AJ12">
        <v>0</v>
      </c>
      <c r="AK12">
        <v>0</v>
      </c>
      <c r="AL12" t="s">
        <v>181</v>
      </c>
      <c r="AM12">
        <v>100</v>
      </c>
      <c r="AN12">
        <v>100</v>
      </c>
      <c r="AP12" t="s">
        <v>188</v>
      </c>
      <c r="AQ12" t="s">
        <v>172</v>
      </c>
      <c r="AS12">
        <v>0</v>
      </c>
      <c r="AU12" t="s">
        <v>172</v>
      </c>
      <c r="AV12" t="s">
        <v>172</v>
      </c>
      <c r="BG12">
        <v>1203</v>
      </c>
      <c r="BH12" s="30">
        <f t="shared" si="2"/>
        <v>0.13733000000000001</v>
      </c>
      <c r="BI12" t="s">
        <v>185</v>
      </c>
    </row>
    <row r="13" spans="1:61" ht="28" x14ac:dyDescent="0.3">
      <c r="A13" t="s">
        <v>611</v>
      </c>
      <c r="B13" s="2" t="s">
        <v>164</v>
      </c>
      <c r="C13" t="s">
        <v>165</v>
      </c>
      <c r="D13" t="s">
        <v>166</v>
      </c>
      <c r="E13">
        <v>2030</v>
      </c>
      <c r="G13">
        <v>8</v>
      </c>
      <c r="H13" t="s">
        <v>189</v>
      </c>
      <c r="I13">
        <v>380</v>
      </c>
      <c r="J13" t="s">
        <v>190</v>
      </c>
      <c r="K13">
        <v>7250</v>
      </c>
      <c r="L13" t="s">
        <v>190</v>
      </c>
      <c r="M13" t="s">
        <v>172</v>
      </c>
      <c r="O13">
        <v>40</v>
      </c>
      <c r="P13" t="s">
        <v>189</v>
      </c>
      <c r="Q13">
        <v>20</v>
      </c>
      <c r="R13">
        <v>7</v>
      </c>
      <c r="S13" s="28">
        <f>IFERROR(ROUND(-PMT(R13/100,Q13,1),6),0)</f>
        <v>9.4393000000000005E-2</v>
      </c>
      <c r="T13" s="28">
        <f t="shared" si="0"/>
        <v>35869.340000000004</v>
      </c>
      <c r="U13" t="s">
        <v>169</v>
      </c>
      <c r="X13">
        <v>0</v>
      </c>
      <c r="Y13">
        <v>0</v>
      </c>
      <c r="Z13">
        <v>0</v>
      </c>
      <c r="AA13">
        <v>0</v>
      </c>
      <c r="AB13">
        <v>0</v>
      </c>
      <c r="AC13">
        <v>0</v>
      </c>
      <c r="AD13">
        <v>0</v>
      </c>
      <c r="AE13">
        <v>0</v>
      </c>
      <c r="AF13">
        <v>0</v>
      </c>
      <c r="AG13">
        <v>0</v>
      </c>
      <c r="AH13">
        <v>0</v>
      </c>
      <c r="AI13">
        <v>0</v>
      </c>
      <c r="AJ13">
        <v>0</v>
      </c>
      <c r="AK13">
        <v>0</v>
      </c>
      <c r="AL13" t="s">
        <v>181</v>
      </c>
      <c r="AM13">
        <v>100</v>
      </c>
      <c r="AN13">
        <v>100</v>
      </c>
      <c r="AP13" t="s">
        <v>191</v>
      </c>
      <c r="AQ13" t="s">
        <v>172</v>
      </c>
      <c r="AS13">
        <v>0</v>
      </c>
      <c r="AU13" t="s">
        <v>172</v>
      </c>
      <c r="AV13" t="s">
        <v>172</v>
      </c>
      <c r="BF13" t="s">
        <v>192</v>
      </c>
      <c r="BG13">
        <v>1484</v>
      </c>
      <c r="BH13" s="30">
        <f t="shared" si="2"/>
        <v>0.16941000000000001</v>
      </c>
      <c r="BI13" t="s">
        <v>189</v>
      </c>
    </row>
    <row r="14" spans="1:61" ht="28" x14ac:dyDescent="0.3">
      <c r="A14" t="s">
        <v>611</v>
      </c>
      <c r="B14" s="2" t="s">
        <v>164</v>
      </c>
      <c r="C14" t="s">
        <v>165</v>
      </c>
      <c r="D14" t="s">
        <v>166</v>
      </c>
      <c r="E14">
        <v>2040</v>
      </c>
      <c r="G14">
        <v>8</v>
      </c>
      <c r="H14" t="s">
        <v>189</v>
      </c>
      <c r="I14">
        <v>330</v>
      </c>
      <c r="J14" t="s">
        <v>190</v>
      </c>
      <c r="K14">
        <v>6625</v>
      </c>
      <c r="L14" t="s">
        <v>190</v>
      </c>
      <c r="M14" t="s">
        <v>172</v>
      </c>
      <c r="O14">
        <v>40</v>
      </c>
      <c r="P14" t="s">
        <v>189</v>
      </c>
      <c r="Q14">
        <v>20</v>
      </c>
      <c r="R14">
        <v>7</v>
      </c>
      <c r="S14" s="28">
        <f t="shared" si="1"/>
        <v>9.4393000000000005E-2</v>
      </c>
      <c r="T14" s="28">
        <f t="shared" si="0"/>
        <v>31149.690000000002</v>
      </c>
      <c r="U14" t="s">
        <v>169</v>
      </c>
      <c r="X14">
        <v>0</v>
      </c>
      <c r="Y14">
        <v>0</v>
      </c>
      <c r="Z14">
        <v>0</v>
      </c>
      <c r="AA14">
        <v>0</v>
      </c>
      <c r="AB14">
        <v>0</v>
      </c>
      <c r="AC14">
        <v>0</v>
      </c>
      <c r="AD14">
        <v>0</v>
      </c>
      <c r="AE14">
        <v>0</v>
      </c>
      <c r="AF14">
        <v>0</v>
      </c>
      <c r="AG14">
        <v>0</v>
      </c>
      <c r="AH14">
        <v>0</v>
      </c>
      <c r="AI14">
        <v>0</v>
      </c>
      <c r="AJ14">
        <v>0</v>
      </c>
      <c r="AK14">
        <v>0</v>
      </c>
      <c r="AL14" t="s">
        <v>181</v>
      </c>
      <c r="AM14">
        <v>100</v>
      </c>
      <c r="AN14">
        <v>100</v>
      </c>
      <c r="AP14" t="s">
        <v>193</v>
      </c>
      <c r="AQ14" t="s">
        <v>172</v>
      </c>
      <c r="AS14">
        <v>0</v>
      </c>
      <c r="AU14" t="s">
        <v>172</v>
      </c>
      <c r="AV14" t="s">
        <v>172</v>
      </c>
      <c r="BF14" t="s">
        <v>192</v>
      </c>
      <c r="BG14">
        <v>1499</v>
      </c>
      <c r="BH14" s="30">
        <f t="shared" si="2"/>
        <v>0.17111999999999999</v>
      </c>
      <c r="BI14" t="s">
        <v>189</v>
      </c>
    </row>
    <row r="15" spans="1:61" ht="28" x14ac:dyDescent="0.3">
      <c r="A15" t="s">
        <v>611</v>
      </c>
      <c r="B15" s="2" t="s">
        <v>164</v>
      </c>
      <c r="C15" t="s">
        <v>165</v>
      </c>
      <c r="D15" t="s">
        <v>166</v>
      </c>
      <c r="E15">
        <v>2050</v>
      </c>
      <c r="G15">
        <v>8</v>
      </c>
      <c r="H15" t="s">
        <v>189</v>
      </c>
      <c r="I15">
        <v>300</v>
      </c>
      <c r="J15" t="s">
        <v>190</v>
      </c>
      <c r="K15">
        <v>6250</v>
      </c>
      <c r="L15" t="s">
        <v>190</v>
      </c>
      <c r="M15" t="s">
        <v>172</v>
      </c>
      <c r="O15">
        <v>40</v>
      </c>
      <c r="P15" t="s">
        <v>189</v>
      </c>
      <c r="Q15">
        <v>20</v>
      </c>
      <c r="R15">
        <v>7</v>
      </c>
      <c r="S15" s="28">
        <f t="shared" si="1"/>
        <v>9.4393000000000005E-2</v>
      </c>
      <c r="T15" s="28">
        <f t="shared" si="0"/>
        <v>28317.9</v>
      </c>
      <c r="U15" t="s">
        <v>169</v>
      </c>
      <c r="X15">
        <v>0</v>
      </c>
      <c r="Y15">
        <v>0</v>
      </c>
      <c r="Z15">
        <v>0</v>
      </c>
      <c r="AA15">
        <v>0</v>
      </c>
      <c r="AB15">
        <v>0</v>
      </c>
      <c r="AC15">
        <v>0</v>
      </c>
      <c r="AD15">
        <v>0</v>
      </c>
      <c r="AE15">
        <v>0</v>
      </c>
      <c r="AF15">
        <v>0</v>
      </c>
      <c r="AG15">
        <v>0</v>
      </c>
      <c r="AH15">
        <v>0</v>
      </c>
      <c r="AI15">
        <v>0</v>
      </c>
      <c r="AJ15">
        <v>0</v>
      </c>
      <c r="AK15">
        <v>0</v>
      </c>
      <c r="AL15" t="s">
        <v>181</v>
      </c>
      <c r="AM15">
        <v>100</v>
      </c>
      <c r="AN15">
        <v>100</v>
      </c>
      <c r="AP15" t="s">
        <v>194</v>
      </c>
      <c r="AQ15" t="s">
        <v>172</v>
      </c>
      <c r="AS15">
        <v>0</v>
      </c>
      <c r="AU15" t="s">
        <v>172</v>
      </c>
      <c r="AV15" t="s">
        <v>172</v>
      </c>
      <c r="BF15" t="s">
        <v>192</v>
      </c>
      <c r="BG15">
        <v>1515</v>
      </c>
      <c r="BH15" s="30">
        <f>ROUND(BG15/8760,5)</f>
        <v>0.17294999999999999</v>
      </c>
      <c r="BI15" t="s">
        <v>189</v>
      </c>
    </row>
    <row r="16" spans="1:61" ht="42" x14ac:dyDescent="0.3">
      <c r="A16" s="2" t="s">
        <v>195</v>
      </c>
      <c r="B16" s="2" t="s">
        <v>164</v>
      </c>
      <c r="C16" t="s">
        <v>165</v>
      </c>
      <c r="D16" t="s">
        <v>166</v>
      </c>
      <c r="E16">
        <v>2030</v>
      </c>
      <c r="G16">
        <v>150</v>
      </c>
      <c r="H16" t="s">
        <v>196</v>
      </c>
      <c r="I16">
        <v>4040</v>
      </c>
      <c r="J16" t="s">
        <v>197</v>
      </c>
      <c r="K16">
        <f>I16*1000*0.017</f>
        <v>68680</v>
      </c>
      <c r="L16" t="s">
        <v>197</v>
      </c>
      <c r="M16" t="s">
        <v>172</v>
      </c>
      <c r="O16">
        <v>30</v>
      </c>
      <c r="P16" t="s">
        <v>198</v>
      </c>
      <c r="Q16">
        <v>20</v>
      </c>
      <c r="R16">
        <v>7</v>
      </c>
      <c r="S16" s="28">
        <f t="shared" ref="S16:S18" si="3">IFERROR(ROUND(-PMT(R16/100,Q16,1),6),0)</f>
        <v>9.4393000000000005E-2</v>
      </c>
      <c r="T16" s="28">
        <f t="shared" ref="T16:T18" si="4">S16*I16*1000</f>
        <v>381347.72000000003</v>
      </c>
      <c r="U16" t="s">
        <v>169</v>
      </c>
      <c r="BH16" s="44">
        <v>0.32</v>
      </c>
      <c r="BI16" t="s">
        <v>199</v>
      </c>
    </row>
    <row r="17" spans="1:61" ht="42" x14ac:dyDescent="0.3">
      <c r="A17" s="2" t="s">
        <v>195</v>
      </c>
      <c r="B17" s="2" t="s">
        <v>164</v>
      </c>
      <c r="C17" t="s">
        <v>165</v>
      </c>
      <c r="D17" t="s">
        <v>166</v>
      </c>
      <c r="E17">
        <v>2040</v>
      </c>
      <c r="G17">
        <v>150</v>
      </c>
      <c r="H17" t="s">
        <v>196</v>
      </c>
      <c r="I17">
        <v>3630</v>
      </c>
      <c r="J17" t="s">
        <v>197</v>
      </c>
      <c r="K17">
        <f>I17*1000*0.017</f>
        <v>61710.000000000007</v>
      </c>
      <c r="L17" t="s">
        <v>197</v>
      </c>
      <c r="M17" t="s">
        <v>172</v>
      </c>
      <c r="O17">
        <v>30</v>
      </c>
      <c r="P17" t="s">
        <v>200</v>
      </c>
      <c r="Q17">
        <v>20</v>
      </c>
      <c r="R17">
        <v>7</v>
      </c>
      <c r="S17" s="28">
        <f t="shared" si="3"/>
        <v>9.4393000000000005E-2</v>
      </c>
      <c r="T17" s="28">
        <f t="shared" si="4"/>
        <v>342646.59</v>
      </c>
      <c r="U17" t="s">
        <v>169</v>
      </c>
      <c r="BH17" s="44">
        <v>0.32</v>
      </c>
      <c r="BI17" t="s">
        <v>201</v>
      </c>
    </row>
    <row r="18" spans="1:61" ht="42" x14ac:dyDescent="0.3">
      <c r="A18" s="2" t="s">
        <v>195</v>
      </c>
      <c r="B18" s="2" t="s">
        <v>164</v>
      </c>
      <c r="C18" t="s">
        <v>165</v>
      </c>
      <c r="D18" t="s">
        <v>166</v>
      </c>
      <c r="E18">
        <v>2050</v>
      </c>
      <c r="G18">
        <v>150</v>
      </c>
      <c r="H18" t="s">
        <v>196</v>
      </c>
      <c r="I18">
        <v>3420</v>
      </c>
      <c r="J18" t="s">
        <v>197</v>
      </c>
      <c r="K18">
        <f>I18*1000*0.017</f>
        <v>58140.000000000007</v>
      </c>
      <c r="L18" t="s">
        <v>197</v>
      </c>
      <c r="M18" t="s">
        <v>172</v>
      </c>
      <c r="O18">
        <v>30</v>
      </c>
      <c r="P18" t="s">
        <v>202</v>
      </c>
      <c r="Q18">
        <v>20</v>
      </c>
      <c r="R18">
        <v>7</v>
      </c>
      <c r="S18" s="28">
        <f t="shared" si="3"/>
        <v>9.4393000000000005E-2</v>
      </c>
      <c r="T18" s="28">
        <f t="shared" si="4"/>
        <v>322824.06000000006</v>
      </c>
      <c r="U18" t="s">
        <v>169</v>
      </c>
      <c r="BH18" s="44">
        <v>0.32</v>
      </c>
      <c r="BI18" t="s">
        <v>201</v>
      </c>
    </row>
    <row r="19" spans="1:61" ht="42" x14ac:dyDescent="0.3">
      <c r="A19" s="2" t="s">
        <v>203</v>
      </c>
      <c r="B19" s="2" t="s">
        <v>164</v>
      </c>
      <c r="C19" t="s">
        <v>165</v>
      </c>
      <c r="D19" t="s">
        <v>166</v>
      </c>
      <c r="E19">
        <v>2030</v>
      </c>
      <c r="G19">
        <v>100</v>
      </c>
      <c r="H19" t="s">
        <v>196</v>
      </c>
      <c r="I19">
        <v>3560</v>
      </c>
      <c r="J19" t="s">
        <v>197</v>
      </c>
      <c r="K19">
        <f t="shared" ref="K19:K21" si="5">I19*1000*0.017</f>
        <v>60520.000000000007</v>
      </c>
      <c r="L19" t="s">
        <v>197</v>
      </c>
      <c r="M19" t="s">
        <v>172</v>
      </c>
      <c r="O19">
        <v>30</v>
      </c>
      <c r="P19" t="s">
        <v>204</v>
      </c>
      <c r="Q19">
        <v>20</v>
      </c>
      <c r="R19">
        <v>7</v>
      </c>
      <c r="S19" s="28">
        <f t="shared" ref="S19:S21" si="6">IFERROR(ROUND(-PMT(R19/100,Q19,1),6),0)</f>
        <v>9.4393000000000005E-2</v>
      </c>
      <c r="T19" s="28">
        <f t="shared" ref="T19:T21" si="7">S19*I19*1000</f>
        <v>336039.08</v>
      </c>
      <c r="U19" t="s">
        <v>169</v>
      </c>
      <c r="BH19" s="44">
        <v>0.55000000000000004</v>
      </c>
      <c r="BI19" t="s">
        <v>201</v>
      </c>
    </row>
    <row r="20" spans="1:61" ht="42" x14ac:dyDescent="0.3">
      <c r="A20" s="2" t="s">
        <v>203</v>
      </c>
      <c r="B20" s="2" t="s">
        <v>164</v>
      </c>
      <c r="C20" t="s">
        <v>165</v>
      </c>
      <c r="D20" t="s">
        <v>166</v>
      </c>
      <c r="E20">
        <v>2040</v>
      </c>
      <c r="G20">
        <v>100</v>
      </c>
      <c r="H20" t="s">
        <v>196</v>
      </c>
      <c r="I20">
        <v>3190</v>
      </c>
      <c r="J20" t="s">
        <v>197</v>
      </c>
      <c r="K20">
        <f t="shared" si="5"/>
        <v>54230.000000000007</v>
      </c>
      <c r="L20" t="s">
        <v>197</v>
      </c>
      <c r="M20" t="s">
        <v>172</v>
      </c>
      <c r="O20">
        <v>30</v>
      </c>
      <c r="P20" t="s">
        <v>205</v>
      </c>
      <c r="Q20">
        <v>20</v>
      </c>
      <c r="R20">
        <v>7</v>
      </c>
      <c r="S20" s="28">
        <f t="shared" si="6"/>
        <v>9.4393000000000005E-2</v>
      </c>
      <c r="T20" s="28">
        <f>S20*I20*1000</f>
        <v>301113.67000000004</v>
      </c>
      <c r="U20" t="s">
        <v>169</v>
      </c>
      <c r="BH20" s="44">
        <v>0.55000000000000004</v>
      </c>
      <c r="BI20" t="s">
        <v>201</v>
      </c>
    </row>
    <row r="21" spans="1:61" ht="42" x14ac:dyDescent="0.3">
      <c r="A21" s="2" t="s">
        <v>203</v>
      </c>
      <c r="B21" s="2" t="s">
        <v>164</v>
      </c>
      <c r="C21" t="s">
        <v>165</v>
      </c>
      <c r="D21" t="s">
        <v>166</v>
      </c>
      <c r="E21">
        <v>2050</v>
      </c>
      <c r="G21">
        <v>100</v>
      </c>
      <c r="H21" t="s">
        <v>196</v>
      </c>
      <c r="I21">
        <v>3010</v>
      </c>
      <c r="J21" t="s">
        <v>197</v>
      </c>
      <c r="K21">
        <f t="shared" si="5"/>
        <v>51170.000000000007</v>
      </c>
      <c r="L21" t="s">
        <v>197</v>
      </c>
      <c r="M21" t="s">
        <v>172</v>
      </c>
      <c r="O21">
        <v>30</v>
      </c>
      <c r="P21" t="s">
        <v>206</v>
      </c>
      <c r="Q21">
        <v>20</v>
      </c>
      <c r="R21">
        <v>7</v>
      </c>
      <c r="S21" s="28">
        <f t="shared" si="6"/>
        <v>9.4393000000000005E-2</v>
      </c>
      <c r="T21" s="28">
        <f t="shared" si="7"/>
        <v>284122.93</v>
      </c>
      <c r="U21" t="s">
        <v>169</v>
      </c>
      <c r="BH21" s="44">
        <v>0.55000000000000004</v>
      </c>
      <c r="BI21" t="s">
        <v>201</v>
      </c>
    </row>
    <row r="22" spans="1:61" ht="42" x14ac:dyDescent="0.3">
      <c r="A22" s="2" t="s">
        <v>207</v>
      </c>
      <c r="B22" s="2" t="s">
        <v>164</v>
      </c>
      <c r="C22" t="s">
        <v>165</v>
      </c>
      <c r="D22" t="s">
        <v>166</v>
      </c>
      <c r="E22">
        <v>2030</v>
      </c>
      <c r="G22">
        <v>10</v>
      </c>
      <c r="H22" t="s">
        <v>208</v>
      </c>
      <c r="I22">
        <f>(1730+4980)/2</f>
        <v>3355</v>
      </c>
      <c r="J22" t="s">
        <v>197</v>
      </c>
      <c r="K22">
        <f>I22*1000*0.01</f>
        <v>33550</v>
      </c>
      <c r="L22" t="s">
        <v>197</v>
      </c>
      <c r="M22" t="s">
        <v>172</v>
      </c>
      <c r="O22">
        <v>60</v>
      </c>
      <c r="P22" t="s">
        <v>209</v>
      </c>
      <c r="Q22">
        <v>20</v>
      </c>
      <c r="R22">
        <v>7</v>
      </c>
      <c r="S22" s="28">
        <f t="shared" ref="S22:S25" si="8">IFERROR(ROUND(-PMT(R22/100,Q22,1),6),0)</f>
        <v>9.4393000000000005E-2</v>
      </c>
      <c r="T22" s="28">
        <f t="shared" ref="T22:T25" si="9">S22*I22*1000</f>
        <v>316688.51500000001</v>
      </c>
      <c r="U22" t="s">
        <v>169</v>
      </c>
      <c r="BH22" s="44">
        <v>0.4</v>
      </c>
      <c r="BI22" t="s">
        <v>210</v>
      </c>
    </row>
    <row r="23" spans="1:61" ht="42" x14ac:dyDescent="0.3">
      <c r="A23" s="2" t="s">
        <v>211</v>
      </c>
      <c r="B23" s="2" t="s">
        <v>164</v>
      </c>
      <c r="C23" t="s">
        <v>165</v>
      </c>
      <c r="D23" t="s">
        <v>166</v>
      </c>
      <c r="E23">
        <v>2030</v>
      </c>
      <c r="G23">
        <v>60</v>
      </c>
      <c r="H23" t="s">
        <v>212</v>
      </c>
      <c r="I23">
        <f>(1400+3980)/2</f>
        <v>2690</v>
      </c>
      <c r="J23" t="s">
        <v>197</v>
      </c>
      <c r="K23">
        <f>I23*1000*0.005</f>
        <v>13450</v>
      </c>
      <c r="L23" t="s">
        <v>197</v>
      </c>
      <c r="M23" t="s">
        <v>172</v>
      </c>
      <c r="O23">
        <v>60</v>
      </c>
      <c r="P23" t="s">
        <v>209</v>
      </c>
      <c r="Q23">
        <v>20</v>
      </c>
      <c r="R23">
        <v>7</v>
      </c>
      <c r="S23" s="28">
        <f t="shared" si="8"/>
        <v>9.4393000000000005E-2</v>
      </c>
      <c r="T23" s="28">
        <f>S23*I23*1000</f>
        <v>253917.17</v>
      </c>
      <c r="U23" t="s">
        <v>169</v>
      </c>
      <c r="BH23" s="44">
        <v>0.4</v>
      </c>
      <c r="BI23" t="s">
        <v>210</v>
      </c>
    </row>
    <row r="24" spans="1:61" ht="42" x14ac:dyDescent="0.3">
      <c r="A24" s="2" t="s">
        <v>213</v>
      </c>
      <c r="B24" s="2" t="s">
        <v>164</v>
      </c>
      <c r="C24" t="s">
        <v>165</v>
      </c>
      <c r="D24" t="s">
        <v>166</v>
      </c>
      <c r="E24">
        <v>2030</v>
      </c>
      <c r="G24">
        <v>200</v>
      </c>
      <c r="H24" t="s">
        <v>214</v>
      </c>
      <c r="I24">
        <f>(1090+3490)/2</f>
        <v>2290</v>
      </c>
      <c r="J24" t="s">
        <v>197</v>
      </c>
      <c r="K24">
        <f>I24*1000*0.005</f>
        <v>11450</v>
      </c>
      <c r="L24" t="s">
        <v>197</v>
      </c>
      <c r="M24" t="s">
        <v>172</v>
      </c>
      <c r="O24">
        <v>60</v>
      </c>
      <c r="P24" t="s">
        <v>209</v>
      </c>
      <c r="Q24">
        <v>20</v>
      </c>
      <c r="R24">
        <v>7</v>
      </c>
      <c r="S24" s="28">
        <f t="shared" si="8"/>
        <v>9.4393000000000005E-2</v>
      </c>
      <c r="T24" s="28">
        <f t="shared" si="9"/>
        <v>216159.97</v>
      </c>
      <c r="U24" t="s">
        <v>169</v>
      </c>
      <c r="BH24" s="44">
        <v>0.4</v>
      </c>
      <c r="BI24" t="s">
        <v>210</v>
      </c>
    </row>
    <row r="25" spans="1:61" ht="28" x14ac:dyDescent="0.3">
      <c r="A25" s="2" t="s">
        <v>215</v>
      </c>
      <c r="B25" s="2" t="s">
        <v>164</v>
      </c>
      <c r="C25" t="s">
        <v>165</v>
      </c>
      <c r="D25" t="s">
        <v>166</v>
      </c>
      <c r="E25">
        <v>2030</v>
      </c>
      <c r="G25">
        <v>10</v>
      </c>
      <c r="H25" t="s">
        <v>216</v>
      </c>
      <c r="I25">
        <v>2990</v>
      </c>
      <c r="J25" t="s">
        <v>197</v>
      </c>
      <c r="K25">
        <f>I25*1000*0.005</f>
        <v>14950</v>
      </c>
      <c r="L25" t="s">
        <v>197</v>
      </c>
      <c r="M25" t="s">
        <v>172</v>
      </c>
      <c r="O25">
        <v>60</v>
      </c>
      <c r="P25" t="s">
        <v>209</v>
      </c>
      <c r="Q25">
        <v>20</v>
      </c>
      <c r="R25">
        <v>7</v>
      </c>
      <c r="S25" s="28">
        <f t="shared" si="8"/>
        <v>9.4393000000000005E-2</v>
      </c>
      <c r="T25" s="28">
        <f t="shared" si="9"/>
        <v>282235.07</v>
      </c>
      <c r="U25" t="s">
        <v>169</v>
      </c>
      <c r="BH25" s="44">
        <v>0.4</v>
      </c>
      <c r="BI25" t="s">
        <v>210</v>
      </c>
    </row>
    <row r="26" spans="1:61" ht="42" x14ac:dyDescent="0.3">
      <c r="A26" s="2" t="s">
        <v>207</v>
      </c>
      <c r="B26" s="2" t="s">
        <v>164</v>
      </c>
      <c r="C26" t="s">
        <v>165</v>
      </c>
      <c r="D26" t="s">
        <v>166</v>
      </c>
      <c r="E26">
        <v>2040</v>
      </c>
      <c r="G26">
        <v>10</v>
      </c>
      <c r="H26" t="s">
        <v>208</v>
      </c>
      <c r="I26">
        <f>(1730+4970)/2</f>
        <v>3350</v>
      </c>
      <c r="J26" t="s">
        <v>197</v>
      </c>
      <c r="K26">
        <f>I26*1000*0.01</f>
        <v>33500</v>
      </c>
      <c r="L26" t="s">
        <v>197</v>
      </c>
      <c r="M26" t="s">
        <v>172</v>
      </c>
      <c r="O26">
        <v>60</v>
      </c>
      <c r="P26" t="s">
        <v>209</v>
      </c>
      <c r="Q26">
        <v>20</v>
      </c>
      <c r="R26">
        <v>7</v>
      </c>
      <c r="S26" s="28">
        <f t="shared" ref="S26:S29" si="10">IFERROR(ROUND(-PMT(R26/100,Q26,1),6),0)</f>
        <v>9.4393000000000005E-2</v>
      </c>
      <c r="T26" s="28">
        <f t="shared" ref="T26:T29" si="11">S26*I26*1000</f>
        <v>316216.55000000005</v>
      </c>
      <c r="U26" t="s">
        <v>169</v>
      </c>
      <c r="BH26" s="44">
        <v>0.4</v>
      </c>
      <c r="BI26" t="s">
        <v>210</v>
      </c>
    </row>
    <row r="27" spans="1:61" ht="42" x14ac:dyDescent="0.3">
      <c r="A27" s="69" t="s">
        <v>211</v>
      </c>
      <c r="B27" s="69" t="s">
        <v>164</v>
      </c>
      <c r="C27" s="70" t="s">
        <v>165</v>
      </c>
      <c r="D27" s="70" t="s">
        <v>166</v>
      </c>
      <c r="E27" s="70">
        <v>2040</v>
      </c>
      <c r="F27" s="70"/>
      <c r="G27" s="70">
        <v>60</v>
      </c>
      <c r="H27" s="70" t="s">
        <v>212</v>
      </c>
      <c r="I27" s="70">
        <f>(1400+3970)/2</f>
        <v>2685</v>
      </c>
      <c r="J27" s="70" t="s">
        <v>197</v>
      </c>
      <c r="K27" s="70">
        <f>I27*1000*0.005</f>
        <v>13425</v>
      </c>
      <c r="L27" s="70" t="s">
        <v>197</v>
      </c>
      <c r="M27" s="70" t="s">
        <v>172</v>
      </c>
      <c r="N27" s="70"/>
      <c r="O27" s="70">
        <v>60</v>
      </c>
      <c r="P27" s="70" t="s">
        <v>209</v>
      </c>
      <c r="Q27" s="70">
        <v>20</v>
      </c>
      <c r="R27" s="70">
        <v>7</v>
      </c>
      <c r="S27" s="28">
        <f t="shared" si="10"/>
        <v>9.4393000000000005E-2</v>
      </c>
      <c r="T27" s="28">
        <f t="shared" si="11"/>
        <v>253445.20500000002</v>
      </c>
      <c r="U27" t="s">
        <v>169</v>
      </c>
      <c r="BH27" s="44">
        <v>0.4</v>
      </c>
      <c r="BI27" t="s">
        <v>210</v>
      </c>
    </row>
    <row r="28" spans="1:61" ht="42" x14ac:dyDescent="0.3">
      <c r="A28" s="2" t="s">
        <v>213</v>
      </c>
      <c r="B28" s="2" t="s">
        <v>164</v>
      </c>
      <c r="C28" t="s">
        <v>165</v>
      </c>
      <c r="D28" t="s">
        <v>166</v>
      </c>
      <c r="E28">
        <v>2040</v>
      </c>
      <c r="G28">
        <v>200</v>
      </c>
      <c r="H28" t="s">
        <v>214</v>
      </c>
      <c r="I28">
        <f>(1080+3480)/2</f>
        <v>2280</v>
      </c>
      <c r="J28" t="s">
        <v>197</v>
      </c>
      <c r="K28">
        <f>I28*1000*0.005</f>
        <v>11400</v>
      </c>
      <c r="L28" t="s">
        <v>197</v>
      </c>
      <c r="M28" t="s">
        <v>172</v>
      </c>
      <c r="O28">
        <v>60</v>
      </c>
      <c r="P28" t="s">
        <v>209</v>
      </c>
      <c r="Q28">
        <v>20</v>
      </c>
      <c r="R28">
        <v>7</v>
      </c>
      <c r="S28" s="28">
        <f t="shared" si="10"/>
        <v>9.4393000000000005E-2</v>
      </c>
      <c r="T28" s="28">
        <f t="shared" si="11"/>
        <v>215216.04</v>
      </c>
      <c r="U28" t="s">
        <v>169</v>
      </c>
      <c r="BH28" s="44">
        <v>0.4</v>
      </c>
      <c r="BI28" t="s">
        <v>210</v>
      </c>
    </row>
    <row r="29" spans="1:61" ht="28" x14ac:dyDescent="0.3">
      <c r="A29" s="2" t="s">
        <v>215</v>
      </c>
      <c r="B29" s="2" t="s">
        <v>164</v>
      </c>
      <c r="C29" t="s">
        <v>165</v>
      </c>
      <c r="D29" t="s">
        <v>166</v>
      </c>
      <c r="E29">
        <v>2040</v>
      </c>
      <c r="G29">
        <v>10</v>
      </c>
      <c r="H29" t="s">
        <v>216</v>
      </c>
      <c r="I29">
        <v>2980</v>
      </c>
      <c r="J29" t="s">
        <v>197</v>
      </c>
      <c r="K29">
        <f>I29*1000*0.005</f>
        <v>14900</v>
      </c>
      <c r="L29" t="s">
        <v>197</v>
      </c>
      <c r="M29" t="s">
        <v>172</v>
      </c>
      <c r="O29">
        <v>60</v>
      </c>
      <c r="P29" t="s">
        <v>209</v>
      </c>
      <c r="Q29">
        <v>20</v>
      </c>
      <c r="R29">
        <v>7</v>
      </c>
      <c r="S29" s="28">
        <f t="shared" si="10"/>
        <v>9.4393000000000005E-2</v>
      </c>
      <c r="T29" s="28">
        <f t="shared" si="11"/>
        <v>281291.14</v>
      </c>
      <c r="U29" t="s">
        <v>169</v>
      </c>
      <c r="BH29" s="44">
        <v>0.4</v>
      </c>
      <c r="BI29" t="s">
        <v>210</v>
      </c>
    </row>
    <row r="30" spans="1:61" ht="42" x14ac:dyDescent="0.3">
      <c r="A30" s="2" t="s">
        <v>207</v>
      </c>
      <c r="B30" s="2" t="s">
        <v>164</v>
      </c>
      <c r="C30" t="s">
        <v>165</v>
      </c>
      <c r="D30" t="s">
        <v>166</v>
      </c>
      <c r="E30">
        <v>2050</v>
      </c>
      <c r="G30">
        <v>10</v>
      </c>
      <c r="H30" t="s">
        <v>208</v>
      </c>
      <c r="I30">
        <f>(1730+4960)/2</f>
        <v>3345</v>
      </c>
      <c r="J30" t="s">
        <v>197</v>
      </c>
      <c r="K30">
        <f>I30*1000*0.01</f>
        <v>33450</v>
      </c>
      <c r="L30" t="s">
        <v>197</v>
      </c>
      <c r="M30" t="s">
        <v>172</v>
      </c>
      <c r="O30">
        <v>60</v>
      </c>
      <c r="P30" t="s">
        <v>209</v>
      </c>
      <c r="Q30">
        <v>20</v>
      </c>
      <c r="R30">
        <v>7</v>
      </c>
      <c r="S30" s="28">
        <f t="shared" ref="S30:S32" si="12">IFERROR(ROUND(-PMT(R30/100,Q30,1),6),0)</f>
        <v>9.4393000000000005E-2</v>
      </c>
      <c r="T30" s="28">
        <f t="shared" ref="T30:T33" si="13">S30*I30*1000</f>
        <v>315744.58500000002</v>
      </c>
      <c r="U30" t="s">
        <v>169</v>
      </c>
      <c r="BH30" s="44">
        <v>0.4</v>
      </c>
      <c r="BI30" t="s">
        <v>210</v>
      </c>
    </row>
    <row r="31" spans="1:61" ht="42" x14ac:dyDescent="0.3">
      <c r="A31" s="2" t="s">
        <v>211</v>
      </c>
      <c r="B31" s="2" t="s">
        <v>164</v>
      </c>
      <c r="C31" t="s">
        <v>165</v>
      </c>
      <c r="D31" t="s">
        <v>166</v>
      </c>
      <c r="E31">
        <v>2050</v>
      </c>
      <c r="G31">
        <v>60</v>
      </c>
      <c r="H31" t="s">
        <v>212</v>
      </c>
      <c r="I31">
        <f>(1400+3970)/2</f>
        <v>2685</v>
      </c>
      <c r="J31" t="s">
        <v>197</v>
      </c>
      <c r="K31">
        <f>I31*1000*0.005</f>
        <v>13425</v>
      </c>
      <c r="L31" t="s">
        <v>197</v>
      </c>
      <c r="M31" t="s">
        <v>172</v>
      </c>
      <c r="O31">
        <v>60</v>
      </c>
      <c r="P31" t="s">
        <v>209</v>
      </c>
      <c r="Q31">
        <v>20</v>
      </c>
      <c r="R31">
        <v>7</v>
      </c>
      <c r="S31" s="28">
        <f t="shared" si="12"/>
        <v>9.4393000000000005E-2</v>
      </c>
      <c r="T31" s="28">
        <f t="shared" si="13"/>
        <v>253445.20500000002</v>
      </c>
      <c r="U31" t="s">
        <v>169</v>
      </c>
      <c r="BH31" s="44">
        <v>0.4</v>
      </c>
      <c r="BI31" t="s">
        <v>210</v>
      </c>
    </row>
    <row r="32" spans="1:61" ht="42" x14ac:dyDescent="0.3">
      <c r="A32" s="2" t="s">
        <v>213</v>
      </c>
      <c r="B32" s="2" t="s">
        <v>164</v>
      </c>
      <c r="C32" t="s">
        <v>165</v>
      </c>
      <c r="D32" t="s">
        <v>166</v>
      </c>
      <c r="E32">
        <v>2050</v>
      </c>
      <c r="G32">
        <v>200</v>
      </c>
      <c r="H32" t="s">
        <v>214</v>
      </c>
      <c r="I32">
        <f>(1080+3470)/2</f>
        <v>2275</v>
      </c>
      <c r="J32" t="s">
        <v>197</v>
      </c>
      <c r="K32">
        <f>I32*1000*0.005</f>
        <v>11375</v>
      </c>
      <c r="L32" t="s">
        <v>197</v>
      </c>
      <c r="M32" t="s">
        <v>172</v>
      </c>
      <c r="O32">
        <v>60</v>
      </c>
      <c r="P32" t="s">
        <v>209</v>
      </c>
      <c r="Q32">
        <v>20</v>
      </c>
      <c r="R32">
        <v>7</v>
      </c>
      <c r="S32" s="28">
        <f t="shared" si="12"/>
        <v>9.4393000000000005E-2</v>
      </c>
      <c r="T32" s="28">
        <f t="shared" si="13"/>
        <v>214744.07500000001</v>
      </c>
      <c r="U32" t="s">
        <v>169</v>
      </c>
      <c r="BH32" s="44">
        <v>0.4</v>
      </c>
      <c r="BI32" t="s">
        <v>210</v>
      </c>
    </row>
    <row r="33" spans="1:61" ht="28" x14ac:dyDescent="0.3">
      <c r="A33" s="2" t="s">
        <v>215</v>
      </c>
      <c r="B33" s="2" t="s">
        <v>164</v>
      </c>
      <c r="C33" t="s">
        <v>165</v>
      </c>
      <c r="D33" t="s">
        <v>166</v>
      </c>
      <c r="E33">
        <v>2050</v>
      </c>
      <c r="G33">
        <v>10</v>
      </c>
      <c r="H33" t="s">
        <v>216</v>
      </c>
      <c r="I33">
        <v>2970</v>
      </c>
      <c r="J33" t="s">
        <v>197</v>
      </c>
      <c r="K33">
        <f>I33*1000*0.005</f>
        <v>14850</v>
      </c>
      <c r="L33" t="s">
        <v>197</v>
      </c>
      <c r="M33" t="s">
        <v>172</v>
      </c>
      <c r="O33">
        <v>60</v>
      </c>
      <c r="P33" t="s">
        <v>209</v>
      </c>
      <c r="Q33">
        <v>20</v>
      </c>
      <c r="R33">
        <v>7</v>
      </c>
      <c r="S33" s="28">
        <f>IFERROR(ROUND(-PMT(R33/100,Q33,1),6),0)</f>
        <v>9.4393000000000005E-2</v>
      </c>
      <c r="T33" s="28">
        <f t="shared" si="13"/>
        <v>280347.21000000002</v>
      </c>
      <c r="U33" t="s">
        <v>169</v>
      </c>
      <c r="AH33" t="s">
        <v>217</v>
      </c>
      <c r="BH33" s="44">
        <v>0.4</v>
      </c>
      <c r="BI33" t="s">
        <v>210</v>
      </c>
    </row>
    <row r="34" spans="1:61" ht="28" x14ac:dyDescent="0.3">
      <c r="A34" s="2" t="s">
        <v>218</v>
      </c>
      <c r="B34" s="2" t="s">
        <v>164</v>
      </c>
      <c r="C34" t="s">
        <v>165</v>
      </c>
      <c r="D34" t="s">
        <v>166</v>
      </c>
      <c r="E34">
        <v>2030</v>
      </c>
      <c r="G34">
        <f>AVERAGE(10,100)</f>
        <v>55</v>
      </c>
      <c r="H34" t="s">
        <v>219</v>
      </c>
      <c r="I34">
        <f>AVERAGE(2200,4500)</f>
        <v>3350</v>
      </c>
      <c r="J34" t="s">
        <v>220</v>
      </c>
      <c r="K34" t="s">
        <v>172</v>
      </c>
      <c r="M34">
        <v>10</v>
      </c>
      <c r="N34" t="s">
        <v>220</v>
      </c>
      <c r="O34">
        <v>25</v>
      </c>
      <c r="P34" t="s">
        <v>219</v>
      </c>
      <c r="Q34">
        <v>20</v>
      </c>
      <c r="R34">
        <v>7</v>
      </c>
      <c r="S34" s="28">
        <f t="shared" si="1"/>
        <v>9.4393000000000005E-2</v>
      </c>
      <c r="T34" s="28">
        <f t="shared" si="0"/>
        <v>316216.55000000005</v>
      </c>
      <c r="U34" t="s">
        <v>169</v>
      </c>
      <c r="BG34">
        <v>3500</v>
      </c>
      <c r="BH34" s="30">
        <f t="shared" ref="BH34:BH35" si="14">ROUND(BG34/8760,5)</f>
        <v>0.39954000000000001</v>
      </c>
      <c r="BI34" t="s">
        <v>219</v>
      </c>
    </row>
    <row r="35" spans="1:61" ht="28" x14ac:dyDescent="0.3">
      <c r="A35" s="2" t="s">
        <v>218</v>
      </c>
      <c r="B35" s="2" t="s">
        <v>164</v>
      </c>
      <c r="C35" t="s">
        <v>165</v>
      </c>
      <c r="D35" t="s">
        <v>166</v>
      </c>
      <c r="E35">
        <v>2050</v>
      </c>
      <c r="G35">
        <f>AVERAGE(50,500)</f>
        <v>275</v>
      </c>
      <c r="H35" t="s">
        <v>219</v>
      </c>
      <c r="I35">
        <v>1600</v>
      </c>
      <c r="J35" t="s">
        <v>220</v>
      </c>
      <c r="K35" t="s">
        <v>172</v>
      </c>
      <c r="M35">
        <v>7</v>
      </c>
      <c r="N35" t="s">
        <v>220</v>
      </c>
      <c r="O35">
        <v>30</v>
      </c>
      <c r="P35" t="s">
        <v>219</v>
      </c>
      <c r="Q35">
        <v>20</v>
      </c>
      <c r="R35">
        <v>7</v>
      </c>
      <c r="S35" s="28">
        <f t="shared" si="1"/>
        <v>9.4393000000000005E-2</v>
      </c>
      <c r="T35" s="28">
        <f t="shared" si="0"/>
        <v>151028.80000000002</v>
      </c>
      <c r="U35" t="s">
        <v>169</v>
      </c>
      <c r="BG35">
        <v>4500</v>
      </c>
      <c r="BH35" s="30">
        <f t="shared" si="14"/>
        <v>0.51370000000000005</v>
      </c>
      <c r="BI35" t="s">
        <v>219</v>
      </c>
    </row>
    <row r="36" spans="1:61" ht="28" x14ac:dyDescent="0.3">
      <c r="A36" s="2" t="s">
        <v>221</v>
      </c>
      <c r="B36" s="2" t="s">
        <v>164</v>
      </c>
      <c r="C36" t="s">
        <v>165</v>
      </c>
      <c r="D36" t="s">
        <v>166</v>
      </c>
      <c r="E36">
        <v>2030</v>
      </c>
      <c r="G36">
        <v>100</v>
      </c>
      <c r="H36" t="s">
        <v>222</v>
      </c>
      <c r="I36">
        <v>435</v>
      </c>
      <c r="J36" t="s">
        <v>223</v>
      </c>
      <c r="K36">
        <v>7745</v>
      </c>
      <c r="L36" t="s">
        <v>223</v>
      </c>
      <c r="M36">
        <v>4.5</v>
      </c>
      <c r="N36" t="s">
        <v>223</v>
      </c>
      <c r="O36">
        <v>25</v>
      </c>
      <c r="P36" t="s">
        <v>222</v>
      </c>
      <c r="Q36">
        <v>20</v>
      </c>
      <c r="R36">
        <v>7</v>
      </c>
      <c r="S36" s="28">
        <f t="shared" si="1"/>
        <v>9.4393000000000005E-2</v>
      </c>
      <c r="T36" s="28">
        <f t="shared" si="0"/>
        <v>41060.955000000002</v>
      </c>
      <c r="U36" t="s">
        <v>169</v>
      </c>
      <c r="V36">
        <v>0.75</v>
      </c>
      <c r="W36" t="s">
        <v>222</v>
      </c>
      <c r="X36">
        <v>43</v>
      </c>
      <c r="AF36">
        <f>5/60</f>
        <v>8.3333333333333329E-2</v>
      </c>
      <c r="AG36">
        <f>10/60</f>
        <v>0.16666666666666666</v>
      </c>
      <c r="AK36">
        <v>20</v>
      </c>
      <c r="AL36" t="s">
        <v>222</v>
      </c>
      <c r="AM36">
        <v>43</v>
      </c>
      <c r="AP36" t="s">
        <v>222</v>
      </c>
      <c r="BA36">
        <v>30</v>
      </c>
      <c r="BB36">
        <v>30</v>
      </c>
      <c r="BF36" t="s">
        <v>222</v>
      </c>
    </row>
    <row r="37" spans="1:61" ht="28" x14ac:dyDescent="0.3">
      <c r="A37" s="2" t="s">
        <v>221</v>
      </c>
      <c r="B37" s="2" t="s">
        <v>164</v>
      </c>
      <c r="C37" t="s">
        <v>165</v>
      </c>
      <c r="D37" t="s">
        <v>166</v>
      </c>
      <c r="E37">
        <v>2050</v>
      </c>
      <c r="G37">
        <v>100</v>
      </c>
      <c r="H37" t="s">
        <v>222</v>
      </c>
      <c r="I37">
        <v>412</v>
      </c>
      <c r="J37" t="s">
        <v>223</v>
      </c>
      <c r="K37">
        <v>7423</v>
      </c>
      <c r="L37" t="s">
        <v>223</v>
      </c>
      <c r="M37">
        <v>4.5</v>
      </c>
      <c r="N37" t="s">
        <v>223</v>
      </c>
      <c r="O37">
        <v>25</v>
      </c>
      <c r="P37" t="s">
        <v>222</v>
      </c>
      <c r="Q37">
        <v>20</v>
      </c>
      <c r="R37">
        <v>7</v>
      </c>
      <c r="S37" s="28">
        <f t="shared" si="1"/>
        <v>9.4393000000000005E-2</v>
      </c>
      <c r="T37" s="28">
        <f t="shared" si="0"/>
        <v>38889.915999999997</v>
      </c>
      <c r="U37" t="s">
        <v>169</v>
      </c>
      <c r="V37">
        <v>0.75</v>
      </c>
      <c r="W37" t="s">
        <v>222</v>
      </c>
      <c r="X37">
        <v>43</v>
      </c>
      <c r="AF37">
        <f>5/60</f>
        <v>8.3333333333333329E-2</v>
      </c>
      <c r="AG37">
        <f>10/60</f>
        <v>0.16666666666666666</v>
      </c>
      <c r="AK37">
        <v>20</v>
      </c>
      <c r="AL37" t="s">
        <v>222</v>
      </c>
      <c r="AM37">
        <v>45</v>
      </c>
      <c r="AP37" t="s">
        <v>222</v>
      </c>
      <c r="BA37">
        <v>30</v>
      </c>
      <c r="BB37">
        <v>30</v>
      </c>
      <c r="BF37" t="s">
        <v>222</v>
      </c>
    </row>
    <row r="38" spans="1:61" ht="28" x14ac:dyDescent="0.3">
      <c r="A38" s="2" t="s">
        <v>224</v>
      </c>
      <c r="B38" s="2" t="s">
        <v>164</v>
      </c>
      <c r="C38" t="s">
        <v>165</v>
      </c>
      <c r="D38" t="s">
        <v>166</v>
      </c>
      <c r="E38">
        <v>2030</v>
      </c>
      <c r="G38">
        <f>AVERAGE(100,500)</f>
        <v>300</v>
      </c>
      <c r="H38" t="s">
        <v>225</v>
      </c>
      <c r="I38">
        <v>830</v>
      </c>
      <c r="J38" t="s">
        <v>226</v>
      </c>
      <c r="K38">
        <v>27800</v>
      </c>
      <c r="L38" t="s">
        <v>226</v>
      </c>
      <c r="M38">
        <v>4.2</v>
      </c>
      <c r="N38" t="s">
        <v>226</v>
      </c>
      <c r="O38">
        <v>25</v>
      </c>
      <c r="P38" t="s">
        <v>225</v>
      </c>
      <c r="Q38">
        <v>20</v>
      </c>
      <c r="R38">
        <v>7</v>
      </c>
      <c r="S38" s="28">
        <f t="shared" si="1"/>
        <v>9.4393000000000005E-2</v>
      </c>
      <c r="T38" s="28">
        <f t="shared" si="0"/>
        <v>78346.19</v>
      </c>
      <c r="U38" t="s">
        <v>169</v>
      </c>
      <c r="V38">
        <v>14</v>
      </c>
      <c r="W38" t="s">
        <v>225</v>
      </c>
      <c r="AF38">
        <v>1</v>
      </c>
      <c r="AG38">
        <v>2.5</v>
      </c>
      <c r="AK38">
        <v>40</v>
      </c>
      <c r="AL38" t="s">
        <v>227</v>
      </c>
      <c r="AM38">
        <v>61</v>
      </c>
      <c r="AP38" t="s">
        <v>225</v>
      </c>
      <c r="BA38" t="s">
        <v>172</v>
      </c>
      <c r="BB38">
        <v>15</v>
      </c>
      <c r="BF38" t="s">
        <v>225</v>
      </c>
    </row>
    <row r="39" spans="1:61" s="62" customFormat="1" ht="28" x14ac:dyDescent="0.3">
      <c r="A39" s="61" t="s">
        <v>224</v>
      </c>
      <c r="B39" s="61" t="s">
        <v>164</v>
      </c>
      <c r="C39" s="62" t="s">
        <v>165</v>
      </c>
      <c r="D39" s="62" t="s">
        <v>166</v>
      </c>
      <c r="E39" s="62">
        <v>2050</v>
      </c>
      <c r="G39" s="62">
        <f>AVERAGE(100,500)</f>
        <v>300</v>
      </c>
      <c r="H39" s="62" t="s">
        <v>225</v>
      </c>
      <c r="I39" s="62">
        <v>800</v>
      </c>
      <c r="J39" s="62" t="s">
        <v>226</v>
      </c>
      <c r="K39" s="62">
        <v>26000</v>
      </c>
      <c r="L39" s="62" t="s">
        <v>226</v>
      </c>
      <c r="M39" s="62">
        <v>4</v>
      </c>
      <c r="N39" s="62" t="s">
        <v>226</v>
      </c>
      <c r="O39" s="62">
        <v>25</v>
      </c>
      <c r="P39" s="62" t="s">
        <v>225</v>
      </c>
      <c r="Q39" s="62">
        <v>20</v>
      </c>
      <c r="R39" s="62">
        <v>7</v>
      </c>
      <c r="S39" s="63">
        <f t="shared" si="1"/>
        <v>9.4393000000000005E-2</v>
      </c>
      <c r="T39" s="63">
        <f t="shared" si="0"/>
        <v>75514.400000000009</v>
      </c>
      <c r="U39" s="62" t="s">
        <v>169</v>
      </c>
      <c r="V39" s="62">
        <v>14</v>
      </c>
      <c r="W39" s="62" t="s">
        <v>225</v>
      </c>
      <c r="AF39" s="62">
        <v>1</v>
      </c>
      <c r="AG39" s="62">
        <v>2</v>
      </c>
      <c r="AK39" s="62">
        <v>40</v>
      </c>
      <c r="AL39" s="62" t="s">
        <v>227</v>
      </c>
      <c r="AM39" s="62">
        <v>63</v>
      </c>
      <c r="AP39" s="62" t="s">
        <v>225</v>
      </c>
      <c r="BA39" s="62" t="s">
        <v>172</v>
      </c>
      <c r="BB39" s="62">
        <v>15</v>
      </c>
      <c r="BF39" s="62" t="s">
        <v>225</v>
      </c>
    </row>
    <row r="40" spans="1:61" ht="28" x14ac:dyDescent="0.3">
      <c r="A40" s="2" t="s">
        <v>82</v>
      </c>
      <c r="B40" s="2" t="s">
        <v>164</v>
      </c>
      <c r="C40" t="s">
        <v>165</v>
      </c>
      <c r="D40" t="s">
        <v>166</v>
      </c>
      <c r="G40">
        <v>57</v>
      </c>
      <c r="H40" t="s">
        <v>228</v>
      </c>
      <c r="I40">
        <v>4000</v>
      </c>
      <c r="J40" t="s">
        <v>228</v>
      </c>
      <c r="K40">
        <v>100000</v>
      </c>
      <c r="L40" t="s">
        <v>228</v>
      </c>
      <c r="M40">
        <v>4</v>
      </c>
      <c r="N40" t="s">
        <v>228</v>
      </c>
      <c r="Q40">
        <v>20</v>
      </c>
      <c r="R40">
        <v>7</v>
      </c>
      <c r="S40" s="28">
        <f t="shared" si="1"/>
        <v>9.4393000000000005E-2</v>
      </c>
      <c r="T40" s="28">
        <f t="shared" si="0"/>
        <v>377572</v>
      </c>
      <c r="U40" t="s">
        <v>169</v>
      </c>
      <c r="AI40">
        <v>24</v>
      </c>
      <c r="AJ40">
        <v>24</v>
      </c>
      <c r="AK40">
        <v>40</v>
      </c>
      <c r="AL40" t="s">
        <v>228</v>
      </c>
      <c r="AM40">
        <v>28.5</v>
      </c>
      <c r="AP40" t="s">
        <v>228</v>
      </c>
      <c r="AQ40">
        <f>40/60</f>
        <v>0.66666666666666663</v>
      </c>
      <c r="AR40" t="s">
        <v>228</v>
      </c>
      <c r="AU40">
        <v>63</v>
      </c>
      <c r="AV40">
        <v>4.07</v>
      </c>
      <c r="AW40" t="s">
        <v>228</v>
      </c>
    </row>
    <row r="41" spans="1:61" s="33" customFormat="1" ht="42" x14ac:dyDescent="0.3">
      <c r="A41" s="31" t="s">
        <v>229</v>
      </c>
      <c r="B41" s="32" t="s">
        <v>230</v>
      </c>
      <c r="C41" s="33" t="s">
        <v>165</v>
      </c>
      <c r="D41" s="33" t="s">
        <v>231</v>
      </c>
      <c r="S41" s="28">
        <f t="shared" si="1"/>
        <v>0</v>
      </c>
      <c r="T41" s="28">
        <f t="shared" si="0"/>
        <v>0</v>
      </c>
    </row>
    <row r="42" spans="1:61" s="33" customFormat="1" ht="42" x14ac:dyDescent="0.3">
      <c r="A42" s="31" t="s">
        <v>229</v>
      </c>
      <c r="B42" s="32" t="s">
        <v>230</v>
      </c>
      <c r="C42" s="33" t="s">
        <v>165</v>
      </c>
      <c r="D42" s="33" t="s">
        <v>166</v>
      </c>
      <c r="S42" s="28">
        <f t="shared" si="1"/>
        <v>0</v>
      </c>
      <c r="T42" s="28">
        <f t="shared" si="0"/>
        <v>0</v>
      </c>
    </row>
    <row r="43" spans="1:61" s="33" customFormat="1" ht="42" hidden="1" x14ac:dyDescent="0.3">
      <c r="A43" s="31" t="s">
        <v>229</v>
      </c>
      <c r="B43" s="32" t="s">
        <v>230</v>
      </c>
      <c r="D43" s="33" t="s">
        <v>232</v>
      </c>
      <c r="S43" s="28">
        <f t="shared" si="1"/>
        <v>0</v>
      </c>
      <c r="T43" s="28">
        <f t="shared" si="0"/>
        <v>0</v>
      </c>
    </row>
    <row r="44" spans="1:61" ht="42" hidden="1" x14ac:dyDescent="0.3">
      <c r="A44" s="2" t="s">
        <v>233</v>
      </c>
      <c r="B44" s="2" t="s">
        <v>234</v>
      </c>
      <c r="C44" t="s">
        <v>235</v>
      </c>
      <c r="D44" t="s">
        <v>166</v>
      </c>
      <c r="E44">
        <v>2030</v>
      </c>
      <c r="G44">
        <f>6/1000</f>
        <v>6.0000000000000001E-3</v>
      </c>
      <c r="H44" t="s">
        <v>236</v>
      </c>
      <c r="O44">
        <v>12</v>
      </c>
      <c r="P44" t="s">
        <v>236</v>
      </c>
      <c r="S44" s="28">
        <f>IFERROR(ROUND(-PMT(R44/100,Q44,1),6),0)</f>
        <v>0</v>
      </c>
      <c r="T44" s="28">
        <f t="shared" si="0"/>
        <v>0</v>
      </c>
      <c r="AM44">
        <v>410</v>
      </c>
      <c r="AP44" t="s">
        <v>237</v>
      </c>
      <c r="BA44" t="s">
        <v>172</v>
      </c>
      <c r="BB44">
        <v>100</v>
      </c>
      <c r="BF44" t="s">
        <v>236</v>
      </c>
    </row>
    <row r="45" spans="1:61" ht="42" hidden="1" x14ac:dyDescent="0.3">
      <c r="A45" s="2" t="s">
        <v>233</v>
      </c>
      <c r="B45" s="2" t="s">
        <v>234</v>
      </c>
      <c r="C45" t="s">
        <v>235</v>
      </c>
      <c r="D45" t="s">
        <v>166</v>
      </c>
      <c r="E45">
        <v>2050</v>
      </c>
      <c r="G45">
        <f>6/1000</f>
        <v>6.0000000000000001E-3</v>
      </c>
      <c r="H45" t="s">
        <v>236</v>
      </c>
      <c r="O45">
        <v>12</v>
      </c>
      <c r="P45" t="s">
        <v>236</v>
      </c>
      <c r="S45" s="28">
        <f t="shared" si="1"/>
        <v>0</v>
      </c>
      <c r="T45" s="28">
        <f t="shared" si="0"/>
        <v>0</v>
      </c>
      <c r="AM45">
        <v>420</v>
      </c>
      <c r="AP45" t="s">
        <v>237</v>
      </c>
      <c r="BA45" t="s">
        <v>172</v>
      </c>
      <c r="BB45">
        <v>100</v>
      </c>
      <c r="BF45" t="s">
        <v>236</v>
      </c>
    </row>
    <row r="46" spans="1:61" ht="42" hidden="1" x14ac:dyDescent="0.3">
      <c r="A46" s="2" t="s">
        <v>238</v>
      </c>
      <c r="B46" s="2" t="s">
        <v>234</v>
      </c>
      <c r="C46" t="s">
        <v>235</v>
      </c>
      <c r="D46" t="s">
        <v>166</v>
      </c>
      <c r="E46">
        <v>2030</v>
      </c>
      <c r="G46">
        <f>10/1000</f>
        <v>0.01</v>
      </c>
      <c r="H46" t="s">
        <v>239</v>
      </c>
      <c r="O46">
        <v>18</v>
      </c>
      <c r="P46" t="s">
        <v>239</v>
      </c>
      <c r="S46" s="28">
        <f t="shared" si="1"/>
        <v>0</v>
      </c>
      <c r="T46" s="28">
        <f t="shared" si="0"/>
        <v>0</v>
      </c>
      <c r="AM46">
        <v>420</v>
      </c>
      <c r="AP46" t="s">
        <v>240</v>
      </c>
      <c r="BA46" t="s">
        <v>172</v>
      </c>
      <c r="BB46">
        <v>100</v>
      </c>
      <c r="BF46" t="s">
        <v>239</v>
      </c>
    </row>
    <row r="47" spans="1:61" ht="42" hidden="1" x14ac:dyDescent="0.3">
      <c r="A47" s="2" t="s">
        <v>238</v>
      </c>
      <c r="B47" s="2" t="s">
        <v>234</v>
      </c>
      <c r="C47" t="s">
        <v>235</v>
      </c>
      <c r="D47" t="s">
        <v>166</v>
      </c>
      <c r="E47">
        <v>2050</v>
      </c>
      <c r="G47">
        <f>10/1000</f>
        <v>0.01</v>
      </c>
      <c r="H47" t="s">
        <v>239</v>
      </c>
      <c r="O47">
        <v>18</v>
      </c>
      <c r="P47" t="s">
        <v>239</v>
      </c>
      <c r="S47" s="28">
        <f t="shared" si="1"/>
        <v>0</v>
      </c>
      <c r="T47" s="28">
        <f t="shared" si="0"/>
        <v>0</v>
      </c>
      <c r="AM47">
        <v>440</v>
      </c>
      <c r="AP47" t="s">
        <v>240</v>
      </c>
      <c r="BA47" t="s">
        <v>172</v>
      </c>
      <c r="BB47">
        <v>100</v>
      </c>
      <c r="BF47" t="s">
        <v>239</v>
      </c>
    </row>
    <row r="48" spans="1:61" ht="42" hidden="1" x14ac:dyDescent="0.3">
      <c r="A48" s="2" t="s">
        <v>241</v>
      </c>
      <c r="B48" s="2" t="s">
        <v>234</v>
      </c>
      <c r="C48" t="s">
        <v>235</v>
      </c>
      <c r="D48" t="s">
        <v>166</v>
      </c>
      <c r="E48">
        <v>2030</v>
      </c>
      <c r="G48">
        <f>3/1000</f>
        <v>3.0000000000000001E-3</v>
      </c>
      <c r="H48" t="s">
        <v>242</v>
      </c>
      <c r="O48">
        <v>30</v>
      </c>
      <c r="P48" t="s">
        <v>242</v>
      </c>
      <c r="S48" s="28">
        <f t="shared" si="1"/>
        <v>0</v>
      </c>
      <c r="T48" s="28">
        <f t="shared" si="0"/>
        <v>0</v>
      </c>
      <c r="AF48">
        <v>0</v>
      </c>
      <c r="AG48">
        <v>0</v>
      </c>
      <c r="AK48">
        <v>0</v>
      </c>
      <c r="AL48" t="s">
        <v>242</v>
      </c>
      <c r="AM48">
        <v>100</v>
      </c>
      <c r="AP48" t="s">
        <v>243</v>
      </c>
      <c r="BA48">
        <v>100</v>
      </c>
      <c r="BB48">
        <v>100</v>
      </c>
      <c r="BF48" t="s">
        <v>242</v>
      </c>
    </row>
    <row r="49" spans="1:58" ht="42" hidden="1" x14ac:dyDescent="0.3">
      <c r="A49" s="2" t="s">
        <v>241</v>
      </c>
      <c r="B49" s="2" t="s">
        <v>234</v>
      </c>
      <c r="C49" t="s">
        <v>235</v>
      </c>
      <c r="D49" t="s">
        <v>166</v>
      </c>
      <c r="E49">
        <v>2050</v>
      </c>
      <c r="G49">
        <f>3/1000</f>
        <v>3.0000000000000001E-3</v>
      </c>
      <c r="H49" t="s">
        <v>242</v>
      </c>
      <c r="O49">
        <v>30</v>
      </c>
      <c r="P49" t="s">
        <v>242</v>
      </c>
      <c r="S49" s="28">
        <f t="shared" si="1"/>
        <v>0</v>
      </c>
      <c r="T49" s="28">
        <f t="shared" si="0"/>
        <v>0</v>
      </c>
      <c r="AF49">
        <v>0</v>
      </c>
      <c r="AG49">
        <v>0</v>
      </c>
      <c r="AK49">
        <v>0</v>
      </c>
      <c r="AL49" t="s">
        <v>242</v>
      </c>
      <c r="AM49">
        <v>100</v>
      </c>
      <c r="AP49" t="s">
        <v>243</v>
      </c>
      <c r="BA49">
        <v>100</v>
      </c>
      <c r="BB49">
        <v>100</v>
      </c>
      <c r="BF49" t="s">
        <v>242</v>
      </c>
    </row>
    <row r="50" spans="1:58" ht="42" hidden="1" x14ac:dyDescent="0.3">
      <c r="A50" s="2" t="s">
        <v>244</v>
      </c>
      <c r="B50" s="2" t="s">
        <v>234</v>
      </c>
      <c r="C50" t="s">
        <v>235</v>
      </c>
      <c r="D50" t="s">
        <v>166</v>
      </c>
      <c r="E50">
        <v>2030</v>
      </c>
      <c r="G50">
        <f>10/1000</f>
        <v>0.01</v>
      </c>
      <c r="H50" t="s">
        <v>245</v>
      </c>
      <c r="O50">
        <v>20</v>
      </c>
      <c r="P50" t="s">
        <v>245</v>
      </c>
      <c r="S50" s="28">
        <f t="shared" si="1"/>
        <v>0</v>
      </c>
      <c r="T50" s="28">
        <f t="shared" si="0"/>
        <v>0</v>
      </c>
      <c r="AM50">
        <v>98</v>
      </c>
      <c r="AP50" t="s">
        <v>245</v>
      </c>
    </row>
    <row r="51" spans="1:58" ht="42" hidden="1" x14ac:dyDescent="0.3">
      <c r="A51" s="2" t="s">
        <v>244</v>
      </c>
      <c r="B51" s="2" t="s">
        <v>234</v>
      </c>
      <c r="C51" t="s">
        <v>235</v>
      </c>
      <c r="D51" t="s">
        <v>166</v>
      </c>
      <c r="E51">
        <v>2050</v>
      </c>
      <c r="G51">
        <f>10/1000</f>
        <v>0.01</v>
      </c>
      <c r="H51" t="s">
        <v>245</v>
      </c>
      <c r="O51">
        <v>20</v>
      </c>
      <c r="P51" t="s">
        <v>245</v>
      </c>
      <c r="S51" s="28">
        <f t="shared" si="1"/>
        <v>0</v>
      </c>
      <c r="T51" s="28">
        <f t="shared" si="0"/>
        <v>0</v>
      </c>
      <c r="AM51">
        <v>99</v>
      </c>
      <c r="AP51" t="s">
        <v>245</v>
      </c>
    </row>
    <row r="52" spans="1:58" ht="42" hidden="1" x14ac:dyDescent="0.3">
      <c r="A52" s="2" t="s">
        <v>246</v>
      </c>
      <c r="B52" s="2" t="s">
        <v>234</v>
      </c>
      <c r="C52" t="s">
        <v>247</v>
      </c>
      <c r="D52" t="s">
        <v>166</v>
      </c>
      <c r="E52">
        <v>2030</v>
      </c>
      <c r="G52">
        <v>10</v>
      </c>
      <c r="H52" t="s">
        <v>248</v>
      </c>
      <c r="I52">
        <v>570</v>
      </c>
      <c r="J52" t="s">
        <v>249</v>
      </c>
      <c r="K52">
        <v>2000</v>
      </c>
      <c r="L52" t="s">
        <v>249</v>
      </c>
      <c r="M52">
        <v>2.0099999999999998</v>
      </c>
      <c r="N52" t="s">
        <v>249</v>
      </c>
      <c r="O52">
        <v>25</v>
      </c>
      <c r="P52" t="s">
        <v>248</v>
      </c>
      <c r="Q52">
        <v>20</v>
      </c>
      <c r="R52">
        <v>7</v>
      </c>
      <c r="S52" s="28">
        <f t="shared" si="1"/>
        <v>9.4393000000000005E-2</v>
      </c>
      <c r="T52" s="28">
        <f t="shared" si="0"/>
        <v>53804.01</v>
      </c>
      <c r="U52" t="s">
        <v>169</v>
      </c>
      <c r="V52">
        <v>7</v>
      </c>
      <c r="W52" t="s">
        <v>248</v>
      </c>
      <c r="X52">
        <v>10</v>
      </c>
      <c r="AF52">
        <v>0.1</v>
      </c>
      <c r="AG52">
        <v>1</v>
      </c>
      <c r="AK52">
        <v>25</v>
      </c>
      <c r="AL52" t="s">
        <v>248</v>
      </c>
      <c r="AM52">
        <v>520</v>
      </c>
      <c r="AP52" t="s">
        <v>250</v>
      </c>
      <c r="BA52">
        <v>5</v>
      </c>
      <c r="BB52">
        <v>10</v>
      </c>
      <c r="BF52" t="s">
        <v>248</v>
      </c>
    </row>
    <row r="53" spans="1:58" ht="42" hidden="1" x14ac:dyDescent="0.3">
      <c r="A53" s="2" t="s">
        <v>246</v>
      </c>
      <c r="B53" s="2" t="s">
        <v>234</v>
      </c>
      <c r="C53" t="s">
        <v>247</v>
      </c>
      <c r="D53" t="s">
        <v>166</v>
      </c>
      <c r="E53">
        <v>2040</v>
      </c>
      <c r="G53">
        <v>10</v>
      </c>
      <c r="H53" t="s">
        <v>248</v>
      </c>
      <c r="I53">
        <v>570</v>
      </c>
      <c r="J53" t="s">
        <v>249</v>
      </c>
      <c r="K53">
        <v>2000</v>
      </c>
      <c r="L53" t="s">
        <v>249</v>
      </c>
      <c r="M53">
        <v>2.09</v>
      </c>
      <c r="N53" t="s">
        <v>249</v>
      </c>
      <c r="O53">
        <v>25</v>
      </c>
      <c r="P53" t="s">
        <v>248</v>
      </c>
      <c r="Q53">
        <v>20</v>
      </c>
      <c r="R53">
        <v>7</v>
      </c>
      <c r="S53" s="28">
        <f>IFERROR(ROUND(-PMT(R53/100,Q53,1),6),0)</f>
        <v>9.4393000000000005E-2</v>
      </c>
      <c r="T53" s="28">
        <f t="shared" si="0"/>
        <v>53804.01</v>
      </c>
      <c r="U53" t="s">
        <v>169</v>
      </c>
      <c r="V53">
        <v>7</v>
      </c>
      <c r="W53" t="s">
        <v>248</v>
      </c>
      <c r="X53">
        <v>10</v>
      </c>
      <c r="AF53">
        <v>0.1</v>
      </c>
      <c r="AG53">
        <v>1</v>
      </c>
      <c r="AK53">
        <v>25</v>
      </c>
      <c r="AL53" t="s">
        <v>248</v>
      </c>
      <c r="AM53">
        <v>530</v>
      </c>
      <c r="AP53" t="s">
        <v>250</v>
      </c>
      <c r="BA53">
        <v>5</v>
      </c>
      <c r="BB53">
        <v>10</v>
      </c>
      <c r="BF53" t="s">
        <v>248</v>
      </c>
    </row>
    <row r="54" spans="1:58" ht="42" hidden="1" x14ac:dyDescent="0.3">
      <c r="A54" s="2" t="s">
        <v>246</v>
      </c>
      <c r="B54" s="2" t="s">
        <v>234</v>
      </c>
      <c r="C54" t="s">
        <v>247</v>
      </c>
      <c r="D54" t="s">
        <v>166</v>
      </c>
      <c r="E54">
        <v>2050</v>
      </c>
      <c r="G54">
        <v>10</v>
      </c>
      <c r="H54" t="s">
        <v>248</v>
      </c>
      <c r="I54">
        <v>570</v>
      </c>
      <c r="J54" t="s">
        <v>249</v>
      </c>
      <c r="K54">
        <v>2000</v>
      </c>
      <c r="L54" t="s">
        <v>249</v>
      </c>
      <c r="M54">
        <v>1.69</v>
      </c>
      <c r="N54" t="s">
        <v>249</v>
      </c>
      <c r="O54">
        <v>25</v>
      </c>
      <c r="P54" t="s">
        <v>248</v>
      </c>
      <c r="Q54">
        <v>20</v>
      </c>
      <c r="R54">
        <v>7</v>
      </c>
      <c r="S54" s="28">
        <f t="shared" si="1"/>
        <v>9.4393000000000005E-2</v>
      </c>
      <c r="T54" s="28">
        <f t="shared" si="0"/>
        <v>53804.01</v>
      </c>
      <c r="U54" t="s">
        <v>169</v>
      </c>
      <c r="V54">
        <v>7</v>
      </c>
      <c r="W54" t="s">
        <v>248</v>
      </c>
      <c r="X54">
        <v>10</v>
      </c>
      <c r="AF54">
        <v>0.1</v>
      </c>
      <c r="AG54">
        <v>1</v>
      </c>
      <c r="AK54">
        <v>25</v>
      </c>
      <c r="AL54" t="s">
        <v>248</v>
      </c>
      <c r="AM54">
        <v>540</v>
      </c>
      <c r="AP54" t="s">
        <v>250</v>
      </c>
      <c r="BA54">
        <v>5</v>
      </c>
      <c r="BB54">
        <v>10</v>
      </c>
      <c r="BF54" t="s">
        <v>248</v>
      </c>
    </row>
    <row r="55" spans="1:58" ht="56" hidden="1" x14ac:dyDescent="0.3">
      <c r="A55" s="2" t="s">
        <v>251</v>
      </c>
      <c r="B55" s="2" t="s">
        <v>234</v>
      </c>
      <c r="C55" t="s">
        <v>247</v>
      </c>
      <c r="D55" t="s">
        <v>166</v>
      </c>
      <c r="E55">
        <v>2030</v>
      </c>
      <c r="G55">
        <v>20</v>
      </c>
      <c r="H55" t="s">
        <v>252</v>
      </c>
      <c r="I55">
        <v>380</v>
      </c>
      <c r="J55" t="s">
        <v>253</v>
      </c>
      <c r="K55">
        <v>4000</v>
      </c>
      <c r="L55" t="s">
        <v>253</v>
      </c>
      <c r="M55">
        <v>1.51</v>
      </c>
      <c r="N55" t="s">
        <v>253</v>
      </c>
      <c r="O55">
        <v>25</v>
      </c>
      <c r="P55" t="s">
        <v>252</v>
      </c>
      <c r="Q55">
        <v>20</v>
      </c>
      <c r="R55">
        <v>7</v>
      </c>
      <c r="S55" s="28">
        <f t="shared" si="1"/>
        <v>9.4393000000000005E-2</v>
      </c>
      <c r="T55" s="28">
        <f t="shared" si="0"/>
        <v>35869.340000000004</v>
      </c>
      <c r="U55" t="s">
        <v>169</v>
      </c>
      <c r="V55">
        <v>7</v>
      </c>
      <c r="W55" t="s">
        <v>252</v>
      </c>
      <c r="X55">
        <v>10</v>
      </c>
      <c r="AF55">
        <v>0.2</v>
      </c>
      <c r="AG55">
        <v>2</v>
      </c>
      <c r="AK55">
        <v>25</v>
      </c>
      <c r="AL55" t="s">
        <v>252</v>
      </c>
      <c r="AM55">
        <v>340</v>
      </c>
      <c r="AP55" t="s">
        <v>254</v>
      </c>
      <c r="BA55">
        <v>5</v>
      </c>
      <c r="BB55">
        <v>10</v>
      </c>
      <c r="BF55" t="s">
        <v>252</v>
      </c>
    </row>
    <row r="56" spans="1:58" ht="56" hidden="1" x14ac:dyDescent="0.3">
      <c r="A56" s="2" t="s">
        <v>251</v>
      </c>
      <c r="B56" s="2" t="s">
        <v>234</v>
      </c>
      <c r="C56" t="s">
        <v>247</v>
      </c>
      <c r="D56" t="s">
        <v>166</v>
      </c>
      <c r="E56">
        <v>2040</v>
      </c>
      <c r="G56">
        <v>20</v>
      </c>
      <c r="H56" t="s">
        <v>252</v>
      </c>
      <c r="I56">
        <v>380</v>
      </c>
      <c r="J56" t="s">
        <v>253</v>
      </c>
      <c r="K56">
        <v>4000</v>
      </c>
      <c r="L56" t="s">
        <v>253</v>
      </c>
      <c r="M56">
        <v>1.59</v>
      </c>
      <c r="N56" t="s">
        <v>253</v>
      </c>
      <c r="O56">
        <v>25</v>
      </c>
      <c r="P56" t="s">
        <v>252</v>
      </c>
      <c r="Q56">
        <v>20</v>
      </c>
      <c r="R56">
        <v>7</v>
      </c>
      <c r="S56" s="28">
        <f t="shared" si="1"/>
        <v>9.4393000000000005E-2</v>
      </c>
      <c r="T56" s="28">
        <f t="shared" si="0"/>
        <v>35869.340000000004</v>
      </c>
      <c r="U56" t="s">
        <v>169</v>
      </c>
      <c r="V56">
        <v>7</v>
      </c>
      <c r="W56" t="s">
        <v>252</v>
      </c>
      <c r="X56">
        <v>10</v>
      </c>
      <c r="AF56">
        <v>0.2</v>
      </c>
      <c r="AG56">
        <v>2</v>
      </c>
      <c r="AK56">
        <v>25</v>
      </c>
      <c r="AL56" t="s">
        <v>252</v>
      </c>
      <c r="AM56">
        <v>350</v>
      </c>
      <c r="AP56" t="s">
        <v>254</v>
      </c>
      <c r="BA56">
        <v>5</v>
      </c>
      <c r="BB56">
        <v>10</v>
      </c>
      <c r="BF56" t="s">
        <v>252</v>
      </c>
    </row>
    <row r="57" spans="1:58" ht="56" hidden="1" x14ac:dyDescent="0.3">
      <c r="A57" s="2" t="s">
        <v>251</v>
      </c>
      <c r="B57" s="2" t="s">
        <v>234</v>
      </c>
      <c r="C57" t="s">
        <v>247</v>
      </c>
      <c r="D57" t="s">
        <v>166</v>
      </c>
      <c r="E57">
        <v>2050</v>
      </c>
      <c r="G57">
        <v>20</v>
      </c>
      <c r="H57" t="s">
        <v>252</v>
      </c>
      <c r="I57">
        <v>380</v>
      </c>
      <c r="J57" t="s">
        <v>253</v>
      </c>
      <c r="K57">
        <v>4000</v>
      </c>
      <c r="L57" t="s">
        <v>253</v>
      </c>
      <c r="M57">
        <v>1.67</v>
      </c>
      <c r="N57" t="s">
        <v>253</v>
      </c>
      <c r="O57">
        <v>25</v>
      </c>
      <c r="P57" t="s">
        <v>252</v>
      </c>
      <c r="Q57">
        <v>20</v>
      </c>
      <c r="R57">
        <v>7</v>
      </c>
      <c r="S57" s="28">
        <f t="shared" si="1"/>
        <v>9.4393000000000005E-2</v>
      </c>
      <c r="T57" s="28">
        <f t="shared" si="0"/>
        <v>35869.340000000004</v>
      </c>
      <c r="U57" t="s">
        <v>169</v>
      </c>
      <c r="V57">
        <v>7</v>
      </c>
      <c r="W57" t="s">
        <v>252</v>
      </c>
      <c r="X57">
        <v>10</v>
      </c>
      <c r="AF57">
        <v>0.2</v>
      </c>
      <c r="AG57">
        <v>2</v>
      </c>
      <c r="AK57">
        <v>25</v>
      </c>
      <c r="AL57" t="s">
        <v>252</v>
      </c>
      <c r="AM57">
        <v>350</v>
      </c>
      <c r="AP57" t="s">
        <v>254</v>
      </c>
      <c r="BA57">
        <v>5</v>
      </c>
      <c r="BB57">
        <v>10</v>
      </c>
      <c r="BF57" t="s">
        <v>252</v>
      </c>
    </row>
    <row r="58" spans="1:58" ht="56" hidden="1" x14ac:dyDescent="0.3">
      <c r="A58" s="2" t="s">
        <v>255</v>
      </c>
      <c r="B58" s="2" t="s">
        <v>234</v>
      </c>
      <c r="C58" t="s">
        <v>247</v>
      </c>
      <c r="D58" t="s">
        <v>166</v>
      </c>
      <c r="E58">
        <v>2030</v>
      </c>
      <c r="G58">
        <v>13.1</v>
      </c>
      <c r="H58" t="s">
        <v>256</v>
      </c>
      <c r="I58">
        <v>2690</v>
      </c>
      <c r="J58" t="s">
        <v>257</v>
      </c>
      <c r="K58">
        <v>22500</v>
      </c>
      <c r="L58" t="s">
        <v>257</v>
      </c>
      <c r="M58">
        <v>4.5999999999999996</v>
      </c>
      <c r="N58" t="s">
        <v>257</v>
      </c>
      <c r="O58">
        <v>30</v>
      </c>
      <c r="P58" t="s">
        <v>256</v>
      </c>
      <c r="Q58">
        <v>20</v>
      </c>
      <c r="R58">
        <v>7</v>
      </c>
      <c r="S58" s="28">
        <f t="shared" si="1"/>
        <v>9.4393000000000005E-2</v>
      </c>
      <c r="T58" s="28">
        <f t="shared" si="0"/>
        <v>253917.17</v>
      </c>
      <c r="U58" t="s">
        <v>169</v>
      </c>
      <c r="V58">
        <v>14</v>
      </c>
      <c r="W58" t="s">
        <v>256</v>
      </c>
      <c r="AG58">
        <v>2</v>
      </c>
      <c r="AK58">
        <v>20</v>
      </c>
      <c r="AL58" t="s">
        <v>256</v>
      </c>
      <c r="AM58">
        <v>866</v>
      </c>
      <c r="AP58" t="s">
        <v>258</v>
      </c>
    </row>
    <row r="59" spans="1:58" ht="56" hidden="1" x14ac:dyDescent="0.3">
      <c r="A59" s="2" t="s">
        <v>255</v>
      </c>
      <c r="B59" s="2" t="s">
        <v>234</v>
      </c>
      <c r="C59" t="s">
        <v>247</v>
      </c>
      <c r="D59" t="s">
        <v>166</v>
      </c>
      <c r="E59">
        <v>2040</v>
      </c>
      <c r="G59">
        <v>13.1</v>
      </c>
      <c r="H59" t="s">
        <v>256</v>
      </c>
      <c r="I59">
        <v>2610</v>
      </c>
      <c r="J59" t="s">
        <v>257</v>
      </c>
      <c r="K59">
        <v>21800</v>
      </c>
      <c r="L59" t="s">
        <v>257</v>
      </c>
      <c r="M59">
        <v>4.5999999999999996</v>
      </c>
      <c r="N59" t="s">
        <v>257</v>
      </c>
      <c r="O59">
        <v>30</v>
      </c>
      <c r="P59" t="s">
        <v>256</v>
      </c>
      <c r="Q59">
        <v>20</v>
      </c>
      <c r="R59">
        <v>7</v>
      </c>
      <c r="S59" s="28">
        <f t="shared" si="1"/>
        <v>9.4393000000000005E-2</v>
      </c>
      <c r="T59" s="28">
        <f t="shared" si="0"/>
        <v>246365.73</v>
      </c>
      <c r="U59" t="s">
        <v>169</v>
      </c>
      <c r="V59">
        <v>14</v>
      </c>
      <c r="W59" t="s">
        <v>256</v>
      </c>
      <c r="AG59">
        <v>2</v>
      </c>
      <c r="AK59">
        <v>20</v>
      </c>
      <c r="AL59" t="s">
        <v>256</v>
      </c>
      <c r="AM59">
        <v>887</v>
      </c>
      <c r="AP59" t="s">
        <v>258</v>
      </c>
    </row>
    <row r="60" spans="1:58" ht="56" hidden="1" x14ac:dyDescent="0.3">
      <c r="A60" s="2" t="s">
        <v>255</v>
      </c>
      <c r="B60" s="2" t="s">
        <v>234</v>
      </c>
      <c r="C60" t="s">
        <v>247</v>
      </c>
      <c r="D60" t="s">
        <v>166</v>
      </c>
      <c r="E60">
        <v>2050</v>
      </c>
      <c r="G60">
        <v>13</v>
      </c>
      <c r="H60" t="s">
        <v>256</v>
      </c>
      <c r="I60">
        <v>2530</v>
      </c>
      <c r="J60" t="s">
        <v>257</v>
      </c>
      <c r="K60">
        <v>21100</v>
      </c>
      <c r="L60" t="s">
        <v>257</v>
      </c>
      <c r="M60">
        <v>4.3</v>
      </c>
      <c r="N60" t="s">
        <v>257</v>
      </c>
      <c r="O60">
        <v>30</v>
      </c>
      <c r="P60" t="s">
        <v>256</v>
      </c>
      <c r="Q60">
        <v>20</v>
      </c>
      <c r="R60">
        <v>7</v>
      </c>
      <c r="S60" s="28">
        <f t="shared" si="1"/>
        <v>9.4393000000000005E-2</v>
      </c>
      <c r="T60" s="28">
        <f t="shared" si="0"/>
        <v>238814.29</v>
      </c>
      <c r="U60" t="s">
        <v>169</v>
      </c>
      <c r="V60">
        <v>14</v>
      </c>
      <c r="W60" t="s">
        <v>256</v>
      </c>
      <c r="AG60">
        <v>2</v>
      </c>
      <c r="AK60">
        <v>20</v>
      </c>
      <c r="AL60" t="s">
        <v>256</v>
      </c>
      <c r="AM60">
        <v>897</v>
      </c>
      <c r="AP60" t="s">
        <v>258</v>
      </c>
    </row>
    <row r="61" spans="1:58" ht="70" hidden="1" x14ac:dyDescent="0.3">
      <c r="A61" s="2" t="s">
        <v>259</v>
      </c>
      <c r="B61" t="s">
        <v>234</v>
      </c>
      <c r="C61" t="s">
        <v>247</v>
      </c>
      <c r="D61" t="s">
        <v>166</v>
      </c>
      <c r="E61">
        <v>2030</v>
      </c>
      <c r="G61">
        <v>17.399999999999999</v>
      </c>
      <c r="H61" t="s">
        <v>260</v>
      </c>
      <c r="I61">
        <v>1970</v>
      </c>
      <c r="J61" t="s">
        <v>261</v>
      </c>
      <c r="K61">
        <v>16300</v>
      </c>
      <c r="L61" t="s">
        <v>261</v>
      </c>
      <c r="M61">
        <v>2.9</v>
      </c>
      <c r="N61" t="s">
        <v>261</v>
      </c>
      <c r="O61">
        <v>30</v>
      </c>
      <c r="P61" t="s">
        <v>260</v>
      </c>
      <c r="Q61">
        <v>20</v>
      </c>
      <c r="R61">
        <v>7</v>
      </c>
      <c r="S61" s="28">
        <f t="shared" si="1"/>
        <v>9.4393000000000005E-2</v>
      </c>
      <c r="T61" s="28">
        <f t="shared" si="0"/>
        <v>185954.21000000002</v>
      </c>
      <c r="U61" t="s">
        <v>169</v>
      </c>
      <c r="V61">
        <v>14</v>
      </c>
      <c r="W61" t="s">
        <v>260</v>
      </c>
      <c r="AG61">
        <v>2</v>
      </c>
      <c r="AK61">
        <v>20</v>
      </c>
      <c r="AL61" t="s">
        <v>260</v>
      </c>
      <c r="AM61">
        <v>298</v>
      </c>
      <c r="AP61" t="s">
        <v>262</v>
      </c>
    </row>
    <row r="62" spans="1:58" ht="70" hidden="1" x14ac:dyDescent="0.3">
      <c r="A62" s="2" t="s">
        <v>259</v>
      </c>
      <c r="B62" t="s">
        <v>234</v>
      </c>
      <c r="C62" t="s">
        <v>247</v>
      </c>
      <c r="D62" t="s">
        <v>166</v>
      </c>
      <c r="E62">
        <v>2040</v>
      </c>
      <c r="G62">
        <v>17.399999999999999</v>
      </c>
      <c r="H62" t="s">
        <v>260</v>
      </c>
      <c r="I62">
        <v>1910</v>
      </c>
      <c r="J62" t="s">
        <v>261</v>
      </c>
      <c r="K62">
        <v>15800</v>
      </c>
      <c r="L62" t="s">
        <v>261</v>
      </c>
      <c r="M62">
        <v>2.9</v>
      </c>
      <c r="N62" t="s">
        <v>261</v>
      </c>
      <c r="O62">
        <v>30</v>
      </c>
      <c r="P62" t="s">
        <v>260</v>
      </c>
      <c r="Q62">
        <v>20</v>
      </c>
      <c r="R62">
        <v>7</v>
      </c>
      <c r="S62" s="28">
        <f t="shared" si="1"/>
        <v>9.4393000000000005E-2</v>
      </c>
      <c r="T62" s="28">
        <f t="shared" si="0"/>
        <v>180290.63000000003</v>
      </c>
      <c r="U62" t="s">
        <v>169</v>
      </c>
      <c r="V62">
        <v>14</v>
      </c>
      <c r="W62" t="s">
        <v>260</v>
      </c>
      <c r="AG62">
        <v>2</v>
      </c>
      <c r="AK62">
        <v>20</v>
      </c>
      <c r="AL62" t="s">
        <v>260</v>
      </c>
      <c r="AM62">
        <v>300</v>
      </c>
      <c r="AP62" t="s">
        <v>262</v>
      </c>
    </row>
    <row r="63" spans="1:58" ht="70" hidden="1" x14ac:dyDescent="0.3">
      <c r="A63" s="2" t="s">
        <v>259</v>
      </c>
      <c r="B63" t="s">
        <v>234</v>
      </c>
      <c r="C63" t="s">
        <v>247</v>
      </c>
      <c r="D63" t="s">
        <v>166</v>
      </c>
      <c r="E63">
        <v>2050</v>
      </c>
      <c r="G63">
        <v>17.3</v>
      </c>
      <c r="H63" t="s">
        <v>260</v>
      </c>
      <c r="I63">
        <v>1850</v>
      </c>
      <c r="J63" t="s">
        <v>261</v>
      </c>
      <c r="K63">
        <v>15300</v>
      </c>
      <c r="L63" t="s">
        <v>261</v>
      </c>
      <c r="M63">
        <v>2.8</v>
      </c>
      <c r="N63" t="s">
        <v>261</v>
      </c>
      <c r="O63">
        <v>30</v>
      </c>
      <c r="P63" t="s">
        <v>260</v>
      </c>
      <c r="Q63">
        <v>20</v>
      </c>
      <c r="R63">
        <v>7</v>
      </c>
      <c r="S63" s="28">
        <f t="shared" si="1"/>
        <v>9.4393000000000005E-2</v>
      </c>
      <c r="T63" s="28">
        <f t="shared" si="0"/>
        <v>174627.05</v>
      </c>
      <c r="U63" t="s">
        <v>169</v>
      </c>
      <c r="V63">
        <v>14</v>
      </c>
      <c r="W63" t="s">
        <v>260</v>
      </c>
      <c r="AG63">
        <v>2</v>
      </c>
      <c r="AK63">
        <v>20</v>
      </c>
      <c r="AL63" t="s">
        <v>260</v>
      </c>
      <c r="AM63">
        <v>303</v>
      </c>
      <c r="AP63" t="s">
        <v>262</v>
      </c>
    </row>
    <row r="64" spans="1:58" ht="42" hidden="1" x14ac:dyDescent="0.3">
      <c r="A64" s="2" t="s">
        <v>263</v>
      </c>
      <c r="B64" s="2" t="s">
        <v>234</v>
      </c>
      <c r="C64" t="s">
        <v>264</v>
      </c>
      <c r="D64" t="s">
        <v>166</v>
      </c>
      <c r="E64">
        <v>2030</v>
      </c>
      <c r="G64">
        <v>1.5</v>
      </c>
      <c r="H64" t="s">
        <v>265</v>
      </c>
      <c r="I64">
        <v>930</v>
      </c>
      <c r="J64" t="s">
        <v>266</v>
      </c>
      <c r="K64">
        <v>870</v>
      </c>
      <c r="L64" t="s">
        <v>266</v>
      </c>
      <c r="M64">
        <v>3.2</v>
      </c>
      <c r="N64" t="s">
        <v>266</v>
      </c>
      <c r="O64">
        <v>20</v>
      </c>
      <c r="P64" t="s">
        <v>265</v>
      </c>
      <c r="Q64">
        <v>20</v>
      </c>
      <c r="R64">
        <v>7</v>
      </c>
      <c r="S64" s="28">
        <f t="shared" si="1"/>
        <v>9.4393000000000005E-2</v>
      </c>
      <c r="T64" s="28">
        <f t="shared" si="0"/>
        <v>87785.49</v>
      </c>
      <c r="U64" t="s">
        <v>169</v>
      </c>
      <c r="V64">
        <f>0.5*7</f>
        <v>3.5</v>
      </c>
      <c r="W64" t="s">
        <v>265</v>
      </c>
      <c r="X64" t="s">
        <v>172</v>
      </c>
      <c r="AF64">
        <v>0.25</v>
      </c>
      <c r="AG64">
        <v>1</v>
      </c>
      <c r="AK64">
        <v>25</v>
      </c>
      <c r="AL64" t="s">
        <v>265</v>
      </c>
      <c r="AM64">
        <v>310</v>
      </c>
      <c r="AP64" t="s">
        <v>267</v>
      </c>
    </row>
    <row r="65" spans="1:58" ht="42" hidden="1" x14ac:dyDescent="0.3">
      <c r="A65" s="2" t="s">
        <v>263</v>
      </c>
      <c r="B65" s="2" t="s">
        <v>234</v>
      </c>
      <c r="C65" t="s">
        <v>264</v>
      </c>
      <c r="D65" t="s">
        <v>166</v>
      </c>
      <c r="E65">
        <v>2040</v>
      </c>
      <c r="G65">
        <v>1.5</v>
      </c>
      <c r="H65" t="s">
        <v>265</v>
      </c>
      <c r="I65">
        <v>880</v>
      </c>
      <c r="J65" t="s">
        <v>266</v>
      </c>
      <c r="K65">
        <v>800</v>
      </c>
      <c r="L65" t="s">
        <v>266</v>
      </c>
      <c r="M65">
        <v>3.2</v>
      </c>
      <c r="N65" t="s">
        <v>266</v>
      </c>
      <c r="O65">
        <v>20</v>
      </c>
      <c r="P65" t="s">
        <v>265</v>
      </c>
      <c r="Q65">
        <v>20</v>
      </c>
      <c r="R65">
        <v>7</v>
      </c>
      <c r="S65" s="28">
        <f t="shared" si="1"/>
        <v>9.4393000000000005E-2</v>
      </c>
      <c r="T65" s="28">
        <f t="shared" si="0"/>
        <v>83065.840000000011</v>
      </c>
      <c r="U65" t="s">
        <v>169</v>
      </c>
      <c r="V65">
        <f>0.5*7</f>
        <v>3.5</v>
      </c>
      <c r="W65" t="s">
        <v>265</v>
      </c>
      <c r="X65" t="s">
        <v>172</v>
      </c>
      <c r="AF65">
        <v>0.25</v>
      </c>
      <c r="AG65">
        <v>1</v>
      </c>
      <c r="AK65">
        <v>25</v>
      </c>
      <c r="AL65" t="s">
        <v>265</v>
      </c>
      <c r="AM65">
        <v>320</v>
      </c>
      <c r="AP65" t="s">
        <v>267</v>
      </c>
    </row>
    <row r="66" spans="1:58" ht="42" hidden="1" x14ac:dyDescent="0.3">
      <c r="A66" s="2" t="s">
        <v>263</v>
      </c>
      <c r="B66" s="2" t="s">
        <v>234</v>
      </c>
      <c r="C66" t="s">
        <v>264</v>
      </c>
      <c r="D66" t="s">
        <v>166</v>
      </c>
      <c r="E66">
        <v>2050</v>
      </c>
      <c r="G66">
        <v>1.5</v>
      </c>
      <c r="H66" t="s">
        <v>265</v>
      </c>
      <c r="I66">
        <v>840</v>
      </c>
      <c r="J66" t="s">
        <v>266</v>
      </c>
      <c r="K66">
        <v>720</v>
      </c>
      <c r="L66" t="s">
        <v>266</v>
      </c>
      <c r="M66">
        <v>3.1</v>
      </c>
      <c r="N66" t="s">
        <v>266</v>
      </c>
      <c r="O66">
        <v>20</v>
      </c>
      <c r="P66" t="s">
        <v>265</v>
      </c>
      <c r="Q66">
        <v>20</v>
      </c>
      <c r="R66">
        <v>7</v>
      </c>
      <c r="S66" s="28">
        <f t="shared" si="1"/>
        <v>9.4393000000000005E-2</v>
      </c>
      <c r="T66" s="28">
        <f t="shared" si="0"/>
        <v>79290.12</v>
      </c>
      <c r="U66" t="s">
        <v>169</v>
      </c>
      <c r="V66">
        <f>0.5*7</f>
        <v>3.5</v>
      </c>
      <c r="W66" t="s">
        <v>265</v>
      </c>
      <c r="X66" t="s">
        <v>172</v>
      </c>
      <c r="AF66">
        <v>0.25</v>
      </c>
      <c r="AG66">
        <v>1</v>
      </c>
      <c r="AK66">
        <v>25</v>
      </c>
      <c r="AL66" t="s">
        <v>265</v>
      </c>
      <c r="AM66">
        <v>325</v>
      </c>
      <c r="AP66" t="s">
        <v>267</v>
      </c>
    </row>
    <row r="67" spans="1:58" ht="42" hidden="1" x14ac:dyDescent="0.3">
      <c r="A67" s="2" t="s">
        <v>268</v>
      </c>
      <c r="B67" s="2" t="s">
        <v>234</v>
      </c>
      <c r="C67" t="s">
        <v>247</v>
      </c>
      <c r="D67" t="s">
        <v>166</v>
      </c>
      <c r="E67">
        <v>2030</v>
      </c>
      <c r="G67">
        <v>10</v>
      </c>
      <c r="H67" t="s">
        <v>269</v>
      </c>
      <c r="I67">
        <v>60</v>
      </c>
      <c r="J67" t="s">
        <v>270</v>
      </c>
      <c r="K67">
        <v>1020</v>
      </c>
      <c r="L67" t="s">
        <v>270</v>
      </c>
      <c r="M67">
        <v>1</v>
      </c>
      <c r="N67" t="s">
        <v>270</v>
      </c>
      <c r="O67">
        <v>20</v>
      </c>
      <c r="P67" t="s">
        <v>269</v>
      </c>
      <c r="Q67">
        <v>20</v>
      </c>
      <c r="R67">
        <v>7</v>
      </c>
      <c r="S67" s="28">
        <f t="shared" si="1"/>
        <v>9.4393000000000005E-2</v>
      </c>
      <c r="T67" s="28">
        <f t="shared" si="0"/>
        <v>5663.5800000000008</v>
      </c>
      <c r="U67" t="s">
        <v>169</v>
      </c>
      <c r="V67">
        <v>1</v>
      </c>
      <c r="W67" t="s">
        <v>269</v>
      </c>
      <c r="X67">
        <v>0</v>
      </c>
      <c r="AF67">
        <v>8.0000000000000002E-3</v>
      </c>
      <c r="AG67">
        <v>0.08</v>
      </c>
      <c r="AK67">
        <v>5</v>
      </c>
      <c r="AL67" t="s">
        <v>269</v>
      </c>
      <c r="AM67">
        <v>99</v>
      </c>
      <c r="AP67" t="s">
        <v>269</v>
      </c>
      <c r="BA67">
        <v>100</v>
      </c>
      <c r="BB67">
        <v>100</v>
      </c>
      <c r="BF67" t="s">
        <v>269</v>
      </c>
    </row>
    <row r="68" spans="1:58" ht="42" hidden="1" x14ac:dyDescent="0.3">
      <c r="A68" s="2" t="s">
        <v>268</v>
      </c>
      <c r="B68" s="2" t="s">
        <v>234</v>
      </c>
      <c r="C68" t="s">
        <v>247</v>
      </c>
      <c r="D68" t="s">
        <v>166</v>
      </c>
      <c r="E68">
        <v>2050</v>
      </c>
      <c r="G68">
        <v>10</v>
      </c>
      <c r="H68" t="s">
        <v>269</v>
      </c>
      <c r="I68">
        <v>60</v>
      </c>
      <c r="J68" t="s">
        <v>270</v>
      </c>
      <c r="K68">
        <v>920</v>
      </c>
      <c r="L68" t="s">
        <v>270</v>
      </c>
      <c r="M68">
        <v>1</v>
      </c>
      <c r="N68" t="s">
        <v>270</v>
      </c>
      <c r="O68">
        <v>20</v>
      </c>
      <c r="P68" t="s">
        <v>269</v>
      </c>
      <c r="Q68">
        <v>20</v>
      </c>
      <c r="R68">
        <v>7</v>
      </c>
      <c r="S68" s="28">
        <f t="shared" si="1"/>
        <v>9.4393000000000005E-2</v>
      </c>
      <c r="T68" s="28">
        <f t="shared" si="0"/>
        <v>5663.5800000000008</v>
      </c>
      <c r="U68" t="s">
        <v>169</v>
      </c>
      <c r="V68">
        <v>1</v>
      </c>
      <c r="W68" t="s">
        <v>269</v>
      </c>
      <c r="X68">
        <v>0</v>
      </c>
      <c r="AF68">
        <v>8.0000000000000002E-3</v>
      </c>
      <c r="AG68">
        <v>0.08</v>
      </c>
      <c r="AK68">
        <v>5</v>
      </c>
      <c r="AL68" t="s">
        <v>269</v>
      </c>
      <c r="AM68">
        <v>99</v>
      </c>
      <c r="AP68" t="s">
        <v>269</v>
      </c>
      <c r="BA68">
        <v>100</v>
      </c>
      <c r="BB68">
        <v>100</v>
      </c>
      <c r="BF68" t="s">
        <v>269</v>
      </c>
    </row>
    <row r="69" spans="1:58" ht="42" hidden="1" x14ac:dyDescent="0.3">
      <c r="A69" s="2" t="s">
        <v>271</v>
      </c>
      <c r="B69" s="2" t="s">
        <v>234</v>
      </c>
      <c r="C69" t="s">
        <v>247</v>
      </c>
      <c r="D69" t="s">
        <v>166</v>
      </c>
      <c r="E69">
        <v>2030</v>
      </c>
      <c r="G69">
        <f>AVERAGE(0.5,10)</f>
        <v>5.25</v>
      </c>
      <c r="H69" t="s">
        <v>272</v>
      </c>
      <c r="I69">
        <v>50</v>
      </c>
      <c r="J69" t="s">
        <v>273</v>
      </c>
      <c r="K69">
        <v>1900</v>
      </c>
      <c r="L69" t="s">
        <v>273</v>
      </c>
      <c r="M69">
        <v>1</v>
      </c>
      <c r="N69" t="s">
        <v>273</v>
      </c>
      <c r="O69">
        <v>25</v>
      </c>
      <c r="P69" t="s">
        <v>272</v>
      </c>
      <c r="Q69">
        <v>20</v>
      </c>
      <c r="R69">
        <v>7</v>
      </c>
      <c r="S69" s="28">
        <f t="shared" si="1"/>
        <v>9.4393000000000005E-2</v>
      </c>
      <c r="T69" s="28">
        <f t="shared" si="0"/>
        <v>4719.6500000000005</v>
      </c>
      <c r="U69" t="s">
        <v>169</v>
      </c>
      <c r="V69">
        <f>0.4*7</f>
        <v>2.8000000000000003</v>
      </c>
      <c r="W69" t="s">
        <v>272</v>
      </c>
      <c r="AF69">
        <v>0.1</v>
      </c>
      <c r="AG69">
        <v>0.4</v>
      </c>
      <c r="AK69">
        <v>15</v>
      </c>
      <c r="AL69" t="s">
        <v>272</v>
      </c>
      <c r="AM69">
        <v>106</v>
      </c>
      <c r="AP69" t="s">
        <v>272</v>
      </c>
      <c r="BA69" t="s">
        <v>172</v>
      </c>
      <c r="BB69" t="s">
        <v>172</v>
      </c>
    </row>
    <row r="70" spans="1:58" ht="42" hidden="1" x14ac:dyDescent="0.3">
      <c r="A70" s="2" t="s">
        <v>271</v>
      </c>
      <c r="B70" s="2" t="s">
        <v>234</v>
      </c>
      <c r="C70" t="s">
        <v>247</v>
      </c>
      <c r="D70" t="s">
        <v>166</v>
      </c>
      <c r="E70">
        <v>2050</v>
      </c>
      <c r="G70">
        <f>AVERAGE(0.5,10)</f>
        <v>5.25</v>
      </c>
      <c r="H70" t="s">
        <v>272</v>
      </c>
      <c r="I70">
        <v>50</v>
      </c>
      <c r="J70" t="s">
        <v>273</v>
      </c>
      <c r="K70">
        <v>1700</v>
      </c>
      <c r="L70" t="s">
        <v>273</v>
      </c>
      <c r="M70">
        <v>1</v>
      </c>
      <c r="N70" t="s">
        <v>273</v>
      </c>
      <c r="O70">
        <v>25</v>
      </c>
      <c r="P70" t="s">
        <v>272</v>
      </c>
      <c r="Q70">
        <v>20</v>
      </c>
      <c r="R70">
        <v>7</v>
      </c>
      <c r="S70" s="28">
        <f t="shared" si="1"/>
        <v>9.4393000000000005E-2</v>
      </c>
      <c r="T70" s="28">
        <f t="shared" si="0"/>
        <v>4719.6500000000005</v>
      </c>
      <c r="U70" t="s">
        <v>169</v>
      </c>
      <c r="V70">
        <f>0.4*7</f>
        <v>2.8000000000000003</v>
      </c>
      <c r="W70" t="s">
        <v>272</v>
      </c>
      <c r="AF70">
        <v>0.1</v>
      </c>
      <c r="AG70">
        <v>0.4</v>
      </c>
      <c r="AK70">
        <v>15</v>
      </c>
      <c r="AL70" t="s">
        <v>272</v>
      </c>
      <c r="AM70">
        <v>106</v>
      </c>
      <c r="AP70" t="s">
        <v>272</v>
      </c>
      <c r="BA70" t="s">
        <v>172</v>
      </c>
      <c r="BB70" t="s">
        <v>172</v>
      </c>
    </row>
    <row r="71" spans="1:58" ht="42" hidden="1" x14ac:dyDescent="0.3">
      <c r="A71" s="2" t="s">
        <v>274</v>
      </c>
      <c r="B71" s="2" t="s">
        <v>234</v>
      </c>
      <c r="C71" t="s">
        <v>247</v>
      </c>
      <c r="D71" t="s">
        <v>166</v>
      </c>
      <c r="E71">
        <v>2030</v>
      </c>
      <c r="G71">
        <v>6.1</v>
      </c>
      <c r="H71" t="s">
        <v>275</v>
      </c>
      <c r="I71">
        <v>680</v>
      </c>
      <c r="J71" t="s">
        <v>276</v>
      </c>
      <c r="K71">
        <v>31000</v>
      </c>
      <c r="L71" t="s">
        <v>276</v>
      </c>
      <c r="M71">
        <v>2.62</v>
      </c>
      <c r="N71" t="s">
        <v>276</v>
      </c>
      <c r="O71">
        <v>25</v>
      </c>
      <c r="P71" t="s">
        <v>275</v>
      </c>
      <c r="Q71">
        <v>20</v>
      </c>
      <c r="R71">
        <v>7</v>
      </c>
      <c r="S71" s="28">
        <f t="shared" si="1"/>
        <v>9.4393000000000005E-2</v>
      </c>
      <c r="T71" s="28">
        <f t="shared" si="0"/>
        <v>64187.240000000005</v>
      </c>
      <c r="U71" t="s">
        <v>169</v>
      </c>
      <c r="V71">
        <v>21</v>
      </c>
      <c r="W71" t="s">
        <v>275</v>
      </c>
      <c r="AF71">
        <v>0.3</v>
      </c>
      <c r="AG71">
        <v>0.5</v>
      </c>
      <c r="AK71">
        <v>40</v>
      </c>
      <c r="AL71" t="s">
        <v>275</v>
      </c>
      <c r="AM71">
        <v>101.2</v>
      </c>
      <c r="AP71" t="s">
        <v>277</v>
      </c>
      <c r="BA71" t="s">
        <v>172</v>
      </c>
      <c r="BB71" t="s">
        <v>172</v>
      </c>
    </row>
    <row r="72" spans="1:58" ht="42" hidden="1" x14ac:dyDescent="0.3">
      <c r="A72" s="2" t="s">
        <v>274</v>
      </c>
      <c r="B72" s="2" t="s">
        <v>234</v>
      </c>
      <c r="C72" t="s">
        <v>247</v>
      </c>
      <c r="D72" t="s">
        <v>166</v>
      </c>
      <c r="E72">
        <v>2050</v>
      </c>
      <c r="G72">
        <v>6.1</v>
      </c>
      <c r="H72" t="s">
        <v>275</v>
      </c>
      <c r="I72">
        <v>610</v>
      </c>
      <c r="J72" t="s">
        <v>276</v>
      </c>
      <c r="K72">
        <v>27900</v>
      </c>
      <c r="L72" t="s">
        <v>276</v>
      </c>
      <c r="M72">
        <v>2.95</v>
      </c>
      <c r="N72" t="s">
        <v>276</v>
      </c>
      <c r="O72">
        <v>25</v>
      </c>
      <c r="P72" t="s">
        <v>275</v>
      </c>
      <c r="Q72">
        <v>20</v>
      </c>
      <c r="R72">
        <v>7</v>
      </c>
      <c r="S72" s="28">
        <f t="shared" si="1"/>
        <v>9.4393000000000005E-2</v>
      </c>
      <c r="T72" s="28">
        <f t="shared" si="0"/>
        <v>57579.73</v>
      </c>
      <c r="U72" t="s">
        <v>169</v>
      </c>
      <c r="V72">
        <v>21</v>
      </c>
      <c r="W72" t="s">
        <v>275</v>
      </c>
      <c r="AF72">
        <v>0.3</v>
      </c>
      <c r="AG72">
        <v>0.5</v>
      </c>
      <c r="AK72">
        <v>40</v>
      </c>
      <c r="AL72" t="s">
        <v>275</v>
      </c>
      <c r="AM72">
        <v>101.2</v>
      </c>
      <c r="AP72" t="s">
        <v>277</v>
      </c>
      <c r="BA72" t="s">
        <v>172</v>
      </c>
      <c r="BB72" t="s">
        <v>172</v>
      </c>
    </row>
    <row r="73" spans="1:58" ht="42" hidden="1" x14ac:dyDescent="0.3">
      <c r="A73" s="2" t="s">
        <v>278</v>
      </c>
      <c r="B73" s="2" t="s">
        <v>234</v>
      </c>
      <c r="C73" t="s">
        <v>247</v>
      </c>
      <c r="D73" t="s">
        <v>166</v>
      </c>
      <c r="G73">
        <v>200</v>
      </c>
      <c r="H73" t="s">
        <v>228</v>
      </c>
      <c r="I73">
        <v>1000</v>
      </c>
      <c r="J73" t="s">
        <v>228</v>
      </c>
      <c r="K73">
        <v>28000</v>
      </c>
      <c r="L73" t="s">
        <v>228</v>
      </c>
      <c r="M73">
        <v>1.2</v>
      </c>
      <c r="N73" t="s">
        <v>228</v>
      </c>
      <c r="Q73">
        <v>20</v>
      </c>
      <c r="R73">
        <v>7</v>
      </c>
      <c r="S73" s="28">
        <f t="shared" si="1"/>
        <v>9.4393000000000005E-2</v>
      </c>
      <c r="T73" s="28">
        <f t="shared" si="0"/>
        <v>94393</v>
      </c>
      <c r="U73" t="s">
        <v>169</v>
      </c>
      <c r="AI73">
        <v>24</v>
      </c>
      <c r="AJ73">
        <v>24</v>
      </c>
      <c r="AK73">
        <v>40</v>
      </c>
      <c r="AL73" t="s">
        <v>228</v>
      </c>
      <c r="AM73">
        <v>100</v>
      </c>
      <c r="AP73" t="s">
        <v>228</v>
      </c>
      <c r="AQ73">
        <f>40/60</f>
        <v>0.66666666666666663</v>
      </c>
      <c r="AR73" t="s">
        <v>228</v>
      </c>
    </row>
    <row r="74" spans="1:58" ht="42" hidden="1" x14ac:dyDescent="0.3">
      <c r="A74" s="2" t="s">
        <v>279</v>
      </c>
      <c r="B74" s="2" t="s">
        <v>234</v>
      </c>
      <c r="C74" t="s">
        <v>247</v>
      </c>
      <c r="D74" t="s">
        <v>166</v>
      </c>
      <c r="E74">
        <v>2030</v>
      </c>
      <c r="H74" t="s">
        <v>280</v>
      </c>
      <c r="I74" s="34">
        <v>180</v>
      </c>
      <c r="J74" s="34" t="s">
        <v>281</v>
      </c>
      <c r="K74" s="34">
        <v>0.04</v>
      </c>
      <c r="L74" s="34" t="s">
        <v>282</v>
      </c>
      <c r="M74">
        <v>0.3</v>
      </c>
      <c r="N74" t="s">
        <v>283</v>
      </c>
      <c r="O74">
        <v>30</v>
      </c>
      <c r="P74" t="s">
        <v>280</v>
      </c>
      <c r="Q74">
        <v>20</v>
      </c>
      <c r="R74">
        <v>7</v>
      </c>
      <c r="S74" s="28">
        <f>IFERROR(ROUND(-PMT(R74/100,Q74,1),6),0)</f>
        <v>9.4393000000000005E-2</v>
      </c>
      <c r="T74" s="28">
        <f t="shared" si="0"/>
        <v>16990.740000000002</v>
      </c>
      <c r="U74" t="s">
        <v>169</v>
      </c>
      <c r="V74" t="s">
        <v>172</v>
      </c>
      <c r="AF74" t="s">
        <v>172</v>
      </c>
      <c r="AG74" t="s">
        <v>172</v>
      </c>
      <c r="AK74" t="s">
        <v>172</v>
      </c>
      <c r="AM74">
        <v>48</v>
      </c>
      <c r="AP74" t="s">
        <v>284</v>
      </c>
      <c r="BA74" t="s">
        <v>172</v>
      </c>
      <c r="BB74" t="s">
        <v>172</v>
      </c>
    </row>
    <row r="75" spans="1:58" ht="42" hidden="1" x14ac:dyDescent="0.3">
      <c r="A75" s="2" t="s">
        <v>279</v>
      </c>
      <c r="B75" s="2" t="s">
        <v>234</v>
      </c>
      <c r="C75" t="s">
        <v>247</v>
      </c>
      <c r="D75" t="s">
        <v>166</v>
      </c>
      <c r="E75">
        <v>2050</v>
      </c>
      <c r="H75" t="s">
        <v>280</v>
      </c>
      <c r="I75" s="34">
        <v>170</v>
      </c>
      <c r="J75" s="34" t="s">
        <v>281</v>
      </c>
      <c r="K75" s="34">
        <v>0.04</v>
      </c>
      <c r="L75" s="34" t="s">
        <v>282</v>
      </c>
      <c r="M75">
        <v>0.35</v>
      </c>
      <c r="N75" t="s">
        <v>283</v>
      </c>
      <c r="O75">
        <v>30</v>
      </c>
      <c r="P75" t="s">
        <v>280</v>
      </c>
      <c r="Q75">
        <v>20</v>
      </c>
      <c r="R75">
        <v>7</v>
      </c>
      <c r="S75" s="28">
        <f t="shared" si="1"/>
        <v>9.4393000000000005E-2</v>
      </c>
      <c r="T75" s="28">
        <f t="shared" si="0"/>
        <v>16046.810000000001</v>
      </c>
      <c r="U75" t="s">
        <v>169</v>
      </c>
      <c r="V75" t="s">
        <v>172</v>
      </c>
      <c r="AF75" t="s">
        <v>172</v>
      </c>
      <c r="AG75" t="s">
        <v>172</v>
      </c>
      <c r="AK75" t="s">
        <v>172</v>
      </c>
      <c r="AM75">
        <v>50</v>
      </c>
      <c r="AP75" t="s">
        <v>284</v>
      </c>
      <c r="BA75" t="s">
        <v>172</v>
      </c>
      <c r="BB75" t="s">
        <v>172</v>
      </c>
    </row>
    <row r="76" spans="1:58" ht="42" x14ac:dyDescent="0.3">
      <c r="A76" s="2" t="s">
        <v>285</v>
      </c>
      <c r="B76" s="2" t="s">
        <v>234</v>
      </c>
      <c r="C76" t="s">
        <v>165</v>
      </c>
      <c r="D76" t="s">
        <v>166</v>
      </c>
      <c r="E76">
        <v>2030</v>
      </c>
      <c r="G76">
        <f>AVERAGE(10,100)</f>
        <v>55</v>
      </c>
      <c r="H76" t="s">
        <v>286</v>
      </c>
      <c r="I76">
        <v>1200</v>
      </c>
      <c r="J76" t="s">
        <v>287</v>
      </c>
      <c r="K76">
        <v>27800</v>
      </c>
      <c r="L76" t="s">
        <v>287</v>
      </c>
      <c r="M76">
        <v>4.2</v>
      </c>
      <c r="N76" t="s">
        <v>287</v>
      </c>
      <c r="O76">
        <v>25</v>
      </c>
      <c r="P76" t="s">
        <v>286</v>
      </c>
      <c r="Q76">
        <v>20</v>
      </c>
      <c r="R76">
        <v>7</v>
      </c>
      <c r="S76" s="28">
        <f t="shared" si="1"/>
        <v>9.4393000000000005E-2</v>
      </c>
      <c r="T76" s="28">
        <f t="shared" si="0"/>
        <v>113271.6</v>
      </c>
      <c r="U76" t="s">
        <v>169</v>
      </c>
      <c r="V76">
        <v>14</v>
      </c>
      <c r="W76" t="s">
        <v>286</v>
      </c>
      <c r="AF76">
        <v>1</v>
      </c>
      <c r="AG76">
        <v>2.5</v>
      </c>
      <c r="AK76">
        <v>40</v>
      </c>
      <c r="AL76" t="s">
        <v>286</v>
      </c>
      <c r="AM76">
        <v>53</v>
      </c>
      <c r="AP76" t="s">
        <v>286</v>
      </c>
      <c r="BA76" t="s">
        <v>172</v>
      </c>
      <c r="BB76">
        <v>15</v>
      </c>
      <c r="BF76" t="s">
        <v>286</v>
      </c>
    </row>
    <row r="77" spans="1:58" ht="42" x14ac:dyDescent="0.3">
      <c r="A77" s="2" t="s">
        <v>285</v>
      </c>
      <c r="B77" s="2" t="s">
        <v>234</v>
      </c>
      <c r="C77" t="s">
        <v>165</v>
      </c>
      <c r="D77" t="s">
        <v>166</v>
      </c>
      <c r="E77">
        <v>2050</v>
      </c>
      <c r="G77">
        <f>AVERAGE(10,100)</f>
        <v>55</v>
      </c>
      <c r="H77" t="s">
        <v>286</v>
      </c>
      <c r="I77">
        <v>1100</v>
      </c>
      <c r="J77" t="s">
        <v>287</v>
      </c>
      <c r="K77">
        <v>26000</v>
      </c>
      <c r="L77" t="s">
        <v>287</v>
      </c>
      <c r="M77">
        <v>4</v>
      </c>
      <c r="N77" t="s">
        <v>287</v>
      </c>
      <c r="O77">
        <v>25</v>
      </c>
      <c r="P77" t="s">
        <v>286</v>
      </c>
      <c r="Q77">
        <v>20</v>
      </c>
      <c r="R77">
        <v>7</v>
      </c>
      <c r="S77" s="28">
        <f t="shared" si="1"/>
        <v>9.4393000000000005E-2</v>
      </c>
      <c r="T77" s="28">
        <f t="shared" si="0"/>
        <v>103832.3</v>
      </c>
      <c r="U77" t="s">
        <v>169</v>
      </c>
      <c r="V77">
        <v>14</v>
      </c>
      <c r="W77" t="s">
        <v>286</v>
      </c>
      <c r="AF77">
        <v>1</v>
      </c>
      <c r="AG77">
        <v>2</v>
      </c>
      <c r="AK77">
        <v>40</v>
      </c>
      <c r="AL77" t="s">
        <v>286</v>
      </c>
      <c r="AM77">
        <v>55</v>
      </c>
      <c r="AP77" t="s">
        <v>286</v>
      </c>
      <c r="BA77" t="s">
        <v>172</v>
      </c>
      <c r="BB77">
        <v>15</v>
      </c>
      <c r="BF77" t="s">
        <v>286</v>
      </c>
    </row>
    <row r="78" spans="1:58" ht="42" hidden="1" x14ac:dyDescent="0.3">
      <c r="A78" s="2" t="s">
        <v>285</v>
      </c>
      <c r="B78" s="2" t="s">
        <v>234</v>
      </c>
      <c r="C78" t="s">
        <v>247</v>
      </c>
      <c r="D78" t="s">
        <v>166</v>
      </c>
      <c r="E78">
        <v>2030</v>
      </c>
      <c r="S78" s="28">
        <f t="shared" si="1"/>
        <v>0</v>
      </c>
      <c r="T78" s="28">
        <f t="shared" si="0"/>
        <v>0</v>
      </c>
      <c r="AM78">
        <f>ROUND(53/1.4,5)</f>
        <v>37.857140000000001</v>
      </c>
      <c r="AP78" t="s">
        <v>286</v>
      </c>
    </row>
    <row r="79" spans="1:58" ht="42" hidden="1" x14ac:dyDescent="0.3">
      <c r="A79" s="2" t="s">
        <v>285</v>
      </c>
      <c r="B79" s="2" t="s">
        <v>234</v>
      </c>
      <c r="C79" t="s">
        <v>247</v>
      </c>
      <c r="D79" t="s">
        <v>166</v>
      </c>
      <c r="E79">
        <v>2050</v>
      </c>
      <c r="S79" s="28">
        <f t="shared" si="1"/>
        <v>0</v>
      </c>
      <c r="T79" s="28">
        <f t="shared" si="0"/>
        <v>0</v>
      </c>
      <c r="AM79">
        <f>ROUND(55/1.55,5)</f>
        <v>35.483870000000003</v>
      </c>
      <c r="AP79" t="s">
        <v>286</v>
      </c>
    </row>
    <row r="80" spans="1:58" ht="42" x14ac:dyDescent="0.3">
      <c r="A80" s="2" t="s">
        <v>288</v>
      </c>
      <c r="B80" s="2" t="s">
        <v>234</v>
      </c>
      <c r="C80" t="s">
        <v>165</v>
      </c>
      <c r="D80" t="s">
        <v>166</v>
      </c>
      <c r="E80">
        <v>2030</v>
      </c>
      <c r="G80">
        <v>24.7</v>
      </c>
      <c r="H80" t="s">
        <v>289</v>
      </c>
      <c r="I80">
        <v>2900</v>
      </c>
      <c r="J80" t="s">
        <v>290</v>
      </c>
      <c r="K80">
        <v>117000</v>
      </c>
      <c r="L80" t="s">
        <v>290</v>
      </c>
      <c r="M80">
        <v>1.9</v>
      </c>
      <c r="N80" t="s">
        <v>290</v>
      </c>
      <c r="O80">
        <v>25</v>
      </c>
      <c r="P80" t="s">
        <v>289</v>
      </c>
      <c r="Q80">
        <v>20</v>
      </c>
      <c r="R80">
        <v>7</v>
      </c>
      <c r="S80" s="28">
        <f t="shared" si="1"/>
        <v>9.4393000000000005E-2</v>
      </c>
      <c r="T80" s="28">
        <f t="shared" si="0"/>
        <v>273739.7</v>
      </c>
      <c r="U80" t="s">
        <v>169</v>
      </c>
      <c r="V80">
        <v>21</v>
      </c>
      <c r="W80" t="s">
        <v>289</v>
      </c>
      <c r="AF80">
        <v>0.25</v>
      </c>
      <c r="AG80">
        <v>8</v>
      </c>
      <c r="AK80">
        <v>15</v>
      </c>
      <c r="AL80" t="s">
        <v>289</v>
      </c>
      <c r="AM80">
        <v>30.9</v>
      </c>
      <c r="AP80" t="s">
        <v>289</v>
      </c>
      <c r="BA80" t="s">
        <v>172</v>
      </c>
      <c r="BB80">
        <v>10</v>
      </c>
      <c r="BF80" t="s">
        <v>289</v>
      </c>
    </row>
    <row r="81" spans="1:58" ht="42" x14ac:dyDescent="0.3">
      <c r="A81" s="2" t="s">
        <v>288</v>
      </c>
      <c r="B81" s="2" t="s">
        <v>234</v>
      </c>
      <c r="C81" t="s">
        <v>165</v>
      </c>
      <c r="D81" t="s">
        <v>166</v>
      </c>
      <c r="E81">
        <v>2050</v>
      </c>
      <c r="G81">
        <v>24.4</v>
      </c>
      <c r="H81" t="s">
        <v>289</v>
      </c>
      <c r="I81">
        <v>2700</v>
      </c>
      <c r="J81" t="s">
        <v>290</v>
      </c>
      <c r="K81">
        <v>108000</v>
      </c>
      <c r="L81" t="s">
        <v>290</v>
      </c>
      <c r="M81">
        <v>1.9</v>
      </c>
      <c r="N81" t="s">
        <v>290</v>
      </c>
      <c r="O81">
        <v>25</v>
      </c>
      <c r="P81" t="s">
        <v>289</v>
      </c>
      <c r="Q81">
        <v>20</v>
      </c>
      <c r="R81">
        <v>7</v>
      </c>
      <c r="S81" s="28">
        <f t="shared" si="1"/>
        <v>9.4393000000000005E-2</v>
      </c>
      <c r="T81" s="28">
        <f t="shared" si="0"/>
        <v>254861.10000000003</v>
      </c>
      <c r="U81" t="s">
        <v>169</v>
      </c>
      <c r="V81">
        <v>21</v>
      </c>
      <c r="W81" t="s">
        <v>289</v>
      </c>
      <c r="AF81">
        <v>0.25</v>
      </c>
      <c r="AG81">
        <v>8</v>
      </c>
      <c r="AK81">
        <v>15</v>
      </c>
      <c r="AL81" t="s">
        <v>289</v>
      </c>
      <c r="AM81">
        <v>30.5</v>
      </c>
      <c r="AP81" t="s">
        <v>289</v>
      </c>
      <c r="BA81" t="s">
        <v>172</v>
      </c>
      <c r="BB81">
        <v>10</v>
      </c>
      <c r="BF81" t="s">
        <v>289</v>
      </c>
    </row>
    <row r="82" spans="1:58" ht="42" hidden="1" x14ac:dyDescent="0.3">
      <c r="A82" s="2" t="s">
        <v>288</v>
      </c>
      <c r="B82" s="2" t="s">
        <v>234</v>
      </c>
      <c r="C82" t="s">
        <v>247</v>
      </c>
      <c r="D82" t="s">
        <v>166</v>
      </c>
      <c r="E82">
        <v>2030</v>
      </c>
      <c r="G82">
        <f>ROUND(0.676*24.7/0.309,2)</f>
        <v>54.04</v>
      </c>
      <c r="H82" t="s">
        <v>289</v>
      </c>
      <c r="S82" s="28">
        <f t="shared" si="1"/>
        <v>0</v>
      </c>
      <c r="T82" s="28">
        <f t="shared" si="0"/>
        <v>0</v>
      </c>
      <c r="AM82">
        <v>67.599999999999994</v>
      </c>
      <c r="AP82" t="s">
        <v>289</v>
      </c>
    </row>
    <row r="83" spans="1:58" ht="42" hidden="1" x14ac:dyDescent="0.3">
      <c r="A83" s="2" t="s">
        <v>288</v>
      </c>
      <c r="B83" s="2" t="s">
        <v>234</v>
      </c>
      <c r="C83" t="s">
        <v>247</v>
      </c>
      <c r="D83" t="s">
        <v>166</v>
      </c>
      <c r="E83">
        <v>2050</v>
      </c>
      <c r="G83">
        <f>ROUND(0.68*24.4/0.305,2)</f>
        <v>54.4</v>
      </c>
      <c r="H83" t="s">
        <v>289</v>
      </c>
      <c r="S83" s="28">
        <f t="shared" si="1"/>
        <v>0</v>
      </c>
      <c r="T83" s="28">
        <f t="shared" ref="T83:T138" si="15">S83*I83*1000</f>
        <v>0</v>
      </c>
      <c r="AM83">
        <v>68</v>
      </c>
      <c r="AP83" t="s">
        <v>289</v>
      </c>
    </row>
    <row r="84" spans="1:58" ht="42" x14ac:dyDescent="0.3">
      <c r="A84" s="2" t="s">
        <v>291</v>
      </c>
      <c r="B84" s="2" t="s">
        <v>234</v>
      </c>
      <c r="C84" t="s">
        <v>165</v>
      </c>
      <c r="D84" t="s">
        <v>166</v>
      </c>
      <c r="G84">
        <v>45</v>
      </c>
      <c r="H84" t="s">
        <v>228</v>
      </c>
      <c r="I84">
        <v>5067</v>
      </c>
      <c r="J84" t="s">
        <v>228</v>
      </c>
      <c r="K84">
        <v>126700</v>
      </c>
      <c r="L84" t="s">
        <v>228</v>
      </c>
      <c r="M84">
        <f>1.2/(45/150)</f>
        <v>4</v>
      </c>
      <c r="N84" t="s">
        <v>228</v>
      </c>
      <c r="Q84">
        <v>20</v>
      </c>
      <c r="R84">
        <v>7</v>
      </c>
      <c r="S84" s="28">
        <f t="shared" ref="S84:S85" si="16">IFERROR(ROUND(-PMT(R84/100,Q84,1),6),0)</f>
        <v>9.4393000000000005E-2</v>
      </c>
      <c r="T84" s="28">
        <f t="shared" si="15"/>
        <v>478289.33100000001</v>
      </c>
      <c r="AI84">
        <v>24</v>
      </c>
      <c r="AJ84">
        <v>24</v>
      </c>
      <c r="AK84">
        <v>40</v>
      </c>
      <c r="AL84" t="s">
        <v>228</v>
      </c>
      <c r="AM84">
        <f>45/200</f>
        <v>0.22500000000000001</v>
      </c>
      <c r="AP84" t="s">
        <v>228</v>
      </c>
      <c r="AQ84">
        <f>40/60</f>
        <v>0.66666666666666663</v>
      </c>
      <c r="AR84" t="s">
        <v>228</v>
      </c>
      <c r="AU84">
        <v>50</v>
      </c>
      <c r="AV84">
        <v>4.07</v>
      </c>
      <c r="AW84" t="s">
        <v>228</v>
      </c>
    </row>
    <row r="85" spans="1:58" ht="42" hidden="1" x14ac:dyDescent="0.3">
      <c r="A85" s="2" t="s">
        <v>291</v>
      </c>
      <c r="B85" s="2" t="s">
        <v>234</v>
      </c>
      <c r="C85" t="s">
        <v>247</v>
      </c>
      <c r="D85" t="s">
        <v>166</v>
      </c>
      <c r="G85">
        <v>50</v>
      </c>
      <c r="H85" t="s">
        <v>292</v>
      </c>
      <c r="M85">
        <v>1.2</v>
      </c>
      <c r="N85" t="s">
        <v>228</v>
      </c>
      <c r="S85" s="28">
        <f t="shared" si="16"/>
        <v>0</v>
      </c>
      <c r="T85" s="28">
        <f t="shared" si="15"/>
        <v>0</v>
      </c>
      <c r="AM85">
        <f>50/200</f>
        <v>0.25</v>
      </c>
    </row>
    <row r="86" spans="1:58" s="65" customFormat="1" ht="28" x14ac:dyDescent="0.3">
      <c r="A86" s="64" t="s">
        <v>293</v>
      </c>
      <c r="B86" s="64" t="s">
        <v>294</v>
      </c>
      <c r="C86" s="65" t="s">
        <v>165</v>
      </c>
      <c r="D86" s="65" t="s">
        <v>166</v>
      </c>
      <c r="E86" s="65">
        <v>2030</v>
      </c>
      <c r="G86" s="65">
        <v>21</v>
      </c>
      <c r="H86" s="66" t="s">
        <v>295</v>
      </c>
      <c r="I86" s="65">
        <v>160</v>
      </c>
      <c r="J86" s="65" t="s">
        <v>296</v>
      </c>
      <c r="K86" s="65">
        <v>540</v>
      </c>
      <c r="L86" s="65" t="s">
        <v>296</v>
      </c>
      <c r="M86" s="65">
        <v>1.8</v>
      </c>
      <c r="N86" s="65" t="s">
        <v>296</v>
      </c>
      <c r="O86" s="65">
        <v>25</v>
      </c>
      <c r="P86" s="66" t="s">
        <v>295</v>
      </c>
      <c r="Q86" s="65">
        <v>20</v>
      </c>
      <c r="R86" s="65">
        <v>7</v>
      </c>
      <c r="S86" s="67">
        <f>IFERROR(ROUND(-PMT(R86/100,Q86,1),6),0)</f>
        <v>9.4393000000000005E-2</v>
      </c>
      <c r="T86" s="67">
        <f t="shared" si="15"/>
        <v>15102.880000000001</v>
      </c>
      <c r="U86" s="65" t="s">
        <v>169</v>
      </c>
      <c r="V86" s="68">
        <f>0.1*7</f>
        <v>0.70000000000000007</v>
      </c>
      <c r="W86" s="66" t="s">
        <v>295</v>
      </c>
      <c r="X86" s="68"/>
      <c r="Y86" s="68"/>
      <c r="Z86" s="68"/>
      <c r="AA86" s="68"/>
      <c r="AB86" s="68"/>
      <c r="AC86" s="68"/>
      <c r="AD86" s="68"/>
      <c r="AE86" s="68"/>
      <c r="AF86" s="68"/>
      <c r="AG86" s="68"/>
      <c r="AH86" s="68"/>
      <c r="AI86" s="68"/>
      <c r="AJ86" s="68"/>
      <c r="AK86" s="68"/>
      <c r="AL86" s="68"/>
      <c r="AM86" s="65">
        <v>97.5</v>
      </c>
      <c r="AN86" s="65">
        <v>95.5</v>
      </c>
      <c r="AP86" s="66" t="s">
        <v>297</v>
      </c>
      <c r="AU86" s="65">
        <v>0</v>
      </c>
      <c r="AV86" s="65">
        <v>0</v>
      </c>
      <c r="AX86" s="65">
        <v>100</v>
      </c>
      <c r="AY86" s="65">
        <v>100</v>
      </c>
      <c r="AZ86" s="65">
        <v>100</v>
      </c>
      <c r="BA86" s="65">
        <v>100</v>
      </c>
      <c r="BB86" s="65">
        <v>100</v>
      </c>
      <c r="BC86" s="65">
        <v>100</v>
      </c>
      <c r="BD86" s="65">
        <v>100</v>
      </c>
      <c r="BE86" s="65">
        <v>100</v>
      </c>
      <c r="BF86" s="65" t="s">
        <v>298</v>
      </c>
    </row>
    <row r="87" spans="1:58" ht="28" x14ac:dyDescent="0.3">
      <c r="A87" s="2" t="s">
        <v>293</v>
      </c>
      <c r="B87" s="2" t="s">
        <v>294</v>
      </c>
      <c r="C87" t="s">
        <v>165</v>
      </c>
      <c r="D87" t="s">
        <v>231</v>
      </c>
      <c r="E87">
        <v>2030</v>
      </c>
      <c r="G87">
        <v>3.5</v>
      </c>
      <c r="H87" t="s">
        <v>295</v>
      </c>
      <c r="I87" t="s">
        <v>172</v>
      </c>
      <c r="J87" t="s">
        <v>296</v>
      </c>
      <c r="K87" t="s">
        <v>172</v>
      </c>
      <c r="L87" t="s">
        <v>296</v>
      </c>
      <c r="M87" t="s">
        <v>172</v>
      </c>
      <c r="N87" t="s">
        <v>296</v>
      </c>
      <c r="O87">
        <v>25</v>
      </c>
      <c r="P87" t="s">
        <v>295</v>
      </c>
      <c r="Q87">
        <v>20</v>
      </c>
      <c r="R87">
        <v>7</v>
      </c>
      <c r="S87" s="28">
        <f t="shared" ref="S87:S138" si="17">IFERROR(ROUND(-PMT(R87/100,Q87,1),6),0)</f>
        <v>9.4393000000000005E-2</v>
      </c>
      <c r="T87" s="28" t="e">
        <f t="shared" si="15"/>
        <v>#VALUE!</v>
      </c>
      <c r="U87" t="s">
        <v>169</v>
      </c>
      <c r="V87">
        <f t="shared" ref="V87:V94" si="18">0.1*7</f>
        <v>0.70000000000000007</v>
      </c>
      <c r="W87" t="s">
        <v>295</v>
      </c>
      <c r="AM87">
        <v>98.5</v>
      </c>
      <c r="AN87">
        <v>96.5</v>
      </c>
      <c r="AP87" t="s">
        <v>297</v>
      </c>
      <c r="AU87">
        <v>0</v>
      </c>
      <c r="AV87">
        <v>0</v>
      </c>
      <c r="AX87">
        <v>100</v>
      </c>
      <c r="AY87">
        <v>100</v>
      </c>
      <c r="AZ87">
        <v>100</v>
      </c>
      <c r="BA87">
        <v>100</v>
      </c>
      <c r="BB87">
        <v>100</v>
      </c>
      <c r="BC87">
        <v>100</v>
      </c>
      <c r="BD87">
        <v>100</v>
      </c>
      <c r="BE87">
        <v>100</v>
      </c>
      <c r="BF87" t="s">
        <v>298</v>
      </c>
    </row>
    <row r="88" spans="1:58" ht="28" hidden="1" x14ac:dyDescent="0.3">
      <c r="A88" s="2" t="s">
        <v>293</v>
      </c>
      <c r="B88" s="2" t="s">
        <v>294</v>
      </c>
      <c r="D88" t="s">
        <v>232</v>
      </c>
      <c r="E88">
        <v>2030</v>
      </c>
      <c r="G88">
        <v>7</v>
      </c>
      <c r="H88" t="s">
        <v>295</v>
      </c>
      <c r="I88">
        <v>142</v>
      </c>
      <c r="J88" t="s">
        <v>296</v>
      </c>
      <c r="K88" t="s">
        <v>172</v>
      </c>
      <c r="L88" t="s">
        <v>296</v>
      </c>
      <c r="M88" t="s">
        <v>172</v>
      </c>
      <c r="N88" t="s">
        <v>296</v>
      </c>
      <c r="O88">
        <v>25</v>
      </c>
      <c r="P88" t="s">
        <v>295</v>
      </c>
      <c r="Q88">
        <v>20</v>
      </c>
      <c r="R88">
        <v>7</v>
      </c>
      <c r="S88" s="28">
        <f t="shared" si="17"/>
        <v>9.4393000000000005E-2</v>
      </c>
      <c r="T88" s="28">
        <f t="shared" si="15"/>
        <v>13403.806</v>
      </c>
      <c r="U88" t="s">
        <v>169</v>
      </c>
      <c r="V88">
        <f t="shared" si="18"/>
        <v>0.70000000000000007</v>
      </c>
      <c r="W88" t="s">
        <v>295</v>
      </c>
      <c r="AO88">
        <v>0.1</v>
      </c>
      <c r="AP88" t="s">
        <v>295</v>
      </c>
    </row>
    <row r="89" spans="1:58" ht="28" x14ac:dyDescent="0.3">
      <c r="A89" s="2" t="s">
        <v>293</v>
      </c>
      <c r="B89" s="2" t="s">
        <v>294</v>
      </c>
      <c r="C89" t="s">
        <v>165</v>
      </c>
      <c r="D89" t="s">
        <v>166</v>
      </c>
      <c r="E89">
        <v>2040</v>
      </c>
      <c r="G89">
        <v>24</v>
      </c>
      <c r="H89" t="s">
        <v>295</v>
      </c>
      <c r="I89">
        <v>100</v>
      </c>
      <c r="J89" t="s">
        <v>296</v>
      </c>
      <c r="K89">
        <v>540</v>
      </c>
      <c r="L89" t="s">
        <v>296</v>
      </c>
      <c r="M89">
        <v>1.7</v>
      </c>
      <c r="N89" t="s">
        <v>296</v>
      </c>
      <c r="O89">
        <v>30</v>
      </c>
      <c r="P89" t="s">
        <v>295</v>
      </c>
      <c r="Q89">
        <v>20</v>
      </c>
      <c r="R89">
        <v>7</v>
      </c>
      <c r="S89" s="28">
        <f t="shared" si="17"/>
        <v>9.4393000000000005E-2</v>
      </c>
      <c r="T89" s="28">
        <f t="shared" si="15"/>
        <v>9439.3000000000011</v>
      </c>
      <c r="U89" t="s">
        <v>169</v>
      </c>
      <c r="V89">
        <f t="shared" si="18"/>
        <v>0.70000000000000007</v>
      </c>
      <c r="W89" t="s">
        <v>295</v>
      </c>
      <c r="AM89">
        <v>97.5</v>
      </c>
      <c r="AN89">
        <v>95.5</v>
      </c>
      <c r="AP89" t="s">
        <v>297</v>
      </c>
      <c r="AX89">
        <v>100</v>
      </c>
      <c r="AY89">
        <v>100</v>
      </c>
      <c r="AZ89">
        <v>100</v>
      </c>
      <c r="BA89">
        <v>100</v>
      </c>
      <c r="BB89">
        <v>100</v>
      </c>
      <c r="BC89">
        <v>100</v>
      </c>
      <c r="BD89">
        <v>100</v>
      </c>
      <c r="BE89">
        <v>100</v>
      </c>
      <c r="BF89" t="s">
        <v>298</v>
      </c>
    </row>
    <row r="90" spans="1:58" ht="28" x14ac:dyDescent="0.3">
      <c r="A90" s="2" t="s">
        <v>293</v>
      </c>
      <c r="B90" s="2" t="s">
        <v>294</v>
      </c>
      <c r="C90" t="s">
        <v>165</v>
      </c>
      <c r="D90" t="s">
        <v>231</v>
      </c>
      <c r="E90">
        <v>2040</v>
      </c>
      <c r="G90">
        <v>4</v>
      </c>
      <c r="H90" t="s">
        <v>295</v>
      </c>
      <c r="I90" t="s">
        <v>172</v>
      </c>
      <c r="J90" t="s">
        <v>296</v>
      </c>
      <c r="K90" t="s">
        <v>172</v>
      </c>
      <c r="L90" t="s">
        <v>296</v>
      </c>
      <c r="M90" t="s">
        <v>172</v>
      </c>
      <c r="N90" t="s">
        <v>296</v>
      </c>
      <c r="O90">
        <v>30</v>
      </c>
      <c r="P90" t="s">
        <v>295</v>
      </c>
      <c r="Q90">
        <v>20</v>
      </c>
      <c r="R90">
        <v>7</v>
      </c>
      <c r="S90" s="28">
        <f t="shared" si="17"/>
        <v>9.4393000000000005E-2</v>
      </c>
      <c r="T90" s="28" t="e">
        <f t="shared" si="15"/>
        <v>#VALUE!</v>
      </c>
      <c r="U90" t="s">
        <v>169</v>
      </c>
      <c r="V90">
        <f t="shared" si="18"/>
        <v>0.70000000000000007</v>
      </c>
      <c r="W90" t="s">
        <v>295</v>
      </c>
      <c r="AM90">
        <v>98.5</v>
      </c>
      <c r="AN90">
        <v>96.5</v>
      </c>
      <c r="AP90" t="s">
        <v>297</v>
      </c>
      <c r="AX90">
        <v>100</v>
      </c>
      <c r="AY90">
        <v>100</v>
      </c>
      <c r="AZ90">
        <v>100</v>
      </c>
      <c r="BA90">
        <v>100</v>
      </c>
      <c r="BB90">
        <v>100</v>
      </c>
      <c r="BC90">
        <v>100</v>
      </c>
      <c r="BD90">
        <v>100</v>
      </c>
      <c r="BE90">
        <v>100</v>
      </c>
      <c r="BF90" t="s">
        <v>298</v>
      </c>
    </row>
    <row r="91" spans="1:58" ht="28" hidden="1" x14ac:dyDescent="0.3">
      <c r="A91" s="2" t="s">
        <v>293</v>
      </c>
      <c r="B91" s="2" t="s">
        <v>294</v>
      </c>
      <c r="D91" t="s">
        <v>232</v>
      </c>
      <c r="E91">
        <v>2040</v>
      </c>
      <c r="G91">
        <v>8</v>
      </c>
      <c r="H91" t="s">
        <v>295</v>
      </c>
      <c r="I91">
        <v>94</v>
      </c>
      <c r="J91" t="s">
        <v>296</v>
      </c>
      <c r="K91" t="s">
        <v>172</v>
      </c>
      <c r="L91" t="s">
        <v>296</v>
      </c>
      <c r="M91" t="s">
        <v>172</v>
      </c>
      <c r="N91" t="s">
        <v>296</v>
      </c>
      <c r="O91">
        <v>30</v>
      </c>
      <c r="P91" t="s">
        <v>295</v>
      </c>
      <c r="Q91">
        <v>20</v>
      </c>
      <c r="R91">
        <v>7</v>
      </c>
      <c r="S91" s="28">
        <f t="shared" si="17"/>
        <v>9.4393000000000005E-2</v>
      </c>
      <c r="T91" s="28">
        <f t="shared" si="15"/>
        <v>8872.9420000000009</v>
      </c>
      <c r="U91" t="s">
        <v>169</v>
      </c>
      <c r="V91">
        <f t="shared" si="18"/>
        <v>0.70000000000000007</v>
      </c>
      <c r="W91" t="s">
        <v>295</v>
      </c>
      <c r="AO91">
        <v>0.1</v>
      </c>
      <c r="AP91" t="s">
        <v>295</v>
      </c>
    </row>
    <row r="92" spans="1:58" ht="28" x14ac:dyDescent="0.3">
      <c r="A92" s="2" t="s">
        <v>293</v>
      </c>
      <c r="B92" s="2" t="s">
        <v>294</v>
      </c>
      <c r="C92" t="s">
        <v>165</v>
      </c>
      <c r="D92" t="s">
        <v>166</v>
      </c>
      <c r="E92">
        <v>2050</v>
      </c>
      <c r="G92">
        <v>24</v>
      </c>
      <c r="H92" t="s">
        <v>295</v>
      </c>
      <c r="I92">
        <v>60</v>
      </c>
      <c r="J92" t="s">
        <v>296</v>
      </c>
      <c r="K92">
        <v>540</v>
      </c>
      <c r="L92" t="s">
        <v>296</v>
      </c>
      <c r="M92">
        <v>1.6</v>
      </c>
      <c r="N92" t="s">
        <v>296</v>
      </c>
      <c r="O92">
        <v>30</v>
      </c>
      <c r="P92" t="s">
        <v>295</v>
      </c>
      <c r="Q92">
        <v>20</v>
      </c>
      <c r="R92">
        <v>7</v>
      </c>
      <c r="S92" s="28">
        <f t="shared" si="17"/>
        <v>9.4393000000000005E-2</v>
      </c>
      <c r="T92" s="28">
        <f t="shared" si="15"/>
        <v>5663.5800000000008</v>
      </c>
      <c r="U92" t="s">
        <v>169</v>
      </c>
      <c r="V92">
        <f t="shared" si="18"/>
        <v>0.70000000000000007</v>
      </c>
      <c r="W92" t="s">
        <v>295</v>
      </c>
      <c r="AM92">
        <v>97.5</v>
      </c>
      <c r="AN92">
        <v>95.5</v>
      </c>
      <c r="AP92" t="s">
        <v>297</v>
      </c>
      <c r="AX92">
        <v>100</v>
      </c>
      <c r="AY92">
        <v>100</v>
      </c>
      <c r="AZ92">
        <v>100</v>
      </c>
      <c r="BA92">
        <v>100</v>
      </c>
      <c r="BB92">
        <v>100</v>
      </c>
      <c r="BC92">
        <v>100</v>
      </c>
      <c r="BD92">
        <v>100</v>
      </c>
      <c r="BE92">
        <v>100</v>
      </c>
      <c r="BF92" t="s">
        <v>298</v>
      </c>
    </row>
    <row r="93" spans="1:58" ht="28" x14ac:dyDescent="0.3">
      <c r="A93" s="2" t="s">
        <v>293</v>
      </c>
      <c r="B93" s="2" t="s">
        <v>294</v>
      </c>
      <c r="C93" t="s">
        <v>165</v>
      </c>
      <c r="D93" t="s">
        <v>231</v>
      </c>
      <c r="E93">
        <v>2050</v>
      </c>
      <c r="G93">
        <v>4</v>
      </c>
      <c r="H93" t="s">
        <v>295</v>
      </c>
      <c r="I93" t="s">
        <v>172</v>
      </c>
      <c r="J93" t="s">
        <v>296</v>
      </c>
      <c r="K93" t="s">
        <v>172</v>
      </c>
      <c r="L93" t="s">
        <v>296</v>
      </c>
      <c r="M93" t="s">
        <v>172</v>
      </c>
      <c r="N93" t="s">
        <v>296</v>
      </c>
      <c r="O93">
        <v>30</v>
      </c>
      <c r="P93" t="s">
        <v>295</v>
      </c>
      <c r="Q93">
        <v>20</v>
      </c>
      <c r="R93">
        <v>7</v>
      </c>
      <c r="S93" s="28">
        <f t="shared" si="17"/>
        <v>9.4393000000000005E-2</v>
      </c>
      <c r="T93" s="28" t="e">
        <f t="shared" si="15"/>
        <v>#VALUE!</v>
      </c>
      <c r="U93" t="s">
        <v>169</v>
      </c>
      <c r="V93">
        <f t="shared" si="18"/>
        <v>0.70000000000000007</v>
      </c>
      <c r="W93" t="s">
        <v>295</v>
      </c>
      <c r="AM93">
        <v>98.5</v>
      </c>
      <c r="AN93">
        <v>96.5</v>
      </c>
      <c r="AP93" t="s">
        <v>297</v>
      </c>
      <c r="AX93">
        <v>100</v>
      </c>
      <c r="AY93">
        <v>100</v>
      </c>
      <c r="AZ93">
        <v>100</v>
      </c>
      <c r="BA93">
        <v>100</v>
      </c>
      <c r="BB93">
        <v>100</v>
      </c>
      <c r="BC93">
        <v>100</v>
      </c>
      <c r="BD93">
        <v>100</v>
      </c>
      <c r="BE93">
        <v>100</v>
      </c>
      <c r="BF93" t="s">
        <v>298</v>
      </c>
    </row>
    <row r="94" spans="1:58" ht="28" hidden="1" x14ac:dyDescent="0.3">
      <c r="A94" s="2" t="s">
        <v>293</v>
      </c>
      <c r="B94" s="2" t="s">
        <v>294</v>
      </c>
      <c r="D94" t="s">
        <v>232</v>
      </c>
      <c r="E94">
        <v>2050</v>
      </c>
      <c r="G94">
        <v>8</v>
      </c>
      <c r="H94" t="s">
        <v>295</v>
      </c>
      <c r="I94">
        <v>75</v>
      </c>
      <c r="J94" t="s">
        <v>296</v>
      </c>
      <c r="K94" t="s">
        <v>172</v>
      </c>
      <c r="L94" t="s">
        <v>296</v>
      </c>
      <c r="M94" t="s">
        <v>172</v>
      </c>
      <c r="N94" t="s">
        <v>296</v>
      </c>
      <c r="O94">
        <v>30</v>
      </c>
      <c r="P94" t="s">
        <v>295</v>
      </c>
      <c r="Q94">
        <v>20</v>
      </c>
      <c r="R94">
        <v>7</v>
      </c>
      <c r="S94" s="28">
        <f t="shared" si="17"/>
        <v>9.4393000000000005E-2</v>
      </c>
      <c r="T94" s="28">
        <f t="shared" si="15"/>
        <v>7079.4750000000004</v>
      </c>
      <c r="U94" t="s">
        <v>169</v>
      </c>
      <c r="V94">
        <f t="shared" si="18"/>
        <v>0.70000000000000007</v>
      </c>
      <c r="W94" t="s">
        <v>295</v>
      </c>
      <c r="AO94">
        <v>0.1</v>
      </c>
      <c r="AP94" t="s">
        <v>295</v>
      </c>
    </row>
    <row r="95" spans="1:58" x14ac:dyDescent="0.3">
      <c r="A95" s="2" t="s">
        <v>299</v>
      </c>
      <c r="B95" s="2" t="s">
        <v>294</v>
      </c>
      <c r="C95" t="s">
        <v>165</v>
      </c>
      <c r="D95" t="s">
        <v>231</v>
      </c>
      <c r="H95" t="s">
        <v>300</v>
      </c>
      <c r="I95">
        <v>600</v>
      </c>
      <c r="J95" t="s">
        <v>301</v>
      </c>
      <c r="K95">
        <f>AVERAGE(6000,12000)</f>
        <v>9000</v>
      </c>
      <c r="L95" t="s">
        <v>301</v>
      </c>
      <c r="M95" t="s">
        <v>172</v>
      </c>
      <c r="N95" t="s">
        <v>301</v>
      </c>
      <c r="O95">
        <v>50</v>
      </c>
      <c r="P95" t="s">
        <v>300</v>
      </c>
      <c r="Q95">
        <v>20</v>
      </c>
      <c r="R95">
        <v>7</v>
      </c>
      <c r="S95" s="28">
        <f>IFERROR(ROUND(-PMT(R95/100,Q95,1),6),0)</f>
        <v>9.4393000000000005E-2</v>
      </c>
      <c r="T95" s="28">
        <f t="shared" si="15"/>
        <v>56635.8</v>
      </c>
      <c r="U95" t="s">
        <v>169</v>
      </c>
      <c r="AM95">
        <v>80</v>
      </c>
      <c r="AN95">
        <v>70</v>
      </c>
      <c r="AP95" t="s">
        <v>300</v>
      </c>
      <c r="BA95" t="s">
        <v>172</v>
      </c>
      <c r="BB95" t="s">
        <v>172</v>
      </c>
      <c r="BF95" t="s">
        <v>300</v>
      </c>
    </row>
    <row r="96" spans="1:58" ht="28" hidden="1" x14ac:dyDescent="0.3">
      <c r="A96" s="2" t="s">
        <v>302</v>
      </c>
      <c r="B96" s="2" t="s">
        <v>294</v>
      </c>
      <c r="C96" t="s">
        <v>303</v>
      </c>
      <c r="D96" t="s">
        <v>166</v>
      </c>
      <c r="G96">
        <f>20/1000</f>
        <v>0.02</v>
      </c>
      <c r="H96" t="s">
        <v>304</v>
      </c>
      <c r="I96" t="s">
        <v>172</v>
      </c>
      <c r="J96" t="s">
        <v>305</v>
      </c>
      <c r="K96" t="s">
        <v>172</v>
      </c>
      <c r="L96" t="s">
        <v>305</v>
      </c>
      <c r="M96">
        <f>AVERAGE(1,1.2)</f>
        <v>1.1000000000000001</v>
      </c>
      <c r="N96" t="s">
        <v>305</v>
      </c>
      <c r="O96">
        <v>30</v>
      </c>
      <c r="P96" t="s">
        <v>304</v>
      </c>
      <c r="Q96">
        <v>20</v>
      </c>
      <c r="R96">
        <v>7</v>
      </c>
      <c r="S96" s="28">
        <f t="shared" si="17"/>
        <v>9.4393000000000005E-2</v>
      </c>
      <c r="T96" s="28" t="e">
        <f t="shared" si="15"/>
        <v>#VALUE!</v>
      </c>
      <c r="U96" t="s">
        <v>169</v>
      </c>
      <c r="V96">
        <v>7</v>
      </c>
      <c r="W96" t="s">
        <v>304</v>
      </c>
      <c r="AM96">
        <v>100</v>
      </c>
      <c r="AP96" t="s">
        <v>304</v>
      </c>
    </row>
    <row r="97" spans="1:42" ht="28" hidden="1" x14ac:dyDescent="0.3">
      <c r="A97" s="2" t="s">
        <v>302</v>
      </c>
      <c r="B97" s="2" t="s">
        <v>294</v>
      </c>
      <c r="C97" t="s">
        <v>303</v>
      </c>
      <c r="D97" t="s">
        <v>231</v>
      </c>
      <c r="G97">
        <f>20/1000</f>
        <v>0.02</v>
      </c>
      <c r="H97" t="s">
        <v>304</v>
      </c>
      <c r="I97" t="s">
        <v>172</v>
      </c>
      <c r="J97" t="s">
        <v>305</v>
      </c>
      <c r="K97" t="s">
        <v>172</v>
      </c>
      <c r="L97" t="s">
        <v>305</v>
      </c>
      <c r="M97" t="s">
        <v>172</v>
      </c>
      <c r="N97" t="s">
        <v>305</v>
      </c>
      <c r="O97">
        <v>30</v>
      </c>
      <c r="P97" t="s">
        <v>304</v>
      </c>
      <c r="Q97">
        <v>20</v>
      </c>
      <c r="R97">
        <v>7</v>
      </c>
      <c r="S97" s="28">
        <f t="shared" si="17"/>
        <v>9.4393000000000005E-2</v>
      </c>
      <c r="T97" s="28" t="e">
        <f t="shared" si="15"/>
        <v>#VALUE!</v>
      </c>
      <c r="U97" t="s">
        <v>169</v>
      </c>
      <c r="V97">
        <v>7</v>
      </c>
      <c r="W97" t="s">
        <v>304</v>
      </c>
      <c r="AM97">
        <v>100</v>
      </c>
      <c r="AP97" t="s">
        <v>304</v>
      </c>
    </row>
    <row r="98" spans="1:42" ht="28" hidden="1" x14ac:dyDescent="0.3">
      <c r="A98" s="2" t="s">
        <v>302</v>
      </c>
      <c r="B98" s="2" t="s">
        <v>294</v>
      </c>
      <c r="D98" t="s">
        <v>232</v>
      </c>
      <c r="G98">
        <f>3/1000</f>
        <v>3.0000000000000001E-3</v>
      </c>
      <c r="H98" t="s">
        <v>304</v>
      </c>
      <c r="I98">
        <v>410</v>
      </c>
      <c r="J98" t="s">
        <v>305</v>
      </c>
      <c r="K98">
        <f>50*G98</f>
        <v>0.15</v>
      </c>
      <c r="L98" t="s">
        <v>305</v>
      </c>
      <c r="M98" t="s">
        <v>172</v>
      </c>
      <c r="N98" t="s">
        <v>305</v>
      </c>
      <c r="O98">
        <v>30</v>
      </c>
      <c r="P98" t="s">
        <v>304</v>
      </c>
      <c r="Q98">
        <v>20</v>
      </c>
      <c r="R98">
        <v>7</v>
      </c>
      <c r="S98" s="28">
        <f t="shared" si="17"/>
        <v>9.4393000000000005E-2</v>
      </c>
      <c r="T98" s="28">
        <f t="shared" si="15"/>
        <v>38701.129999999997</v>
      </c>
      <c r="U98" t="s">
        <v>169</v>
      </c>
      <c r="V98">
        <v>7</v>
      </c>
      <c r="W98" t="s">
        <v>304</v>
      </c>
      <c r="AO98">
        <f>ROUND(100*(1-POWER(1-0.021,24)),3)</f>
        <v>39.911999999999999</v>
      </c>
      <c r="AP98" t="s">
        <v>304</v>
      </c>
    </row>
    <row r="99" spans="1:42" ht="28" hidden="1" x14ac:dyDescent="0.3">
      <c r="A99" s="2" t="s">
        <v>306</v>
      </c>
      <c r="B99" s="2" t="s">
        <v>294</v>
      </c>
      <c r="C99" t="s">
        <v>303</v>
      </c>
      <c r="D99" t="s">
        <v>166</v>
      </c>
      <c r="G99">
        <v>2.9</v>
      </c>
      <c r="H99" t="s">
        <v>307</v>
      </c>
      <c r="I99" t="s">
        <v>172</v>
      </c>
      <c r="J99" t="s">
        <v>308</v>
      </c>
      <c r="K99" t="s">
        <v>172</v>
      </c>
      <c r="L99" t="s">
        <v>308</v>
      </c>
      <c r="M99">
        <v>0</v>
      </c>
      <c r="N99" t="s">
        <v>308</v>
      </c>
      <c r="O99">
        <v>40</v>
      </c>
      <c r="P99" t="s">
        <v>307</v>
      </c>
      <c r="Q99">
        <v>20</v>
      </c>
      <c r="R99">
        <v>7</v>
      </c>
      <c r="S99" s="28">
        <f t="shared" si="17"/>
        <v>9.4393000000000005E-2</v>
      </c>
      <c r="T99" s="28" t="e">
        <f t="shared" si="15"/>
        <v>#VALUE!</v>
      </c>
      <c r="U99" t="s">
        <v>169</v>
      </c>
      <c r="V99">
        <v>7</v>
      </c>
      <c r="W99" t="s">
        <v>307</v>
      </c>
      <c r="AM99">
        <v>100</v>
      </c>
      <c r="AP99" t="s">
        <v>307</v>
      </c>
    </row>
    <row r="100" spans="1:42" ht="28" hidden="1" x14ac:dyDescent="0.3">
      <c r="A100" s="2" t="s">
        <v>306</v>
      </c>
      <c r="B100" s="2" t="s">
        <v>294</v>
      </c>
      <c r="C100" t="s">
        <v>303</v>
      </c>
      <c r="D100" t="s">
        <v>231</v>
      </c>
      <c r="G100">
        <v>2.9</v>
      </c>
      <c r="H100" t="s">
        <v>307</v>
      </c>
      <c r="I100" t="s">
        <v>172</v>
      </c>
      <c r="J100" t="s">
        <v>308</v>
      </c>
      <c r="K100" t="s">
        <v>172</v>
      </c>
      <c r="L100" t="s">
        <v>308</v>
      </c>
      <c r="M100" t="s">
        <v>172</v>
      </c>
      <c r="N100" t="s">
        <v>308</v>
      </c>
      <c r="O100">
        <v>40</v>
      </c>
      <c r="P100" t="s">
        <v>307</v>
      </c>
      <c r="Q100">
        <v>20</v>
      </c>
      <c r="R100">
        <v>7</v>
      </c>
      <c r="S100" s="28">
        <f t="shared" si="17"/>
        <v>9.4393000000000005E-2</v>
      </c>
      <c r="T100" s="28" t="e">
        <f t="shared" si="15"/>
        <v>#VALUE!</v>
      </c>
      <c r="U100" t="s">
        <v>169</v>
      </c>
      <c r="V100">
        <v>7</v>
      </c>
      <c r="W100" t="s">
        <v>307</v>
      </c>
      <c r="AM100">
        <v>100</v>
      </c>
      <c r="AP100" t="s">
        <v>307</v>
      </c>
    </row>
    <row r="101" spans="1:42" ht="28" hidden="1" x14ac:dyDescent="0.3">
      <c r="A101" s="2" t="s">
        <v>306</v>
      </c>
      <c r="B101" s="2" t="s">
        <v>294</v>
      </c>
      <c r="D101" t="s">
        <v>232</v>
      </c>
      <c r="G101">
        <v>175</v>
      </c>
      <c r="H101" t="s">
        <v>307</v>
      </c>
      <c r="I101">
        <v>3</v>
      </c>
      <c r="J101" t="s">
        <v>308</v>
      </c>
      <c r="K101">
        <v>8.6</v>
      </c>
      <c r="L101" t="s">
        <v>308</v>
      </c>
      <c r="M101" t="s">
        <v>172</v>
      </c>
      <c r="N101" t="s">
        <v>308</v>
      </c>
      <c r="O101">
        <v>40</v>
      </c>
      <c r="P101" t="s">
        <v>307</v>
      </c>
      <c r="Q101">
        <v>20</v>
      </c>
      <c r="R101">
        <v>7</v>
      </c>
      <c r="S101" s="28">
        <f t="shared" si="17"/>
        <v>9.4393000000000005E-2</v>
      </c>
      <c r="T101" s="28">
        <f t="shared" si="15"/>
        <v>283.17900000000003</v>
      </c>
      <c r="U101" t="s">
        <v>169</v>
      </c>
      <c r="V101">
        <v>7</v>
      </c>
      <c r="W101" t="s">
        <v>307</v>
      </c>
      <c r="AO101">
        <v>0.2</v>
      </c>
      <c r="AP101" t="s">
        <v>307</v>
      </c>
    </row>
    <row r="102" spans="1:42" ht="28" hidden="1" x14ac:dyDescent="0.3">
      <c r="A102" s="2" t="s">
        <v>309</v>
      </c>
      <c r="B102" s="2" t="s">
        <v>294</v>
      </c>
      <c r="C102" t="s">
        <v>310</v>
      </c>
      <c r="D102" t="s">
        <v>166</v>
      </c>
      <c r="E102">
        <v>2030</v>
      </c>
      <c r="G102" t="s">
        <v>172</v>
      </c>
      <c r="H102" t="s">
        <v>311</v>
      </c>
      <c r="I102" t="s">
        <v>172</v>
      </c>
      <c r="J102" t="s">
        <v>312</v>
      </c>
      <c r="K102" s="35">
        <v>0</v>
      </c>
      <c r="M102" s="35">
        <v>0</v>
      </c>
      <c r="O102">
        <v>100</v>
      </c>
      <c r="P102" t="s">
        <v>311</v>
      </c>
      <c r="Q102">
        <v>20</v>
      </c>
      <c r="R102">
        <v>7</v>
      </c>
      <c r="S102" s="28">
        <f t="shared" si="17"/>
        <v>9.4393000000000005E-2</v>
      </c>
      <c r="T102" s="28" t="e">
        <f t="shared" si="15"/>
        <v>#VALUE!</v>
      </c>
      <c r="U102" t="s">
        <v>169</v>
      </c>
      <c r="V102" t="s">
        <v>172</v>
      </c>
      <c r="W102" t="s">
        <v>311</v>
      </c>
      <c r="AM102">
        <v>100</v>
      </c>
      <c r="AP102" t="s">
        <v>311</v>
      </c>
    </row>
    <row r="103" spans="1:42" ht="28" hidden="1" x14ac:dyDescent="0.3">
      <c r="A103" s="2" t="s">
        <v>309</v>
      </c>
      <c r="B103" s="2" t="s">
        <v>294</v>
      </c>
      <c r="C103" t="s">
        <v>310</v>
      </c>
      <c r="D103" t="s">
        <v>231</v>
      </c>
      <c r="E103">
        <v>2030</v>
      </c>
      <c r="G103">
        <v>170</v>
      </c>
      <c r="H103" t="s">
        <v>311</v>
      </c>
      <c r="I103" t="s">
        <v>172</v>
      </c>
      <c r="J103" t="s">
        <v>312</v>
      </c>
      <c r="K103" t="s">
        <v>172</v>
      </c>
      <c r="M103" t="s">
        <v>172</v>
      </c>
      <c r="O103">
        <v>100</v>
      </c>
      <c r="P103" t="s">
        <v>311</v>
      </c>
      <c r="Q103">
        <v>20</v>
      </c>
      <c r="R103">
        <v>7</v>
      </c>
      <c r="S103" s="28">
        <f t="shared" si="17"/>
        <v>9.4393000000000005E-2</v>
      </c>
      <c r="T103" s="28" t="e">
        <f t="shared" si="15"/>
        <v>#VALUE!</v>
      </c>
      <c r="U103" t="s">
        <v>169</v>
      </c>
      <c r="V103" t="s">
        <v>172</v>
      </c>
      <c r="W103" t="s">
        <v>311</v>
      </c>
      <c r="AM103">
        <v>99</v>
      </c>
      <c r="AP103" t="s">
        <v>311</v>
      </c>
    </row>
    <row r="104" spans="1:42" ht="28" hidden="1" x14ac:dyDescent="0.3">
      <c r="A104" s="2" t="s">
        <v>309</v>
      </c>
      <c r="B104" s="2" t="s">
        <v>294</v>
      </c>
      <c r="D104" t="s">
        <v>232</v>
      </c>
      <c r="E104">
        <v>2030</v>
      </c>
      <c r="G104">
        <v>150000</v>
      </c>
      <c r="H104" t="s">
        <v>311</v>
      </c>
      <c r="I104">
        <f>0.002*1000</f>
        <v>2</v>
      </c>
      <c r="J104" t="s">
        <v>312</v>
      </c>
      <c r="K104" t="s">
        <v>172</v>
      </c>
      <c r="M104" t="s">
        <v>172</v>
      </c>
      <c r="O104">
        <v>100</v>
      </c>
      <c r="P104" t="s">
        <v>311</v>
      </c>
      <c r="Q104">
        <v>20</v>
      </c>
      <c r="R104">
        <v>7</v>
      </c>
      <c r="S104" s="28">
        <f t="shared" si="17"/>
        <v>9.4393000000000005E-2</v>
      </c>
      <c r="T104" s="28">
        <f t="shared" si="15"/>
        <v>188.786</v>
      </c>
      <c r="U104" t="s">
        <v>169</v>
      </c>
      <c r="V104" t="s">
        <v>172</v>
      </c>
      <c r="W104" t="s">
        <v>311</v>
      </c>
      <c r="AO104" s="34" t="s">
        <v>313</v>
      </c>
      <c r="AP104" s="34" t="s">
        <v>314</v>
      </c>
    </row>
    <row r="105" spans="1:42" ht="28" hidden="1" x14ac:dyDescent="0.3">
      <c r="A105" s="2" t="s">
        <v>309</v>
      </c>
      <c r="B105" s="2" t="s">
        <v>294</v>
      </c>
      <c r="C105" t="s">
        <v>310</v>
      </c>
      <c r="D105" t="s">
        <v>166</v>
      </c>
      <c r="E105">
        <v>2040</v>
      </c>
      <c r="G105" t="s">
        <v>172</v>
      </c>
      <c r="H105" t="s">
        <v>311</v>
      </c>
      <c r="I105" t="s">
        <v>172</v>
      </c>
      <c r="J105" t="s">
        <v>312</v>
      </c>
      <c r="K105" s="35">
        <v>0</v>
      </c>
      <c r="M105" s="35">
        <v>0</v>
      </c>
      <c r="O105">
        <v>100</v>
      </c>
      <c r="P105" t="s">
        <v>311</v>
      </c>
      <c r="Q105">
        <v>20</v>
      </c>
      <c r="R105">
        <v>7</v>
      </c>
      <c r="S105" s="28">
        <f t="shared" si="17"/>
        <v>9.4393000000000005E-2</v>
      </c>
      <c r="T105" s="28" t="e">
        <f t="shared" si="15"/>
        <v>#VALUE!</v>
      </c>
      <c r="U105" t="s">
        <v>169</v>
      </c>
      <c r="V105" t="s">
        <v>172</v>
      </c>
      <c r="W105" t="s">
        <v>311</v>
      </c>
      <c r="AM105">
        <v>100</v>
      </c>
      <c r="AP105" t="s">
        <v>311</v>
      </c>
    </row>
    <row r="106" spans="1:42" ht="28" hidden="1" x14ac:dyDescent="0.3">
      <c r="A106" s="2" t="s">
        <v>309</v>
      </c>
      <c r="B106" s="2" t="s">
        <v>294</v>
      </c>
      <c r="C106" t="s">
        <v>310</v>
      </c>
      <c r="D106" t="s">
        <v>231</v>
      </c>
      <c r="E106">
        <v>2040</v>
      </c>
      <c r="G106">
        <v>150</v>
      </c>
      <c r="H106" t="s">
        <v>311</v>
      </c>
      <c r="I106" t="s">
        <v>172</v>
      </c>
      <c r="J106" t="s">
        <v>312</v>
      </c>
      <c r="K106" t="s">
        <v>172</v>
      </c>
      <c r="M106" t="s">
        <v>172</v>
      </c>
      <c r="O106">
        <v>100</v>
      </c>
      <c r="P106" t="s">
        <v>311</v>
      </c>
      <c r="Q106">
        <v>20</v>
      </c>
      <c r="R106">
        <v>7</v>
      </c>
      <c r="S106" s="28">
        <f t="shared" si="17"/>
        <v>9.4393000000000005E-2</v>
      </c>
      <c r="T106" s="28" t="e">
        <f t="shared" si="15"/>
        <v>#VALUE!</v>
      </c>
      <c r="U106" t="s">
        <v>169</v>
      </c>
      <c r="V106" t="s">
        <v>172</v>
      </c>
      <c r="W106" t="s">
        <v>311</v>
      </c>
      <c r="AM106">
        <v>99</v>
      </c>
      <c r="AP106" t="s">
        <v>311</v>
      </c>
    </row>
    <row r="107" spans="1:42" ht="28" hidden="1" x14ac:dyDescent="0.3">
      <c r="A107" s="2" t="s">
        <v>309</v>
      </c>
      <c r="B107" s="2" t="s">
        <v>294</v>
      </c>
      <c r="D107" t="s">
        <v>232</v>
      </c>
      <c r="E107">
        <v>2040</v>
      </c>
      <c r="G107">
        <v>150000</v>
      </c>
      <c r="H107" t="s">
        <v>311</v>
      </c>
      <c r="I107">
        <f>0.0015*1000</f>
        <v>1.5</v>
      </c>
      <c r="J107" t="s">
        <v>312</v>
      </c>
      <c r="K107" t="s">
        <v>172</v>
      </c>
      <c r="M107" t="s">
        <v>172</v>
      </c>
      <c r="O107">
        <v>100</v>
      </c>
      <c r="P107" t="s">
        <v>311</v>
      </c>
      <c r="Q107">
        <v>20</v>
      </c>
      <c r="R107">
        <v>7</v>
      </c>
      <c r="S107" s="28">
        <f t="shared" si="17"/>
        <v>9.4393000000000005E-2</v>
      </c>
      <c r="T107" s="28">
        <f t="shared" si="15"/>
        <v>141.58950000000002</v>
      </c>
      <c r="U107" t="s">
        <v>169</v>
      </c>
      <c r="V107" t="s">
        <v>172</v>
      </c>
      <c r="W107" t="s">
        <v>311</v>
      </c>
      <c r="AO107" s="34" t="s">
        <v>313</v>
      </c>
      <c r="AP107" s="34" t="s">
        <v>314</v>
      </c>
    </row>
    <row r="108" spans="1:42" ht="28" hidden="1" x14ac:dyDescent="0.3">
      <c r="A108" s="2" t="s">
        <v>309</v>
      </c>
      <c r="B108" s="2" t="s">
        <v>294</v>
      </c>
      <c r="C108" t="s">
        <v>310</v>
      </c>
      <c r="D108" t="s">
        <v>166</v>
      </c>
      <c r="E108">
        <v>2050</v>
      </c>
      <c r="G108" t="s">
        <v>172</v>
      </c>
      <c r="H108" t="s">
        <v>311</v>
      </c>
      <c r="I108" t="s">
        <v>172</v>
      </c>
      <c r="J108" t="s">
        <v>312</v>
      </c>
      <c r="K108" s="35">
        <v>0</v>
      </c>
      <c r="M108" s="35">
        <v>0</v>
      </c>
      <c r="O108">
        <v>100</v>
      </c>
      <c r="P108" t="s">
        <v>311</v>
      </c>
      <c r="Q108">
        <v>20</v>
      </c>
      <c r="R108">
        <v>7</v>
      </c>
      <c r="S108" s="28">
        <f t="shared" si="17"/>
        <v>9.4393000000000005E-2</v>
      </c>
      <c r="T108" s="28" t="e">
        <f t="shared" si="15"/>
        <v>#VALUE!</v>
      </c>
      <c r="U108" t="s">
        <v>169</v>
      </c>
      <c r="V108" t="s">
        <v>172</v>
      </c>
      <c r="W108" t="s">
        <v>311</v>
      </c>
      <c r="AM108">
        <v>100</v>
      </c>
      <c r="AP108" t="s">
        <v>311</v>
      </c>
    </row>
    <row r="109" spans="1:42" ht="28" hidden="1" x14ac:dyDescent="0.3">
      <c r="A109" s="2" t="s">
        <v>309</v>
      </c>
      <c r="B109" s="2" t="s">
        <v>294</v>
      </c>
      <c r="C109" t="s">
        <v>310</v>
      </c>
      <c r="D109" t="s">
        <v>231</v>
      </c>
      <c r="E109">
        <v>2050</v>
      </c>
      <c r="G109">
        <v>150</v>
      </c>
      <c r="H109" t="s">
        <v>311</v>
      </c>
      <c r="I109" t="s">
        <v>172</v>
      </c>
      <c r="J109" t="s">
        <v>312</v>
      </c>
      <c r="K109" t="s">
        <v>172</v>
      </c>
      <c r="M109" t="s">
        <v>172</v>
      </c>
      <c r="O109">
        <v>100</v>
      </c>
      <c r="P109" t="s">
        <v>311</v>
      </c>
      <c r="Q109">
        <v>20</v>
      </c>
      <c r="R109">
        <v>7</v>
      </c>
      <c r="S109" s="28">
        <f t="shared" si="17"/>
        <v>9.4393000000000005E-2</v>
      </c>
      <c r="T109" s="28" t="e">
        <f t="shared" si="15"/>
        <v>#VALUE!</v>
      </c>
      <c r="U109" t="s">
        <v>169</v>
      </c>
      <c r="V109" t="s">
        <v>172</v>
      </c>
      <c r="W109" t="s">
        <v>311</v>
      </c>
      <c r="AM109">
        <v>99</v>
      </c>
      <c r="AP109" t="s">
        <v>311</v>
      </c>
    </row>
    <row r="110" spans="1:42" ht="28" hidden="1" x14ac:dyDescent="0.3">
      <c r="A110" s="2" t="s">
        <v>309</v>
      </c>
      <c r="B110" s="2" t="s">
        <v>294</v>
      </c>
      <c r="D110" t="s">
        <v>232</v>
      </c>
      <c r="E110">
        <v>2050</v>
      </c>
      <c r="G110">
        <v>150000</v>
      </c>
      <c r="H110" t="s">
        <v>311</v>
      </c>
      <c r="I110">
        <f>0.0012*1000</f>
        <v>1.2</v>
      </c>
      <c r="J110" t="s">
        <v>312</v>
      </c>
      <c r="K110" t="s">
        <v>172</v>
      </c>
      <c r="M110" t="s">
        <v>172</v>
      </c>
      <c r="O110">
        <v>100</v>
      </c>
      <c r="P110" t="s">
        <v>311</v>
      </c>
      <c r="Q110">
        <v>20</v>
      </c>
      <c r="R110">
        <v>7</v>
      </c>
      <c r="S110" s="28">
        <f t="shared" si="17"/>
        <v>9.4393000000000005E-2</v>
      </c>
      <c r="T110" s="28">
        <f t="shared" si="15"/>
        <v>113.27160000000001</v>
      </c>
      <c r="U110" t="s">
        <v>169</v>
      </c>
      <c r="V110" t="s">
        <v>172</v>
      </c>
      <c r="W110" t="s">
        <v>311</v>
      </c>
      <c r="AO110" s="34" t="s">
        <v>313</v>
      </c>
      <c r="AP110" s="34" t="s">
        <v>314</v>
      </c>
    </row>
    <row r="111" spans="1:42" ht="28" x14ac:dyDescent="0.3">
      <c r="A111" s="71" t="s">
        <v>315</v>
      </c>
      <c r="B111" s="2" t="s">
        <v>316</v>
      </c>
      <c r="C111" t="s">
        <v>317</v>
      </c>
      <c r="D111" t="s">
        <v>231</v>
      </c>
      <c r="G111">
        <v>0.3</v>
      </c>
      <c r="H111" t="s">
        <v>318</v>
      </c>
      <c r="I111">
        <v>3250</v>
      </c>
      <c r="J111" t="s">
        <v>319</v>
      </c>
      <c r="M111" t="s">
        <v>172</v>
      </c>
      <c r="Q111">
        <v>20</v>
      </c>
      <c r="R111">
        <v>7</v>
      </c>
      <c r="S111" s="28">
        <f t="shared" si="17"/>
        <v>9.4393000000000005E-2</v>
      </c>
      <c r="T111" s="28">
        <f t="shared" si="15"/>
        <v>306777.25000000006</v>
      </c>
      <c r="U111" t="s">
        <v>169</v>
      </c>
    </row>
    <row r="112" spans="1:42" ht="28" hidden="1" x14ac:dyDescent="0.3">
      <c r="A112" s="2" t="s">
        <v>315</v>
      </c>
      <c r="B112" s="2" t="s">
        <v>316</v>
      </c>
      <c r="C112" t="s">
        <v>320</v>
      </c>
      <c r="D112" t="s">
        <v>231</v>
      </c>
      <c r="G112" s="34">
        <v>1</v>
      </c>
      <c r="H112" s="34" t="s">
        <v>321</v>
      </c>
      <c r="I112" t="s">
        <v>172</v>
      </c>
      <c r="M112" t="s">
        <v>172</v>
      </c>
      <c r="Q112">
        <v>20</v>
      </c>
      <c r="R112">
        <v>7</v>
      </c>
      <c r="S112" s="28">
        <f t="shared" si="17"/>
        <v>9.4393000000000005E-2</v>
      </c>
      <c r="T112" s="28" t="e">
        <f t="shared" si="15"/>
        <v>#VALUE!</v>
      </c>
      <c r="U112" t="s">
        <v>169</v>
      </c>
    </row>
    <row r="113" spans="1:44" ht="28" hidden="1" x14ac:dyDescent="0.3">
      <c r="A113" s="2" t="s">
        <v>315</v>
      </c>
      <c r="B113" s="2" t="s">
        <v>316</v>
      </c>
      <c r="C113" t="s">
        <v>322</v>
      </c>
      <c r="D113" t="s">
        <v>166</v>
      </c>
      <c r="G113" s="34">
        <v>0.9</v>
      </c>
      <c r="H113" s="34" t="s">
        <v>321</v>
      </c>
      <c r="I113" t="s">
        <v>172</v>
      </c>
      <c r="M113" s="34">
        <f>AVERAGE(12,30)</f>
        <v>21</v>
      </c>
      <c r="N113" s="34" t="s">
        <v>323</v>
      </c>
      <c r="Q113">
        <v>20</v>
      </c>
      <c r="R113">
        <v>7</v>
      </c>
      <c r="S113" s="28">
        <f t="shared" si="17"/>
        <v>9.4393000000000005E-2</v>
      </c>
      <c r="T113" s="28" t="e">
        <f t="shared" si="15"/>
        <v>#VALUE!</v>
      </c>
      <c r="U113" t="s">
        <v>169</v>
      </c>
    </row>
    <row r="114" spans="1:44" ht="28" hidden="1" x14ac:dyDescent="0.3">
      <c r="A114" s="2" t="s">
        <v>315</v>
      </c>
      <c r="B114" s="2" t="s">
        <v>316</v>
      </c>
      <c r="C114" t="s">
        <v>320</v>
      </c>
      <c r="D114" t="s">
        <v>166</v>
      </c>
      <c r="G114" s="34">
        <v>0.1</v>
      </c>
      <c r="H114" s="34" t="s">
        <v>321</v>
      </c>
      <c r="I114" t="s">
        <v>172</v>
      </c>
      <c r="M114" t="s">
        <v>172</v>
      </c>
      <c r="Q114">
        <v>20</v>
      </c>
      <c r="R114">
        <v>7</v>
      </c>
      <c r="S114" s="28">
        <f t="shared" si="17"/>
        <v>9.4393000000000005E-2</v>
      </c>
      <c r="T114" s="28" t="e">
        <f t="shared" si="15"/>
        <v>#VALUE!</v>
      </c>
      <c r="U114" t="s">
        <v>169</v>
      </c>
    </row>
    <row r="115" spans="1:44" ht="28" hidden="1" x14ac:dyDescent="0.3">
      <c r="A115" s="2" t="s">
        <v>315</v>
      </c>
      <c r="B115" s="2" t="s">
        <v>316</v>
      </c>
      <c r="C115" t="s">
        <v>324</v>
      </c>
      <c r="D115" t="s">
        <v>232</v>
      </c>
      <c r="I115" s="35">
        <v>0</v>
      </c>
      <c r="M115" t="s">
        <v>172</v>
      </c>
      <c r="Q115">
        <v>20</v>
      </c>
      <c r="R115">
        <v>7</v>
      </c>
      <c r="S115" s="28">
        <f t="shared" si="17"/>
        <v>9.4393000000000005E-2</v>
      </c>
      <c r="T115" s="28">
        <f t="shared" si="15"/>
        <v>0</v>
      </c>
      <c r="U115" t="s">
        <v>169</v>
      </c>
    </row>
    <row r="116" spans="1:44" ht="28" x14ac:dyDescent="0.3">
      <c r="A116" s="71" t="s">
        <v>325</v>
      </c>
      <c r="B116" s="2" t="s">
        <v>316</v>
      </c>
      <c r="C116" t="s">
        <v>317</v>
      </c>
      <c r="D116" t="s">
        <v>231</v>
      </c>
      <c r="E116">
        <v>2030</v>
      </c>
      <c r="G116">
        <v>10</v>
      </c>
      <c r="H116" t="s">
        <v>326</v>
      </c>
      <c r="I116">
        <v>600</v>
      </c>
      <c r="J116" t="s">
        <v>327</v>
      </c>
      <c r="K116">
        <v>30000</v>
      </c>
      <c r="L116" t="s">
        <v>327</v>
      </c>
      <c r="M116">
        <v>0</v>
      </c>
      <c r="N116" t="s">
        <v>327</v>
      </c>
      <c r="O116">
        <v>15</v>
      </c>
      <c r="P116" t="s">
        <v>326</v>
      </c>
      <c r="Q116">
        <v>15</v>
      </c>
      <c r="R116">
        <v>7</v>
      </c>
      <c r="S116" s="28">
        <f>IFERROR(ROUND(-PMT(R116/100,Q116,1),6),0)</f>
        <v>0.109795</v>
      </c>
      <c r="T116" s="28">
        <f t="shared" si="15"/>
        <v>65877</v>
      </c>
      <c r="U116" t="s">
        <v>169</v>
      </c>
      <c r="V116" t="s">
        <v>172</v>
      </c>
      <c r="W116" t="s">
        <v>326</v>
      </c>
      <c r="AG116">
        <f>0.15/60</f>
        <v>2.5000000000000001E-3</v>
      </c>
      <c r="AL116" t="s">
        <v>326</v>
      </c>
      <c r="AQ116">
        <f>100/0.02</f>
        <v>5000</v>
      </c>
      <c r="AR116" t="s">
        <v>328</v>
      </c>
    </row>
    <row r="117" spans="1:44" ht="28" hidden="1" x14ac:dyDescent="0.3">
      <c r="A117" s="2" t="s">
        <v>325</v>
      </c>
      <c r="B117" s="2" t="s">
        <v>316</v>
      </c>
      <c r="C117" t="s">
        <v>310</v>
      </c>
      <c r="D117" t="s">
        <v>166</v>
      </c>
      <c r="E117">
        <v>2030</v>
      </c>
      <c r="G117">
        <v>6.2</v>
      </c>
      <c r="H117" t="s">
        <v>326</v>
      </c>
      <c r="I117" t="s">
        <v>172</v>
      </c>
      <c r="J117" t="s">
        <v>327</v>
      </c>
      <c r="K117" t="s">
        <v>172</v>
      </c>
      <c r="L117" t="s">
        <v>327</v>
      </c>
      <c r="M117" t="s">
        <v>172</v>
      </c>
      <c r="N117" t="s">
        <v>327</v>
      </c>
      <c r="O117">
        <v>15</v>
      </c>
      <c r="P117" t="s">
        <v>326</v>
      </c>
      <c r="Q117">
        <v>15</v>
      </c>
      <c r="R117">
        <v>7</v>
      </c>
      <c r="S117" s="28">
        <f t="shared" si="17"/>
        <v>0.109795</v>
      </c>
      <c r="T117" s="28" t="e">
        <f t="shared" si="15"/>
        <v>#VALUE!</v>
      </c>
      <c r="U117" t="s">
        <v>169</v>
      </c>
      <c r="V117" t="s">
        <v>172</v>
      </c>
      <c r="W117" t="s">
        <v>326</v>
      </c>
    </row>
    <row r="118" spans="1:44" ht="28" hidden="1" x14ac:dyDescent="0.3">
      <c r="A118" s="2" t="s">
        <v>325</v>
      </c>
      <c r="B118" s="2" t="s">
        <v>316</v>
      </c>
      <c r="C118" t="s">
        <v>303</v>
      </c>
      <c r="D118" t="s">
        <v>166</v>
      </c>
      <c r="E118">
        <v>2030</v>
      </c>
      <c r="G118">
        <v>1.2</v>
      </c>
      <c r="H118" t="s">
        <v>326</v>
      </c>
      <c r="I118" t="s">
        <v>172</v>
      </c>
      <c r="J118" t="s">
        <v>327</v>
      </c>
      <c r="K118" t="s">
        <v>172</v>
      </c>
      <c r="L118" t="s">
        <v>327</v>
      </c>
      <c r="M118" t="s">
        <v>172</v>
      </c>
      <c r="N118" t="s">
        <v>327</v>
      </c>
      <c r="O118">
        <v>15</v>
      </c>
      <c r="P118" t="s">
        <v>326</v>
      </c>
      <c r="Q118">
        <v>15</v>
      </c>
      <c r="R118">
        <v>7</v>
      </c>
      <c r="S118" s="28">
        <f t="shared" si="17"/>
        <v>0.109795</v>
      </c>
      <c r="T118" s="28" t="e">
        <f t="shared" si="15"/>
        <v>#VALUE!</v>
      </c>
      <c r="U118" t="s">
        <v>169</v>
      </c>
      <c r="V118" t="s">
        <v>172</v>
      </c>
      <c r="W118" t="s">
        <v>326</v>
      </c>
    </row>
    <row r="119" spans="1:44" ht="28" x14ac:dyDescent="0.3">
      <c r="A119" s="71" t="s">
        <v>325</v>
      </c>
      <c r="B119" s="2" t="s">
        <v>316</v>
      </c>
      <c r="C119" t="s">
        <v>317</v>
      </c>
      <c r="D119" t="s">
        <v>231</v>
      </c>
      <c r="E119">
        <v>2050</v>
      </c>
      <c r="G119">
        <v>10</v>
      </c>
      <c r="H119" t="s">
        <v>326</v>
      </c>
      <c r="I119">
        <v>400</v>
      </c>
      <c r="J119" t="s">
        <v>327</v>
      </c>
      <c r="K119">
        <v>20000</v>
      </c>
      <c r="L119" t="s">
        <v>327</v>
      </c>
      <c r="M119">
        <v>0</v>
      </c>
      <c r="N119" t="s">
        <v>327</v>
      </c>
      <c r="O119">
        <v>15</v>
      </c>
      <c r="P119" t="s">
        <v>326</v>
      </c>
      <c r="Q119">
        <v>15</v>
      </c>
      <c r="R119">
        <v>7</v>
      </c>
      <c r="S119" s="28">
        <f t="shared" si="17"/>
        <v>0.109795</v>
      </c>
      <c r="T119" s="28">
        <f t="shared" si="15"/>
        <v>43918</v>
      </c>
      <c r="U119" t="s">
        <v>169</v>
      </c>
      <c r="V119" t="s">
        <v>172</v>
      </c>
      <c r="W119" t="s">
        <v>326</v>
      </c>
      <c r="AG119">
        <f>0.15/60</f>
        <v>2.5000000000000001E-3</v>
      </c>
      <c r="AL119" t="s">
        <v>326</v>
      </c>
      <c r="AQ119">
        <f>100/0.02</f>
        <v>5000</v>
      </c>
      <c r="AR119" t="s">
        <v>328</v>
      </c>
    </row>
    <row r="120" spans="1:44" ht="28" hidden="1" x14ac:dyDescent="0.3">
      <c r="A120" s="2" t="s">
        <v>325</v>
      </c>
      <c r="B120" s="2" t="s">
        <v>316</v>
      </c>
      <c r="C120" t="s">
        <v>310</v>
      </c>
      <c r="D120" t="s">
        <v>166</v>
      </c>
      <c r="E120">
        <v>2050</v>
      </c>
      <c r="G120">
        <v>6.7</v>
      </c>
      <c r="H120" t="s">
        <v>326</v>
      </c>
      <c r="I120" t="s">
        <v>172</v>
      </c>
      <c r="J120" t="s">
        <v>327</v>
      </c>
      <c r="K120" t="s">
        <v>172</v>
      </c>
      <c r="L120" t="s">
        <v>327</v>
      </c>
      <c r="M120" t="s">
        <v>172</v>
      </c>
      <c r="N120" t="s">
        <v>327</v>
      </c>
      <c r="O120">
        <v>15</v>
      </c>
      <c r="P120" t="s">
        <v>326</v>
      </c>
      <c r="Q120">
        <v>15</v>
      </c>
      <c r="R120">
        <v>7</v>
      </c>
      <c r="S120" s="28">
        <f t="shared" si="17"/>
        <v>0.109795</v>
      </c>
      <c r="T120" s="28" t="e">
        <f t="shared" si="15"/>
        <v>#VALUE!</v>
      </c>
      <c r="U120" t="s">
        <v>169</v>
      </c>
      <c r="V120" t="s">
        <v>172</v>
      </c>
      <c r="W120" t="s">
        <v>326</v>
      </c>
    </row>
    <row r="121" spans="1:44" ht="28" hidden="1" x14ac:dyDescent="0.3">
      <c r="A121" s="2" t="s">
        <v>325</v>
      </c>
      <c r="B121" s="2" t="s">
        <v>316</v>
      </c>
      <c r="C121" t="s">
        <v>303</v>
      </c>
      <c r="D121" t="s">
        <v>166</v>
      </c>
      <c r="E121">
        <v>2050</v>
      </c>
      <c r="G121">
        <v>1</v>
      </c>
      <c r="H121" t="s">
        <v>326</v>
      </c>
      <c r="I121" t="s">
        <v>172</v>
      </c>
      <c r="J121" t="s">
        <v>327</v>
      </c>
      <c r="K121" t="s">
        <v>172</v>
      </c>
      <c r="L121" t="s">
        <v>327</v>
      </c>
      <c r="M121" t="s">
        <v>172</v>
      </c>
      <c r="N121" t="s">
        <v>327</v>
      </c>
      <c r="O121">
        <v>15</v>
      </c>
      <c r="P121" t="s">
        <v>326</v>
      </c>
      <c r="Q121">
        <v>15</v>
      </c>
      <c r="R121">
        <v>7</v>
      </c>
      <c r="S121" s="28">
        <f t="shared" si="17"/>
        <v>0.109795</v>
      </c>
      <c r="T121" s="28" t="e">
        <f t="shared" si="15"/>
        <v>#VALUE!</v>
      </c>
      <c r="U121" t="s">
        <v>169</v>
      </c>
      <c r="V121" t="s">
        <v>172</v>
      </c>
      <c r="W121" t="s">
        <v>326</v>
      </c>
    </row>
    <row r="122" spans="1:44" ht="28" hidden="1" x14ac:dyDescent="0.3">
      <c r="A122" s="2" t="s">
        <v>329</v>
      </c>
      <c r="B122" s="2" t="s">
        <v>316</v>
      </c>
      <c r="C122" t="s">
        <v>330</v>
      </c>
      <c r="D122" t="s">
        <v>231</v>
      </c>
      <c r="E122">
        <v>2030</v>
      </c>
      <c r="G122">
        <v>400</v>
      </c>
      <c r="H122" t="s">
        <v>331</v>
      </c>
      <c r="I122">
        <v>1600</v>
      </c>
      <c r="J122" t="s">
        <v>332</v>
      </c>
      <c r="K122">
        <v>26200</v>
      </c>
      <c r="L122" t="s">
        <v>332</v>
      </c>
      <c r="M122">
        <v>1.7</v>
      </c>
      <c r="N122" t="s">
        <v>332</v>
      </c>
      <c r="O122">
        <v>20</v>
      </c>
      <c r="P122" t="s">
        <v>331</v>
      </c>
      <c r="Q122">
        <v>20</v>
      </c>
      <c r="R122">
        <v>7</v>
      </c>
      <c r="S122" s="28">
        <f t="shared" si="17"/>
        <v>9.4393000000000005E-2</v>
      </c>
      <c r="T122" s="28">
        <f t="shared" si="15"/>
        <v>151028.80000000002</v>
      </c>
      <c r="U122" t="s">
        <v>169</v>
      </c>
      <c r="V122">
        <v>21</v>
      </c>
      <c r="W122" t="s">
        <v>331</v>
      </c>
    </row>
    <row r="123" spans="1:44" ht="28" hidden="1" x14ac:dyDescent="0.3">
      <c r="A123" s="2" t="s">
        <v>329</v>
      </c>
      <c r="B123" s="2" t="s">
        <v>316</v>
      </c>
      <c r="C123" t="s">
        <v>333</v>
      </c>
      <c r="D123" t="s">
        <v>166</v>
      </c>
      <c r="E123">
        <v>2030</v>
      </c>
      <c r="G123">
        <f>0.63*G122</f>
        <v>252</v>
      </c>
      <c r="H123" t="s">
        <v>334</v>
      </c>
      <c r="I123" t="s">
        <v>172</v>
      </c>
      <c r="J123" t="s">
        <v>332</v>
      </c>
      <c r="K123" t="s">
        <v>172</v>
      </c>
      <c r="L123" t="s">
        <v>332</v>
      </c>
      <c r="M123" t="s">
        <v>172</v>
      </c>
      <c r="N123" t="s">
        <v>332</v>
      </c>
      <c r="O123">
        <v>20</v>
      </c>
      <c r="P123" t="s">
        <v>331</v>
      </c>
      <c r="Q123">
        <v>20</v>
      </c>
      <c r="R123">
        <v>7</v>
      </c>
      <c r="S123" s="28">
        <f t="shared" si="17"/>
        <v>9.4393000000000005E-2</v>
      </c>
      <c r="T123" s="28" t="e">
        <f t="shared" si="15"/>
        <v>#VALUE!</v>
      </c>
      <c r="U123" t="s">
        <v>169</v>
      </c>
      <c r="V123">
        <v>21</v>
      </c>
      <c r="W123" t="s">
        <v>331</v>
      </c>
    </row>
    <row r="124" spans="1:44" ht="28" hidden="1" x14ac:dyDescent="0.3">
      <c r="A124" s="2" t="s">
        <v>329</v>
      </c>
      <c r="B124" s="2" t="s">
        <v>316</v>
      </c>
      <c r="C124" t="s">
        <v>335</v>
      </c>
      <c r="D124" t="s">
        <v>166</v>
      </c>
      <c r="E124">
        <v>2030</v>
      </c>
      <c r="G124">
        <f>0.22*G122</f>
        <v>88</v>
      </c>
      <c r="H124" t="s">
        <v>336</v>
      </c>
      <c r="I124" t="s">
        <v>172</v>
      </c>
      <c r="J124" t="s">
        <v>332</v>
      </c>
      <c r="K124" t="s">
        <v>172</v>
      </c>
      <c r="L124" t="s">
        <v>332</v>
      </c>
      <c r="M124" t="s">
        <v>172</v>
      </c>
      <c r="N124" t="s">
        <v>332</v>
      </c>
      <c r="O124">
        <v>20</v>
      </c>
      <c r="P124" t="s">
        <v>331</v>
      </c>
      <c r="Q124">
        <v>20</v>
      </c>
      <c r="R124">
        <v>7</v>
      </c>
      <c r="S124" s="28">
        <f t="shared" si="17"/>
        <v>9.4393000000000005E-2</v>
      </c>
      <c r="T124" s="28" t="e">
        <f t="shared" si="15"/>
        <v>#VALUE!</v>
      </c>
      <c r="U124" t="s">
        <v>169</v>
      </c>
      <c r="V124">
        <v>21</v>
      </c>
      <c r="W124" t="s">
        <v>331</v>
      </c>
    </row>
    <row r="125" spans="1:44" ht="28" hidden="1" x14ac:dyDescent="0.3">
      <c r="A125" s="2" t="s">
        <v>329</v>
      </c>
      <c r="B125" s="2" t="s">
        <v>316</v>
      </c>
      <c r="C125" t="s">
        <v>330</v>
      </c>
      <c r="D125" t="s">
        <v>231</v>
      </c>
      <c r="E125">
        <v>2050</v>
      </c>
      <c r="G125">
        <v>400</v>
      </c>
      <c r="H125" t="s">
        <v>331</v>
      </c>
      <c r="I125">
        <v>1500</v>
      </c>
      <c r="J125" t="s">
        <v>332</v>
      </c>
      <c r="K125">
        <v>24100</v>
      </c>
      <c r="L125" t="s">
        <v>332</v>
      </c>
      <c r="M125">
        <v>1.6</v>
      </c>
      <c r="N125" t="s">
        <v>332</v>
      </c>
      <c r="O125">
        <v>20</v>
      </c>
      <c r="P125" t="s">
        <v>331</v>
      </c>
      <c r="Q125">
        <v>20</v>
      </c>
      <c r="R125">
        <v>7</v>
      </c>
      <c r="S125" s="28">
        <f t="shared" si="17"/>
        <v>9.4393000000000005E-2</v>
      </c>
      <c r="T125" s="28">
        <f t="shared" si="15"/>
        <v>141589.50000000003</v>
      </c>
      <c r="U125" t="s">
        <v>169</v>
      </c>
      <c r="V125">
        <v>21</v>
      </c>
      <c r="W125" t="s">
        <v>331</v>
      </c>
    </row>
    <row r="126" spans="1:44" ht="28" hidden="1" x14ac:dyDescent="0.3">
      <c r="A126" s="2" t="s">
        <v>329</v>
      </c>
      <c r="B126" s="2" t="s">
        <v>316</v>
      </c>
      <c r="C126" t="s">
        <v>333</v>
      </c>
      <c r="D126" t="s">
        <v>166</v>
      </c>
      <c r="E126">
        <v>2050</v>
      </c>
      <c r="G126">
        <f>0.7*G125</f>
        <v>280</v>
      </c>
      <c r="H126" t="s">
        <v>337</v>
      </c>
      <c r="I126" t="s">
        <v>172</v>
      </c>
      <c r="J126" t="s">
        <v>332</v>
      </c>
      <c r="K126" t="s">
        <v>172</v>
      </c>
      <c r="L126" t="s">
        <v>332</v>
      </c>
      <c r="M126" t="s">
        <v>172</v>
      </c>
      <c r="N126" t="s">
        <v>332</v>
      </c>
      <c r="O126">
        <v>20</v>
      </c>
      <c r="P126" t="s">
        <v>331</v>
      </c>
      <c r="Q126">
        <v>20</v>
      </c>
      <c r="R126">
        <v>7</v>
      </c>
      <c r="S126" s="28">
        <f t="shared" si="17"/>
        <v>9.4393000000000005E-2</v>
      </c>
      <c r="T126" s="28" t="e">
        <f t="shared" si="15"/>
        <v>#VALUE!</v>
      </c>
      <c r="U126" t="s">
        <v>169</v>
      </c>
      <c r="V126">
        <v>21</v>
      </c>
      <c r="W126" t="s">
        <v>331</v>
      </c>
    </row>
    <row r="127" spans="1:44" ht="28" hidden="1" x14ac:dyDescent="0.3">
      <c r="A127" s="2" t="s">
        <v>329</v>
      </c>
      <c r="B127" s="2" t="s">
        <v>316</v>
      </c>
      <c r="C127" t="s">
        <v>335</v>
      </c>
      <c r="D127" t="s">
        <v>166</v>
      </c>
      <c r="E127">
        <v>2050</v>
      </c>
      <c r="G127">
        <f>0.2*G125</f>
        <v>80</v>
      </c>
      <c r="H127" t="s">
        <v>338</v>
      </c>
      <c r="I127" t="s">
        <v>172</v>
      </c>
      <c r="J127" t="s">
        <v>332</v>
      </c>
      <c r="K127" t="s">
        <v>172</v>
      </c>
      <c r="L127" t="s">
        <v>332</v>
      </c>
      <c r="M127" t="s">
        <v>172</v>
      </c>
      <c r="N127" t="s">
        <v>332</v>
      </c>
      <c r="O127">
        <v>20</v>
      </c>
      <c r="P127" t="s">
        <v>331</v>
      </c>
      <c r="Q127">
        <v>20</v>
      </c>
      <c r="R127">
        <v>7</v>
      </c>
      <c r="S127" s="28">
        <f t="shared" si="17"/>
        <v>9.4393000000000005E-2</v>
      </c>
      <c r="T127" s="28" t="e">
        <f t="shared" si="15"/>
        <v>#VALUE!</v>
      </c>
      <c r="U127" t="s">
        <v>169</v>
      </c>
      <c r="V127">
        <v>21</v>
      </c>
      <c r="W127" t="s">
        <v>331</v>
      </c>
    </row>
    <row r="128" spans="1:44" ht="28" hidden="1" x14ac:dyDescent="0.3">
      <c r="A128" s="2" t="s">
        <v>339</v>
      </c>
      <c r="B128" s="2" t="s">
        <v>316</v>
      </c>
      <c r="C128" t="s">
        <v>330</v>
      </c>
      <c r="D128" t="s">
        <v>231</v>
      </c>
      <c r="E128">
        <v>2050</v>
      </c>
      <c r="G128">
        <f>225/(0.163+0.017+0.118)</f>
        <v>755.03355704697992</v>
      </c>
      <c r="H128" t="s">
        <v>340</v>
      </c>
      <c r="I128" t="s">
        <v>172</v>
      </c>
      <c r="J128" t="s">
        <v>341</v>
      </c>
      <c r="K128" t="s">
        <v>172</v>
      </c>
      <c r="L128" t="s">
        <v>341</v>
      </c>
      <c r="M128" t="s">
        <v>172</v>
      </c>
      <c r="N128" t="s">
        <v>341</v>
      </c>
      <c r="O128">
        <v>25</v>
      </c>
      <c r="P128" t="s">
        <v>340</v>
      </c>
      <c r="Q128">
        <v>20</v>
      </c>
      <c r="R128">
        <v>7</v>
      </c>
      <c r="S128" s="28">
        <f t="shared" si="17"/>
        <v>9.4393000000000005E-2</v>
      </c>
      <c r="T128" s="28" t="e">
        <f t="shared" si="15"/>
        <v>#VALUE!</v>
      </c>
      <c r="U128" t="s">
        <v>169</v>
      </c>
      <c r="V128">
        <v>14</v>
      </c>
      <c r="W128" t="s">
        <v>340</v>
      </c>
    </row>
    <row r="129" spans="1:23" ht="28" hidden="1" x14ac:dyDescent="0.3">
      <c r="A129" s="2" t="s">
        <v>339</v>
      </c>
      <c r="B129" s="2" t="s">
        <v>316</v>
      </c>
      <c r="C129" t="s">
        <v>342</v>
      </c>
      <c r="D129" t="s">
        <v>166</v>
      </c>
      <c r="E129">
        <v>2050</v>
      </c>
      <c r="G129">
        <f>(0.163+0.017+0.118)*G128</f>
        <v>225</v>
      </c>
      <c r="H129" t="s">
        <v>343</v>
      </c>
      <c r="I129" s="34">
        <v>3460</v>
      </c>
      <c r="J129" s="34" t="s">
        <v>344</v>
      </c>
      <c r="K129" s="34">
        <v>104000</v>
      </c>
      <c r="L129" s="34" t="s">
        <v>344</v>
      </c>
      <c r="M129" s="34">
        <v>1.0629999999999999</v>
      </c>
      <c r="N129" s="34" t="s">
        <v>344</v>
      </c>
      <c r="O129">
        <v>25</v>
      </c>
      <c r="P129" t="s">
        <v>340</v>
      </c>
      <c r="Q129">
        <v>20</v>
      </c>
      <c r="R129">
        <v>7</v>
      </c>
      <c r="S129" s="28">
        <f t="shared" si="17"/>
        <v>9.4393000000000005E-2</v>
      </c>
      <c r="T129" s="28">
        <f t="shared" si="15"/>
        <v>326599.78000000003</v>
      </c>
      <c r="U129" t="s">
        <v>169</v>
      </c>
      <c r="V129">
        <v>14</v>
      </c>
      <c r="W129" t="s">
        <v>340</v>
      </c>
    </row>
    <row r="130" spans="1:23" ht="28" hidden="1" x14ac:dyDescent="0.3">
      <c r="A130" s="2" t="s">
        <v>345</v>
      </c>
      <c r="B130" s="2" t="s">
        <v>316</v>
      </c>
      <c r="C130" t="s">
        <v>322</v>
      </c>
      <c r="D130" t="s">
        <v>231</v>
      </c>
      <c r="E130">
        <v>2050</v>
      </c>
      <c r="G130" s="34">
        <v>3.3</v>
      </c>
      <c r="H130" s="34" t="s">
        <v>346</v>
      </c>
      <c r="I130" t="s">
        <v>172</v>
      </c>
      <c r="K130" t="s">
        <v>172</v>
      </c>
      <c r="M130" t="s">
        <v>172</v>
      </c>
      <c r="O130">
        <v>25</v>
      </c>
      <c r="P130" t="s">
        <v>347</v>
      </c>
      <c r="Q130">
        <v>20</v>
      </c>
      <c r="R130">
        <v>7</v>
      </c>
      <c r="S130" s="28">
        <f t="shared" si="17"/>
        <v>9.4393000000000005E-2</v>
      </c>
      <c r="T130" s="28" t="e">
        <f t="shared" si="15"/>
        <v>#VALUE!</v>
      </c>
      <c r="U130" t="s">
        <v>169</v>
      </c>
      <c r="V130">
        <v>21</v>
      </c>
      <c r="W130" t="s">
        <v>347</v>
      </c>
    </row>
    <row r="131" spans="1:23" ht="28" hidden="1" x14ac:dyDescent="0.3">
      <c r="A131" s="2" t="s">
        <v>345</v>
      </c>
      <c r="B131" s="2" t="s">
        <v>316</v>
      </c>
      <c r="C131" t="s">
        <v>310</v>
      </c>
      <c r="D131" t="s">
        <v>231</v>
      </c>
      <c r="E131">
        <v>2050</v>
      </c>
      <c r="G131">
        <f>G133/0.75*0.995</f>
        <v>344.40266666666673</v>
      </c>
      <c r="H131" t="s">
        <v>348</v>
      </c>
      <c r="I131" t="s">
        <v>172</v>
      </c>
      <c r="K131" t="s">
        <v>172</v>
      </c>
      <c r="M131" t="s">
        <v>172</v>
      </c>
      <c r="O131">
        <v>25</v>
      </c>
      <c r="P131" t="s">
        <v>347</v>
      </c>
      <c r="Q131">
        <v>20</v>
      </c>
      <c r="R131">
        <v>7</v>
      </c>
      <c r="S131" s="28">
        <f t="shared" si="17"/>
        <v>9.4393000000000005E-2</v>
      </c>
      <c r="T131" s="28" t="e">
        <f t="shared" si="15"/>
        <v>#VALUE!</v>
      </c>
      <c r="U131" t="s">
        <v>169</v>
      </c>
      <c r="V131">
        <v>21</v>
      </c>
      <c r="W131" t="s">
        <v>347</v>
      </c>
    </row>
    <row r="132" spans="1:23" ht="28" x14ac:dyDescent="0.3">
      <c r="A132" s="2" t="s">
        <v>345</v>
      </c>
      <c r="B132" s="2" t="s">
        <v>316</v>
      </c>
      <c r="C132" t="s">
        <v>317</v>
      </c>
      <c r="D132" t="s">
        <v>231</v>
      </c>
      <c r="E132">
        <v>2050</v>
      </c>
      <c r="G132">
        <f>G133/0.75*0.005</f>
        <v>1.730666666666667</v>
      </c>
      <c r="H132" t="s">
        <v>348</v>
      </c>
      <c r="I132" t="s">
        <v>172</v>
      </c>
      <c r="K132" t="s">
        <v>172</v>
      </c>
      <c r="M132" t="s">
        <v>172</v>
      </c>
      <c r="O132">
        <v>25</v>
      </c>
      <c r="P132" t="s">
        <v>347</v>
      </c>
      <c r="Q132">
        <v>20</v>
      </c>
      <c r="R132">
        <v>7</v>
      </c>
      <c r="S132" s="28">
        <f t="shared" si="17"/>
        <v>9.4393000000000005E-2</v>
      </c>
      <c r="T132" s="28" t="e">
        <f t="shared" si="15"/>
        <v>#VALUE!</v>
      </c>
      <c r="U132" t="s">
        <v>169</v>
      </c>
      <c r="V132">
        <v>21</v>
      </c>
      <c r="W132" t="s">
        <v>347</v>
      </c>
    </row>
    <row r="133" spans="1:23" ht="28" hidden="1" x14ac:dyDescent="0.3">
      <c r="A133" s="2" t="s">
        <v>345</v>
      </c>
      <c r="B133" s="2" t="s">
        <v>316</v>
      </c>
      <c r="C133" t="s">
        <v>349</v>
      </c>
      <c r="D133" t="s">
        <v>166</v>
      </c>
      <c r="E133">
        <v>2050</v>
      </c>
      <c r="G133">
        <v>259.60000000000002</v>
      </c>
      <c r="H133" t="s">
        <v>348</v>
      </c>
      <c r="I133" s="34">
        <v>900</v>
      </c>
      <c r="J133" s="34" t="s">
        <v>350</v>
      </c>
      <c r="L133" t="s">
        <v>351</v>
      </c>
      <c r="M133" s="34">
        <f>2.1+7.4</f>
        <v>9.5</v>
      </c>
      <c r="N133" s="34" t="s">
        <v>352</v>
      </c>
      <c r="O133">
        <v>25</v>
      </c>
      <c r="P133" t="s">
        <v>347</v>
      </c>
      <c r="Q133">
        <v>20</v>
      </c>
      <c r="R133">
        <v>7</v>
      </c>
      <c r="S133" s="28">
        <f t="shared" si="17"/>
        <v>9.4393000000000005E-2</v>
      </c>
      <c r="T133" s="28">
        <f t="shared" si="15"/>
        <v>84953.7</v>
      </c>
      <c r="U133" t="s">
        <v>169</v>
      </c>
      <c r="V133">
        <v>21</v>
      </c>
      <c r="W133" t="s">
        <v>347</v>
      </c>
    </row>
    <row r="134" spans="1:23" ht="28" hidden="1" x14ac:dyDescent="0.3">
      <c r="A134" s="2" t="s">
        <v>345</v>
      </c>
      <c r="B134" s="2" t="s">
        <v>316</v>
      </c>
      <c r="C134" t="s">
        <v>335</v>
      </c>
      <c r="D134" t="s">
        <v>166</v>
      </c>
      <c r="E134">
        <v>2050</v>
      </c>
      <c r="G134">
        <f>G133/0.75*0.25</f>
        <v>86.533333333333346</v>
      </c>
      <c r="H134" t="s">
        <v>348</v>
      </c>
      <c r="I134" t="s">
        <v>172</v>
      </c>
      <c r="K134" t="s">
        <v>172</v>
      </c>
      <c r="M134" t="s">
        <v>172</v>
      </c>
      <c r="O134">
        <v>25</v>
      </c>
      <c r="P134" t="s">
        <v>347</v>
      </c>
      <c r="Q134">
        <v>20</v>
      </c>
      <c r="R134">
        <v>7</v>
      </c>
      <c r="S134" s="28">
        <f t="shared" si="17"/>
        <v>9.4393000000000005E-2</v>
      </c>
      <c r="T134" s="28" t="e">
        <f t="shared" si="15"/>
        <v>#VALUE!</v>
      </c>
      <c r="U134" t="s">
        <v>169</v>
      </c>
      <c r="V134">
        <v>21</v>
      </c>
      <c r="W134" t="s">
        <v>347</v>
      </c>
    </row>
    <row r="135" spans="1:23" ht="28" hidden="1" x14ac:dyDescent="0.3">
      <c r="A135" s="2" t="s">
        <v>353</v>
      </c>
      <c r="B135" s="2" t="s">
        <v>316</v>
      </c>
      <c r="C135" t="s">
        <v>322</v>
      </c>
      <c r="D135" t="s">
        <v>231</v>
      </c>
      <c r="E135">
        <v>2050</v>
      </c>
      <c r="G135" s="34">
        <v>3.3</v>
      </c>
      <c r="H135" s="34" t="s">
        <v>354</v>
      </c>
      <c r="I135" t="s">
        <v>172</v>
      </c>
      <c r="K135" t="s">
        <v>172</v>
      </c>
      <c r="M135" t="s">
        <v>172</v>
      </c>
      <c r="O135">
        <v>25</v>
      </c>
      <c r="P135" t="s">
        <v>355</v>
      </c>
      <c r="Q135">
        <v>20</v>
      </c>
      <c r="R135">
        <v>7</v>
      </c>
      <c r="S135" s="28">
        <f t="shared" si="17"/>
        <v>9.4393000000000005E-2</v>
      </c>
      <c r="T135" s="28" t="e">
        <f t="shared" si="15"/>
        <v>#VALUE!</v>
      </c>
      <c r="U135" t="s">
        <v>169</v>
      </c>
      <c r="V135">
        <v>21</v>
      </c>
      <c r="W135" t="s">
        <v>355</v>
      </c>
    </row>
    <row r="136" spans="1:23" ht="28" x14ac:dyDescent="0.3">
      <c r="A136" s="2" t="s">
        <v>353</v>
      </c>
      <c r="B136" s="2" t="s">
        <v>316</v>
      </c>
      <c r="C136" t="s">
        <v>317</v>
      </c>
      <c r="D136" t="s">
        <v>231</v>
      </c>
      <c r="E136">
        <v>2050</v>
      </c>
      <c r="G136">
        <f>G137/0.55</f>
        <v>472</v>
      </c>
      <c r="H136" t="s">
        <v>356</v>
      </c>
      <c r="I136" t="s">
        <v>172</v>
      </c>
      <c r="K136" t="s">
        <v>172</v>
      </c>
      <c r="M136" t="s">
        <v>172</v>
      </c>
      <c r="O136">
        <v>25</v>
      </c>
      <c r="P136" t="s">
        <v>355</v>
      </c>
      <c r="Q136">
        <v>20</v>
      </c>
      <c r="R136">
        <v>7</v>
      </c>
      <c r="S136" s="28">
        <f t="shared" si="17"/>
        <v>9.4393000000000005E-2</v>
      </c>
      <c r="T136" s="28" t="e">
        <f t="shared" si="15"/>
        <v>#VALUE!</v>
      </c>
      <c r="U136" t="s">
        <v>169</v>
      </c>
      <c r="V136">
        <v>21</v>
      </c>
      <c r="W136" t="s">
        <v>355</v>
      </c>
    </row>
    <row r="137" spans="1:23" ht="28" hidden="1" x14ac:dyDescent="0.3">
      <c r="A137" s="2" t="s">
        <v>353</v>
      </c>
      <c r="B137" s="2" t="s">
        <v>316</v>
      </c>
      <c r="C137" t="s">
        <v>349</v>
      </c>
      <c r="D137" t="s">
        <v>166</v>
      </c>
      <c r="E137">
        <v>2050</v>
      </c>
      <c r="G137">
        <v>259.60000000000002</v>
      </c>
      <c r="H137" t="s">
        <v>356</v>
      </c>
      <c r="I137">
        <v>1600</v>
      </c>
      <c r="J137" t="s">
        <v>357</v>
      </c>
      <c r="L137" t="s">
        <v>351</v>
      </c>
      <c r="M137" s="34">
        <f>2.1+5.3</f>
        <v>7.4</v>
      </c>
      <c r="N137" s="34" t="s">
        <v>358</v>
      </c>
      <c r="O137">
        <v>25</v>
      </c>
      <c r="P137" t="s">
        <v>355</v>
      </c>
      <c r="Q137">
        <v>20</v>
      </c>
      <c r="R137">
        <v>7</v>
      </c>
      <c r="S137" s="28">
        <f t="shared" si="17"/>
        <v>9.4393000000000005E-2</v>
      </c>
      <c r="T137" s="28">
        <f t="shared" si="15"/>
        <v>151028.80000000002</v>
      </c>
      <c r="U137" t="s">
        <v>169</v>
      </c>
      <c r="V137">
        <v>21</v>
      </c>
      <c r="W137" t="s">
        <v>355</v>
      </c>
    </row>
    <row r="138" spans="1:23" ht="28" hidden="1" x14ac:dyDescent="0.3">
      <c r="A138" s="2" t="s">
        <v>353</v>
      </c>
      <c r="B138" s="2" t="s">
        <v>316</v>
      </c>
      <c r="C138" t="s">
        <v>335</v>
      </c>
      <c r="D138" t="s">
        <v>166</v>
      </c>
      <c r="E138">
        <v>2050</v>
      </c>
      <c r="G138">
        <f>G137/0.55*0.25</f>
        <v>118</v>
      </c>
      <c r="H138" t="s">
        <v>356</v>
      </c>
      <c r="I138" t="s">
        <v>172</v>
      </c>
      <c r="K138" t="s">
        <v>172</v>
      </c>
      <c r="M138" t="s">
        <v>172</v>
      </c>
      <c r="O138">
        <v>25</v>
      </c>
      <c r="P138" t="s">
        <v>355</v>
      </c>
      <c r="Q138">
        <v>20</v>
      </c>
      <c r="R138">
        <v>7</v>
      </c>
      <c r="S138" s="28">
        <f t="shared" si="17"/>
        <v>9.4393000000000005E-2</v>
      </c>
      <c r="T138" s="28" t="e">
        <f t="shared" si="15"/>
        <v>#VALUE!</v>
      </c>
      <c r="U138" t="s">
        <v>169</v>
      </c>
      <c r="V138">
        <v>21</v>
      </c>
      <c r="W138" t="s">
        <v>355</v>
      </c>
    </row>
  </sheetData>
  <autoFilter ref="A1:BI138" xr:uid="{00000000-0001-0000-0500-000000000000}">
    <filterColumn colId="2">
      <filters>
        <filter val="electricity"/>
      </filters>
    </filterColumn>
  </autoFilter>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6" customFormat="1" ht="125.5" customHeight="1" x14ac:dyDescent="0.3">
      <c r="A1" s="25" t="s">
        <v>359</v>
      </c>
      <c r="B1" s="25" t="s">
        <v>106</v>
      </c>
      <c r="C1" s="25" t="s">
        <v>81</v>
      </c>
      <c r="D1" s="25" t="s">
        <v>71</v>
      </c>
      <c r="E1" s="26" t="s">
        <v>109</v>
      </c>
      <c r="F1" s="26" t="s">
        <v>110</v>
      </c>
      <c r="G1" s="26" t="s">
        <v>111</v>
      </c>
      <c r="H1" s="26" t="s">
        <v>110</v>
      </c>
      <c r="I1" s="26" t="s">
        <v>112</v>
      </c>
      <c r="J1" s="26" t="s">
        <v>110</v>
      </c>
      <c r="K1" s="26" t="s">
        <v>113</v>
      </c>
      <c r="L1" s="26" t="s">
        <v>110</v>
      </c>
      <c r="M1" s="26" t="s">
        <v>114</v>
      </c>
      <c r="N1" s="26" t="s">
        <v>110</v>
      </c>
      <c r="O1" s="26" t="s">
        <v>115</v>
      </c>
      <c r="P1" s="26" t="s">
        <v>116</v>
      </c>
      <c r="Q1" s="26" t="s">
        <v>117</v>
      </c>
      <c r="R1" s="26" t="s">
        <v>118</v>
      </c>
      <c r="S1" s="26" t="s">
        <v>110</v>
      </c>
      <c r="T1" s="26" t="s">
        <v>119</v>
      </c>
      <c r="U1" s="26" t="s">
        <v>110</v>
      </c>
      <c r="V1" s="26" t="s">
        <v>134</v>
      </c>
      <c r="W1" s="26" t="s">
        <v>135</v>
      </c>
      <c r="X1" s="26" t="s">
        <v>137</v>
      </c>
      <c r="Y1" s="26" t="s">
        <v>110</v>
      </c>
      <c r="Z1" s="26" t="s">
        <v>138</v>
      </c>
      <c r="AA1" s="26" t="s">
        <v>110</v>
      </c>
    </row>
    <row r="2" spans="1:27" s="27" customFormat="1" ht="75" customHeight="1" x14ac:dyDescent="0.3">
      <c r="E2" s="27" t="s">
        <v>360</v>
      </c>
      <c r="G2" s="27" t="s">
        <v>361</v>
      </c>
      <c r="I2" s="27" t="s">
        <v>362</v>
      </c>
      <c r="K2" s="27" t="s">
        <v>84</v>
      </c>
      <c r="M2" s="27" t="s">
        <v>154</v>
      </c>
      <c r="O2" s="27" t="s">
        <v>154</v>
      </c>
      <c r="P2" s="27" t="s">
        <v>155</v>
      </c>
      <c r="R2" s="27" t="s">
        <v>363</v>
      </c>
      <c r="T2" s="27" t="s">
        <v>156</v>
      </c>
      <c r="V2" s="27" t="s">
        <v>155</v>
      </c>
      <c r="W2" s="27" t="s">
        <v>155</v>
      </c>
      <c r="X2" s="27" t="s">
        <v>161</v>
      </c>
      <c r="Z2" s="27" t="s">
        <v>157</v>
      </c>
    </row>
    <row r="3" spans="1:27" x14ac:dyDescent="0.3">
      <c r="A3" s="2" t="s">
        <v>364</v>
      </c>
      <c r="B3" s="2" t="s">
        <v>365</v>
      </c>
      <c r="C3" t="s">
        <v>165</v>
      </c>
      <c r="G3">
        <v>16000</v>
      </c>
      <c r="H3" t="s">
        <v>366</v>
      </c>
      <c r="I3">
        <v>0</v>
      </c>
      <c r="O3">
        <v>20</v>
      </c>
      <c r="P3">
        <v>7</v>
      </c>
      <c r="Q3">
        <f t="shared" ref="Q3:Q14" si="0">ROUND(-PMT(P3/100,O3,1),6)</f>
        <v>9.4393000000000005E-2</v>
      </c>
      <c r="R3">
        <f>Q3*G3*1000</f>
        <v>1510288</v>
      </c>
      <c r="S3" t="s">
        <v>169</v>
      </c>
    </row>
    <row r="4" spans="1:27" x14ac:dyDescent="0.3">
      <c r="A4" s="2" t="s">
        <v>367</v>
      </c>
      <c r="B4" s="2" t="s">
        <v>365</v>
      </c>
      <c r="C4" t="s">
        <v>165</v>
      </c>
      <c r="G4">
        <v>28000</v>
      </c>
      <c r="H4" t="s">
        <v>366</v>
      </c>
      <c r="I4">
        <v>0</v>
      </c>
      <c r="O4">
        <v>20</v>
      </c>
      <c r="P4">
        <v>7</v>
      </c>
      <c r="Q4">
        <f t="shared" si="0"/>
        <v>9.4393000000000005E-2</v>
      </c>
      <c r="R4">
        <f t="shared" ref="R4:R14" si="1">Q4*G4*1000</f>
        <v>2643004</v>
      </c>
      <c r="S4" t="s">
        <v>169</v>
      </c>
    </row>
    <row r="5" spans="1:27" x14ac:dyDescent="0.3">
      <c r="A5" s="2" t="s">
        <v>368</v>
      </c>
      <c r="B5" s="2" t="s">
        <v>365</v>
      </c>
      <c r="C5" t="s">
        <v>165</v>
      </c>
      <c r="G5">
        <v>40000</v>
      </c>
      <c r="H5" t="s">
        <v>366</v>
      </c>
      <c r="I5">
        <v>0</v>
      </c>
      <c r="O5">
        <v>20</v>
      </c>
      <c r="P5">
        <v>7</v>
      </c>
      <c r="Q5">
        <f t="shared" si="0"/>
        <v>9.4393000000000005E-2</v>
      </c>
      <c r="R5">
        <f t="shared" si="1"/>
        <v>3775720.0000000005</v>
      </c>
      <c r="S5" t="s">
        <v>169</v>
      </c>
    </row>
    <row r="6" spans="1:27" x14ac:dyDescent="0.3">
      <c r="A6" s="2" t="s">
        <v>369</v>
      </c>
      <c r="B6" s="2" t="s">
        <v>365</v>
      </c>
      <c r="C6" t="s">
        <v>165</v>
      </c>
      <c r="G6">
        <v>51000</v>
      </c>
      <c r="H6" t="s">
        <v>366</v>
      </c>
      <c r="I6">
        <v>0</v>
      </c>
      <c r="O6">
        <v>20</v>
      </c>
      <c r="P6">
        <v>7</v>
      </c>
      <c r="Q6">
        <f t="shared" si="0"/>
        <v>9.4393000000000005E-2</v>
      </c>
      <c r="R6">
        <f t="shared" si="1"/>
        <v>4814043.0000000009</v>
      </c>
      <c r="S6" t="s">
        <v>169</v>
      </c>
    </row>
    <row r="7" spans="1:27" x14ac:dyDescent="0.3">
      <c r="A7" s="2" t="s">
        <v>370</v>
      </c>
      <c r="B7" s="2" t="s">
        <v>365</v>
      </c>
      <c r="C7" t="s">
        <v>165</v>
      </c>
      <c r="G7">
        <v>110000</v>
      </c>
      <c r="H7" t="s">
        <v>366</v>
      </c>
      <c r="I7">
        <v>0</v>
      </c>
      <c r="O7">
        <v>20</v>
      </c>
      <c r="P7">
        <v>7</v>
      </c>
      <c r="Q7">
        <f t="shared" si="0"/>
        <v>9.4393000000000005E-2</v>
      </c>
      <c r="R7">
        <f t="shared" si="1"/>
        <v>10383230.000000002</v>
      </c>
      <c r="S7" t="s">
        <v>169</v>
      </c>
    </row>
    <row r="8" spans="1:27" x14ac:dyDescent="0.3">
      <c r="A8" s="2" t="s">
        <v>371</v>
      </c>
      <c r="B8" s="2" t="s">
        <v>365</v>
      </c>
      <c r="C8" t="s">
        <v>165</v>
      </c>
      <c r="G8">
        <v>153000</v>
      </c>
      <c r="H8" t="s">
        <v>366</v>
      </c>
      <c r="I8">
        <v>0</v>
      </c>
      <c r="O8">
        <v>20</v>
      </c>
      <c r="P8">
        <v>7</v>
      </c>
      <c r="Q8">
        <f t="shared" si="0"/>
        <v>9.4393000000000005E-2</v>
      </c>
      <c r="R8">
        <f t="shared" si="1"/>
        <v>14442129</v>
      </c>
      <c r="S8" t="s">
        <v>169</v>
      </c>
    </row>
    <row r="9" spans="1:27" x14ac:dyDescent="0.3">
      <c r="A9" s="2" t="s">
        <v>372</v>
      </c>
      <c r="B9" s="2" t="s">
        <v>373</v>
      </c>
      <c r="C9" t="s">
        <v>165</v>
      </c>
      <c r="G9">
        <v>350</v>
      </c>
      <c r="H9" t="s">
        <v>374</v>
      </c>
      <c r="I9">
        <v>0</v>
      </c>
      <c r="O9">
        <v>20</v>
      </c>
      <c r="P9">
        <v>7</v>
      </c>
      <c r="Q9">
        <f t="shared" si="0"/>
        <v>9.4393000000000005E-2</v>
      </c>
      <c r="R9">
        <f t="shared" si="1"/>
        <v>33037.550000000003</v>
      </c>
      <c r="S9" t="s">
        <v>169</v>
      </c>
    </row>
    <row r="10" spans="1:27" x14ac:dyDescent="0.3">
      <c r="A10" s="2" t="s">
        <v>375</v>
      </c>
      <c r="B10" s="2" t="s">
        <v>373</v>
      </c>
      <c r="C10" t="s">
        <v>165</v>
      </c>
      <c r="G10" s="35">
        <v>330</v>
      </c>
      <c r="H10" t="s">
        <v>374</v>
      </c>
      <c r="I10">
        <v>0</v>
      </c>
      <c r="O10">
        <v>20</v>
      </c>
      <c r="P10">
        <v>7</v>
      </c>
      <c r="Q10">
        <f t="shared" si="0"/>
        <v>9.4393000000000005E-2</v>
      </c>
      <c r="R10">
        <f t="shared" si="1"/>
        <v>31149.690000000002</v>
      </c>
      <c r="S10" t="s">
        <v>169</v>
      </c>
    </row>
    <row r="11" spans="1:27" x14ac:dyDescent="0.3">
      <c r="A11" s="2" t="s">
        <v>376</v>
      </c>
      <c r="B11" s="2" t="s">
        <v>373</v>
      </c>
      <c r="C11" t="s">
        <v>165</v>
      </c>
      <c r="G11">
        <v>450</v>
      </c>
      <c r="H11" t="s">
        <v>374</v>
      </c>
      <c r="I11">
        <v>0</v>
      </c>
      <c r="O11">
        <v>20</v>
      </c>
      <c r="P11">
        <v>7</v>
      </c>
      <c r="Q11">
        <f t="shared" si="0"/>
        <v>9.4393000000000005E-2</v>
      </c>
      <c r="R11">
        <f t="shared" si="1"/>
        <v>42476.85</v>
      </c>
      <c r="S11" t="s">
        <v>169</v>
      </c>
    </row>
    <row r="12" spans="1:27" x14ac:dyDescent="0.3">
      <c r="A12" s="2" t="s">
        <v>377</v>
      </c>
      <c r="B12" s="2" t="s">
        <v>373</v>
      </c>
      <c r="C12" t="s">
        <v>165</v>
      </c>
      <c r="G12">
        <v>800</v>
      </c>
      <c r="H12" t="s">
        <v>374</v>
      </c>
      <c r="I12">
        <v>0</v>
      </c>
      <c r="O12">
        <v>20</v>
      </c>
      <c r="P12">
        <v>7</v>
      </c>
      <c r="Q12">
        <f t="shared" si="0"/>
        <v>9.4393000000000005E-2</v>
      </c>
      <c r="R12">
        <f t="shared" si="1"/>
        <v>75514.400000000009</v>
      </c>
      <c r="S12" t="s">
        <v>169</v>
      </c>
    </row>
    <row r="13" spans="1:27" x14ac:dyDescent="0.3">
      <c r="A13" s="2" t="s">
        <v>378</v>
      </c>
      <c r="B13" s="2" t="s">
        <v>373</v>
      </c>
      <c r="C13" t="s">
        <v>165</v>
      </c>
      <c r="G13">
        <v>1600</v>
      </c>
      <c r="H13" t="s">
        <v>374</v>
      </c>
      <c r="I13">
        <v>0</v>
      </c>
      <c r="O13">
        <v>20</v>
      </c>
      <c r="P13">
        <v>7</v>
      </c>
      <c r="Q13">
        <f t="shared" si="0"/>
        <v>9.4393000000000005E-2</v>
      </c>
      <c r="R13">
        <f t="shared" si="1"/>
        <v>151028.80000000002</v>
      </c>
      <c r="S13" t="s">
        <v>169</v>
      </c>
    </row>
    <row r="14" spans="1:27" x14ac:dyDescent="0.3">
      <c r="A14" s="2" t="s">
        <v>379</v>
      </c>
      <c r="B14" s="2" t="s">
        <v>373</v>
      </c>
      <c r="C14" t="s">
        <v>165</v>
      </c>
      <c r="G14">
        <v>2400</v>
      </c>
      <c r="H14" t="s">
        <v>374</v>
      </c>
      <c r="I14">
        <v>0</v>
      </c>
      <c r="O14">
        <v>20</v>
      </c>
      <c r="P14">
        <v>7</v>
      </c>
      <c r="Q14">
        <f t="shared" si="0"/>
        <v>9.4393000000000005E-2</v>
      </c>
      <c r="R14">
        <f t="shared" si="1"/>
        <v>226543.2</v>
      </c>
      <c r="S14" t="s">
        <v>169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2.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3.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Index</vt:lpstr>
      <vt:lpstr>Scenarios</vt:lpstr>
      <vt:lpstr>Emission_prices</vt:lpstr>
      <vt:lpstr>Commodity_prices (2)</vt:lpstr>
      <vt:lpstr>technologyPotentials</vt:lpstr>
      <vt:lpstr>Biomass_potential</vt:lpstr>
      <vt:lpstr>New_technology_data</vt:lpstr>
      <vt:lpstr>New_transmission_data</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2023-04-23T21:57:13Z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