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3392483-5F24-4815-826F-3FC6CDAEE483}" xr6:coauthVersionLast="47" xr6:coauthVersionMax="47" xr10:uidLastSave="{00000000-0000-0000-0000-000000000000}"/>
  <bookViews>
    <workbookView xWindow="12315" yWindow="-16350" windowWidth="29040" windowHeight="15840" tabRatio="977" activeTab="9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pivot1_2030" sheetId="14" r:id="rId15"/>
    <sheet name="grid__node__unit__io" sheetId="8" r:id="rId16"/>
    <sheet name="pivot2030" sheetId="15" r:id="rId17"/>
  </sheets>
  <externalReferences>
    <externalReference r:id="rId18"/>
  </externalReferences>
  <calcPr calcId="191029"/>
  <pivotCaches>
    <pivotCache cacheId="6" r:id="rId19"/>
    <pivotCache cacheId="7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1" l="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H47" i="18"/>
  <c r="G47" i="18"/>
  <c r="F47" i="18"/>
  <c r="R53" i="18" s="1"/>
  <c r="E47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48" i="18"/>
  <c r="E50" i="18"/>
  <c r="E48" i="18"/>
  <c r="F48" i="18"/>
  <c r="G48" i="18"/>
  <c r="H48" i="18"/>
  <c r="E49" i="18"/>
  <c r="F49" i="18"/>
  <c r="G49" i="18"/>
  <c r="H49" i="18"/>
  <c r="F50" i="18"/>
  <c r="G50" i="18"/>
  <c r="H50" i="18"/>
  <c r="E51" i="18"/>
  <c r="F51" i="18"/>
  <c r="G51" i="18"/>
  <c r="H51" i="18"/>
  <c r="E52" i="18"/>
  <c r="F52" i="18"/>
  <c r="G52" i="18"/>
  <c r="H52" i="18"/>
  <c r="E53" i="18"/>
  <c r="F53" i="18"/>
  <c r="G53" i="18"/>
  <c r="H53" i="18"/>
  <c r="E54" i="18"/>
  <c r="F54" i="18"/>
  <c r="G54" i="18"/>
  <c r="H54" i="18"/>
  <c r="E55" i="18"/>
  <c r="F55" i="18"/>
  <c r="G55" i="18"/>
  <c r="H55" i="18"/>
  <c r="E56" i="18"/>
  <c r="F56" i="18"/>
  <c r="G56" i="18"/>
  <c r="H56" i="18"/>
  <c r="E57" i="18"/>
  <c r="F57" i="18"/>
  <c r="G57" i="18"/>
  <c r="H57" i="18"/>
  <c r="E58" i="18"/>
  <c r="F58" i="18"/>
  <c r="G58" i="18"/>
  <c r="H58" i="18"/>
  <c r="E59" i="18"/>
  <c r="F59" i="18"/>
  <c r="G59" i="18"/>
  <c r="H59" i="18"/>
  <c r="E60" i="18"/>
  <c r="F60" i="18"/>
  <c r="G60" i="18"/>
  <c r="H60" i="18"/>
  <c r="E61" i="18"/>
  <c r="F61" i="18"/>
  <c r="G61" i="18"/>
  <c r="H61" i="18"/>
  <c r="E62" i="18"/>
  <c r="F62" i="18"/>
  <c r="G62" i="18"/>
  <c r="H62" i="18"/>
  <c r="E63" i="18"/>
  <c r="F63" i="18"/>
  <c r="G63" i="18"/>
  <c r="H63" i="18"/>
  <c r="E64" i="18"/>
  <c r="F64" i="18"/>
  <c r="G64" i="18"/>
  <c r="H64" i="18"/>
  <c r="E65" i="18"/>
  <c r="F65" i="18"/>
  <c r="G65" i="18"/>
  <c r="H65" i="18"/>
  <c r="E66" i="18"/>
  <c r="F66" i="18"/>
  <c r="G66" i="18"/>
  <c r="H66" i="18"/>
  <c r="E67" i="18"/>
  <c r="F67" i="18"/>
  <c r="G67" i="18"/>
  <c r="H67" i="18"/>
  <c r="E68" i="18"/>
  <c r="F68" i="18"/>
  <c r="G68" i="18"/>
  <c r="H68" i="18"/>
  <c r="E69" i="18"/>
  <c r="F69" i="18"/>
  <c r="G69" i="18"/>
  <c r="H69" i="18"/>
  <c r="E70" i="18"/>
  <c r="F70" i="18"/>
  <c r="G70" i="18"/>
  <c r="H70" i="18"/>
  <c r="E71" i="18"/>
  <c r="F71" i="18"/>
  <c r="G71" i="18"/>
  <c r="H71" i="18"/>
  <c r="E72" i="18"/>
  <c r="F72" i="18"/>
  <c r="G72" i="18"/>
  <c r="H72" i="18"/>
  <c r="E73" i="18"/>
  <c r="F73" i="18"/>
  <c r="G73" i="18"/>
  <c r="H73" i="18"/>
  <c r="E74" i="18"/>
  <c r="F74" i="18"/>
  <c r="G74" i="18"/>
  <c r="H74" i="18"/>
  <c r="E75" i="18"/>
  <c r="F75" i="18"/>
  <c r="G75" i="18"/>
  <c r="H75" i="18"/>
  <c r="E76" i="18"/>
  <c r="F76" i="18"/>
  <c r="G76" i="18"/>
  <c r="H76" i="18"/>
  <c r="E77" i="18"/>
  <c r="F77" i="18"/>
  <c r="G77" i="18"/>
  <c r="H77" i="18"/>
  <c r="B78" i="18"/>
  <c r="C78" i="18"/>
  <c r="D78" i="18"/>
  <c r="E78" i="18"/>
  <c r="F78" i="18"/>
  <c r="G78" i="18"/>
  <c r="H78" i="18"/>
  <c r="I78" i="18"/>
  <c r="A47" i="18"/>
  <c r="U34" i="18"/>
  <c r="V34" i="18" s="1"/>
  <c r="T25" i="18" l="1"/>
  <c r="T27" i="18"/>
  <c r="T28" i="18"/>
  <c r="V28" i="18"/>
  <c r="U27" i="18"/>
  <c r="U28" i="18"/>
  <c r="G4" i="18"/>
  <c r="G36" i="18" s="1"/>
  <c r="R19" i="18"/>
  <c r="W19" i="18" s="1"/>
  <c r="O47" i="18"/>
  <c r="P47" i="18"/>
  <c r="Q47" i="18"/>
  <c r="R47" i="18"/>
  <c r="S47" i="18"/>
  <c r="T47" i="18"/>
  <c r="U47" i="18"/>
  <c r="N47" i="18"/>
  <c r="V20" i="18"/>
  <c r="V21" i="18"/>
  <c r="V22" i="18"/>
  <c r="V23" i="18"/>
  <c r="V24" i="18"/>
  <c r="V25" i="18"/>
  <c r="V26" i="18"/>
  <c r="V27" i="18"/>
  <c r="V19" i="18"/>
  <c r="R28" i="18"/>
  <c r="W28" i="18" s="1"/>
  <c r="R20" i="18"/>
  <c r="W20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S9" i="18"/>
  <c r="A36" i="18"/>
  <c r="A6" i="18"/>
  <c r="C4" i="18"/>
  <c r="C36" i="18" s="1"/>
  <c r="D4" i="18"/>
  <c r="D36" i="18" s="1"/>
  <c r="E4" i="18"/>
  <c r="E36" i="18" s="1"/>
  <c r="F4" i="18"/>
  <c r="F36" i="18" s="1"/>
  <c r="H4" i="18"/>
  <c r="H36" i="18" s="1"/>
  <c r="I4" i="18"/>
  <c r="I36" i="18" s="1"/>
  <c r="J4" i="18"/>
  <c r="J36" i="18" s="1"/>
  <c r="K4" i="18"/>
  <c r="K36" i="18" s="1"/>
  <c r="L4" i="18"/>
  <c r="L36" i="18" s="1"/>
  <c r="B77" i="18" s="1"/>
  <c r="M4" i="18"/>
  <c r="M36" i="18" s="1"/>
  <c r="N4" i="18"/>
  <c r="N36" i="18" s="1"/>
  <c r="O4" i="18"/>
  <c r="O36" i="18" s="1"/>
  <c r="B4" i="18"/>
  <c r="B36" i="18" s="1"/>
  <c r="B3" i="18"/>
  <c r="B6" i="18" s="1"/>
  <c r="C3" i="18"/>
  <c r="D3" i="18"/>
  <c r="E3" i="18"/>
  <c r="F3" i="18"/>
  <c r="G3" i="18"/>
  <c r="G8" i="18" s="1"/>
  <c r="H3" i="18"/>
  <c r="H6" i="18" s="1"/>
  <c r="I3" i="18"/>
  <c r="I17" i="18" s="1"/>
  <c r="J3" i="18"/>
  <c r="K3" i="18"/>
  <c r="K26" i="18" s="1"/>
  <c r="L3" i="18"/>
  <c r="L6" i="18" s="1"/>
  <c r="M3" i="18"/>
  <c r="M27" i="18" s="1"/>
  <c r="N3" i="18"/>
  <c r="O3" i="18"/>
  <c r="I49" i="18" l="1"/>
  <c r="C49" i="18"/>
  <c r="D49" i="18"/>
  <c r="N35" i="18"/>
  <c r="C77" i="18"/>
  <c r="D77" i="18"/>
  <c r="I77" i="18"/>
  <c r="N48" i="18"/>
  <c r="O12" i="18"/>
  <c r="E31" i="18"/>
  <c r="C22" i="18"/>
  <c r="T48" i="18"/>
  <c r="R49" i="18"/>
  <c r="S48" i="18"/>
  <c r="Q71" i="18"/>
  <c r="Q64" i="18"/>
  <c r="Q55" i="18"/>
  <c r="Q54" i="18"/>
  <c r="Q77" i="18"/>
  <c r="Q69" i="18"/>
  <c r="Q61" i="18"/>
  <c r="Q53" i="18"/>
  <c r="Q76" i="18"/>
  <c r="Q52" i="18"/>
  <c r="Q75" i="18"/>
  <c r="Q67" i="18"/>
  <c r="Q59" i="18"/>
  <c r="Q51" i="18"/>
  <c r="Q74" i="18"/>
  <c r="Q50" i="18"/>
  <c r="Q73" i="18"/>
  <c r="Q65" i="18"/>
  <c r="Q57" i="18"/>
  <c r="S77" i="18"/>
  <c r="S76" i="18"/>
  <c r="S75" i="18"/>
  <c r="S74" i="18"/>
  <c r="S73" i="18"/>
  <c r="S72" i="18"/>
  <c r="S69" i="18"/>
  <c r="S68" i="18"/>
  <c r="S67" i="18"/>
  <c r="S66" i="18"/>
  <c r="S65" i="18"/>
  <c r="S64" i="18"/>
  <c r="S61" i="18"/>
  <c r="S60" i="18"/>
  <c r="S59" i="18"/>
  <c r="S58" i="18"/>
  <c r="S57" i="18"/>
  <c r="S56" i="18"/>
  <c r="S53" i="18"/>
  <c r="S52" i="18"/>
  <c r="S51" i="18"/>
  <c r="S50" i="18"/>
  <c r="S49" i="18"/>
  <c r="H32" i="18"/>
  <c r="E23" i="18"/>
  <c r="K18" i="18"/>
  <c r="C14" i="18"/>
  <c r="I9" i="18"/>
  <c r="K6" i="18"/>
  <c r="I7" i="18"/>
  <c r="N31" i="18"/>
  <c r="E27" i="18"/>
  <c r="K22" i="18"/>
  <c r="C18" i="18"/>
  <c r="I13" i="18"/>
  <c r="O8" i="18"/>
  <c r="K33" i="18"/>
  <c r="K9" i="18"/>
  <c r="K13" i="18"/>
  <c r="K17" i="18"/>
  <c r="K21" i="18"/>
  <c r="K25" i="18"/>
  <c r="K29" i="18"/>
  <c r="K7" i="18"/>
  <c r="K32" i="18"/>
  <c r="K8" i="18"/>
  <c r="K12" i="18"/>
  <c r="K16" i="18"/>
  <c r="K20" i="18"/>
  <c r="K24" i="18"/>
  <c r="K28" i="18"/>
  <c r="K31" i="18"/>
  <c r="K35" i="18"/>
  <c r="K11" i="18"/>
  <c r="K15" i="18"/>
  <c r="K19" i="18"/>
  <c r="K23" i="18"/>
  <c r="K27" i="18"/>
  <c r="K34" i="18"/>
  <c r="C33" i="18"/>
  <c r="C9" i="18"/>
  <c r="C13" i="18"/>
  <c r="C17" i="18"/>
  <c r="C21" i="18"/>
  <c r="C25" i="18"/>
  <c r="C29" i="18"/>
  <c r="C7" i="18"/>
  <c r="C32" i="18"/>
  <c r="C8" i="18"/>
  <c r="C12" i="18"/>
  <c r="C16" i="18"/>
  <c r="C20" i="18"/>
  <c r="C24" i="18"/>
  <c r="C28" i="18"/>
  <c r="C35" i="18"/>
  <c r="C11" i="18"/>
  <c r="C15" i="18"/>
  <c r="C19" i="18"/>
  <c r="C23" i="18"/>
  <c r="C27" i="18"/>
  <c r="C31" i="18"/>
  <c r="C34" i="18"/>
  <c r="J9" i="18"/>
  <c r="J13" i="18"/>
  <c r="J17" i="18"/>
  <c r="J21" i="18"/>
  <c r="J25" i="18"/>
  <c r="J29" i="18"/>
  <c r="J7" i="18"/>
  <c r="J32" i="18"/>
  <c r="J8" i="18"/>
  <c r="J12" i="18"/>
  <c r="J16" i="18"/>
  <c r="J20" i="18"/>
  <c r="J24" i="18"/>
  <c r="J28" i="18"/>
  <c r="J31" i="18"/>
  <c r="J35" i="18"/>
  <c r="J11" i="18"/>
  <c r="J15" i="18"/>
  <c r="J19" i="18"/>
  <c r="J23" i="18"/>
  <c r="J27" i="18"/>
  <c r="J34" i="18"/>
  <c r="J10" i="18"/>
  <c r="J14" i="18"/>
  <c r="J18" i="18"/>
  <c r="J22" i="18"/>
  <c r="J26" i="18"/>
  <c r="J30" i="18"/>
  <c r="J6" i="18"/>
  <c r="B9" i="18"/>
  <c r="B13" i="18"/>
  <c r="B17" i="18"/>
  <c r="B21" i="18"/>
  <c r="B25" i="18"/>
  <c r="B29" i="18"/>
  <c r="B32" i="18"/>
  <c r="B8" i="18"/>
  <c r="B12" i="18"/>
  <c r="B16" i="18"/>
  <c r="B20" i="18"/>
  <c r="B24" i="18"/>
  <c r="B28" i="18"/>
  <c r="B35" i="18"/>
  <c r="B11" i="18"/>
  <c r="B15" i="18"/>
  <c r="B19" i="18"/>
  <c r="B23" i="18"/>
  <c r="B27" i="18"/>
  <c r="B31" i="18"/>
  <c r="B34" i="18"/>
  <c r="B10" i="18"/>
  <c r="B14" i="18"/>
  <c r="B18" i="18"/>
  <c r="B22" i="18"/>
  <c r="B26" i="18"/>
  <c r="B30" i="18"/>
  <c r="B7" i="18"/>
  <c r="I32" i="18"/>
  <c r="I8" i="18"/>
  <c r="I12" i="18"/>
  <c r="I16" i="18"/>
  <c r="I20" i="18"/>
  <c r="I24" i="18"/>
  <c r="I28" i="18"/>
  <c r="I31" i="18"/>
  <c r="I35" i="18"/>
  <c r="I11" i="18"/>
  <c r="I15" i="18"/>
  <c r="I19" i="18"/>
  <c r="I23" i="18"/>
  <c r="I27" i="18"/>
  <c r="I34" i="18"/>
  <c r="I10" i="18"/>
  <c r="I14" i="18"/>
  <c r="I18" i="18"/>
  <c r="I22" i="18"/>
  <c r="I26" i="18"/>
  <c r="I30" i="18"/>
  <c r="I6" i="18"/>
  <c r="I33" i="18"/>
  <c r="H8" i="18"/>
  <c r="H12" i="18"/>
  <c r="H16" i="18"/>
  <c r="H20" i="18"/>
  <c r="H24" i="18"/>
  <c r="H28" i="18"/>
  <c r="H31" i="18"/>
  <c r="H35" i="18"/>
  <c r="H11" i="18"/>
  <c r="H15" i="18"/>
  <c r="H19" i="18"/>
  <c r="H23" i="18"/>
  <c r="H27" i="18"/>
  <c r="H34" i="18"/>
  <c r="H10" i="18"/>
  <c r="H14" i="18"/>
  <c r="H18" i="18"/>
  <c r="H22" i="18"/>
  <c r="H26" i="18"/>
  <c r="H30" i="18"/>
  <c r="H33" i="18"/>
  <c r="H9" i="18"/>
  <c r="H13" i="18"/>
  <c r="H17" i="18"/>
  <c r="H21" i="18"/>
  <c r="H25" i="18"/>
  <c r="H29" i="18"/>
  <c r="H7" i="18"/>
  <c r="O31" i="18"/>
  <c r="O35" i="18"/>
  <c r="O11" i="18"/>
  <c r="O15" i="18"/>
  <c r="O19" i="18"/>
  <c r="O23" i="18"/>
  <c r="O27" i="18"/>
  <c r="O34" i="18"/>
  <c r="O10" i="18"/>
  <c r="O14" i="18"/>
  <c r="O18" i="18"/>
  <c r="O22" i="18"/>
  <c r="O26" i="18"/>
  <c r="O30" i="18"/>
  <c r="O33" i="18"/>
  <c r="O9" i="18"/>
  <c r="O13" i="18"/>
  <c r="O17" i="18"/>
  <c r="O21" i="18"/>
  <c r="O25" i="18"/>
  <c r="O29" i="18"/>
  <c r="O7" i="18"/>
  <c r="O32" i="18"/>
  <c r="G31" i="18"/>
  <c r="G35" i="18"/>
  <c r="G11" i="18"/>
  <c r="G15" i="18"/>
  <c r="G19" i="18"/>
  <c r="G23" i="18"/>
  <c r="G27" i="18"/>
  <c r="G34" i="18"/>
  <c r="G10" i="18"/>
  <c r="G14" i="18"/>
  <c r="G18" i="18"/>
  <c r="G22" i="18"/>
  <c r="G26" i="18"/>
  <c r="G30" i="18"/>
  <c r="G6" i="18"/>
  <c r="G33" i="18"/>
  <c r="G9" i="18"/>
  <c r="G13" i="18"/>
  <c r="G17" i="18"/>
  <c r="G21" i="18"/>
  <c r="G25" i="18"/>
  <c r="G29" i="18"/>
  <c r="G7" i="18"/>
  <c r="G32" i="18"/>
  <c r="N11" i="18"/>
  <c r="N15" i="18"/>
  <c r="N19" i="18"/>
  <c r="N23" i="18"/>
  <c r="N27" i="18"/>
  <c r="N34" i="18"/>
  <c r="N10" i="18"/>
  <c r="N14" i="18"/>
  <c r="N18" i="18"/>
  <c r="N22" i="18"/>
  <c r="N26" i="18"/>
  <c r="N30" i="18"/>
  <c r="N33" i="18"/>
  <c r="N9" i="18"/>
  <c r="N13" i="18"/>
  <c r="N17" i="18"/>
  <c r="N21" i="18"/>
  <c r="N25" i="18"/>
  <c r="N29" i="18"/>
  <c r="N7" i="18"/>
  <c r="N32" i="18"/>
  <c r="N8" i="18"/>
  <c r="N12" i="18"/>
  <c r="N16" i="18"/>
  <c r="N20" i="18"/>
  <c r="N24" i="18"/>
  <c r="N28" i="18"/>
  <c r="F11" i="18"/>
  <c r="F15" i="18"/>
  <c r="F19" i="18"/>
  <c r="F23" i="18"/>
  <c r="F27" i="18"/>
  <c r="F31" i="18"/>
  <c r="F34" i="18"/>
  <c r="F10" i="18"/>
  <c r="F14" i="18"/>
  <c r="F18" i="18"/>
  <c r="F22" i="18"/>
  <c r="F26" i="18"/>
  <c r="F30" i="18"/>
  <c r="F6" i="18"/>
  <c r="F33" i="18"/>
  <c r="F9" i="18"/>
  <c r="F13" i="18"/>
  <c r="F17" i="18"/>
  <c r="F21" i="18"/>
  <c r="F25" i="18"/>
  <c r="F29" i="18"/>
  <c r="F7" i="18"/>
  <c r="F32" i="18"/>
  <c r="F8" i="18"/>
  <c r="F12" i="18"/>
  <c r="F16" i="18"/>
  <c r="F20" i="18"/>
  <c r="F24" i="18"/>
  <c r="F28" i="18"/>
  <c r="M34" i="18"/>
  <c r="M10" i="18"/>
  <c r="M14" i="18"/>
  <c r="M18" i="18"/>
  <c r="M22" i="18"/>
  <c r="M26" i="18"/>
  <c r="M30" i="18"/>
  <c r="M33" i="18"/>
  <c r="M9" i="18"/>
  <c r="M13" i="18"/>
  <c r="M17" i="18"/>
  <c r="M21" i="18"/>
  <c r="M25" i="18"/>
  <c r="M29" i="18"/>
  <c r="M7" i="18"/>
  <c r="M32" i="18"/>
  <c r="M8" i="18"/>
  <c r="M12" i="18"/>
  <c r="M16" i="18"/>
  <c r="M20" i="18"/>
  <c r="M24" i="18"/>
  <c r="M28" i="18"/>
  <c r="M31" i="18"/>
  <c r="M35" i="18"/>
  <c r="E34" i="18"/>
  <c r="E10" i="18"/>
  <c r="E14" i="18"/>
  <c r="E18" i="18"/>
  <c r="E22" i="18"/>
  <c r="E26" i="18"/>
  <c r="E30" i="18"/>
  <c r="E6" i="18"/>
  <c r="E33" i="18"/>
  <c r="E9" i="18"/>
  <c r="E13" i="18"/>
  <c r="E17" i="18"/>
  <c r="E21" i="18"/>
  <c r="E25" i="18"/>
  <c r="E29" i="18"/>
  <c r="E7" i="18"/>
  <c r="E32" i="18"/>
  <c r="E8" i="18"/>
  <c r="E12" i="18"/>
  <c r="E16" i="18"/>
  <c r="E20" i="18"/>
  <c r="E24" i="18"/>
  <c r="E28" i="18"/>
  <c r="E35" i="18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7" i="18"/>
  <c r="B48" i="18" s="1"/>
  <c r="B47" i="18" s="1"/>
  <c r="N49" i="18" s="1"/>
  <c r="L32" i="18"/>
  <c r="B73" i="18" s="1"/>
  <c r="L8" i="18"/>
  <c r="B49" i="18" s="1"/>
  <c r="L12" i="18"/>
  <c r="B53" i="18" s="1"/>
  <c r="L16" i="18"/>
  <c r="B57" i="18" s="1"/>
  <c r="L20" i="18"/>
  <c r="B61" i="18" s="1"/>
  <c r="L24" i="18"/>
  <c r="B65" i="18" s="1"/>
  <c r="L28" i="18"/>
  <c r="B69" i="18" s="1"/>
  <c r="L31" i="18"/>
  <c r="B72" i="18" s="1"/>
  <c r="L35" i="18"/>
  <c r="B76" i="18" s="1"/>
  <c r="L11" i="18"/>
  <c r="B52" i="18" s="1"/>
  <c r="L15" i="18"/>
  <c r="B56" i="18" s="1"/>
  <c r="L19" i="18"/>
  <c r="B60" i="18" s="1"/>
  <c r="L23" i="18"/>
  <c r="B64" i="18" s="1"/>
  <c r="L27" i="18"/>
  <c r="B68" i="18" s="1"/>
  <c r="D10" i="18"/>
  <c r="D14" i="18"/>
  <c r="D18" i="18"/>
  <c r="D22" i="18"/>
  <c r="D26" i="18"/>
  <c r="D30" i="18"/>
  <c r="D6" i="18"/>
  <c r="D33" i="18"/>
  <c r="D9" i="18"/>
  <c r="D13" i="18"/>
  <c r="D17" i="18"/>
  <c r="D21" i="18"/>
  <c r="D25" i="18"/>
  <c r="D29" i="18"/>
  <c r="D7" i="18"/>
  <c r="D32" i="18"/>
  <c r="D8" i="18"/>
  <c r="D12" i="18"/>
  <c r="D16" i="18"/>
  <c r="D20" i="18"/>
  <c r="D24" i="18"/>
  <c r="D28" i="18"/>
  <c r="D35" i="18"/>
  <c r="D11" i="18"/>
  <c r="D15" i="18"/>
  <c r="D19" i="18"/>
  <c r="D23" i="18"/>
  <c r="D27" i="18"/>
  <c r="D31" i="18"/>
  <c r="C6" i="18"/>
  <c r="F35" i="18"/>
  <c r="K30" i="18"/>
  <c r="C26" i="18"/>
  <c r="I21" i="18"/>
  <c r="O16" i="18"/>
  <c r="G12" i="18"/>
  <c r="L34" i="18"/>
  <c r="B75" i="18" s="1"/>
  <c r="C30" i="18"/>
  <c r="I25" i="18"/>
  <c r="O20" i="18"/>
  <c r="G16" i="18"/>
  <c r="M11" i="18"/>
  <c r="O6" i="18"/>
  <c r="D34" i="18"/>
  <c r="I29" i="18"/>
  <c r="O24" i="18"/>
  <c r="G20" i="18"/>
  <c r="M15" i="18"/>
  <c r="E11" i="18"/>
  <c r="N6" i="18"/>
  <c r="J33" i="18"/>
  <c r="O28" i="18"/>
  <c r="G24" i="18"/>
  <c r="M19" i="18"/>
  <c r="E15" i="18"/>
  <c r="K10" i="18"/>
  <c r="M6" i="18"/>
  <c r="B33" i="18"/>
  <c r="G28" i="18"/>
  <c r="M23" i="18"/>
  <c r="E19" i="18"/>
  <c r="K14" i="18"/>
  <c r="C10" i="18"/>
  <c r="D61" i="18" l="1"/>
  <c r="C61" i="18"/>
  <c r="I61" i="18"/>
  <c r="D65" i="18"/>
  <c r="C65" i="18"/>
  <c r="I65" i="18"/>
  <c r="I50" i="18"/>
  <c r="D50" i="18"/>
  <c r="C50" i="18"/>
  <c r="I51" i="18"/>
  <c r="C51" i="18"/>
  <c r="D51" i="18"/>
  <c r="C72" i="18"/>
  <c r="D72" i="18"/>
  <c r="I72" i="18"/>
  <c r="D54" i="18"/>
  <c r="C54" i="18"/>
  <c r="I54" i="18"/>
  <c r="D53" i="18"/>
  <c r="C53" i="18"/>
  <c r="I53" i="18"/>
  <c r="C73" i="18"/>
  <c r="D73" i="18"/>
  <c r="I73" i="18"/>
  <c r="D74" i="18"/>
  <c r="C74" i="18"/>
  <c r="I74" i="18"/>
  <c r="C75" i="18"/>
  <c r="D75" i="18"/>
  <c r="I75" i="18"/>
  <c r="C55" i="18"/>
  <c r="D55" i="18"/>
  <c r="I55" i="18"/>
  <c r="C76" i="18"/>
  <c r="D76" i="18"/>
  <c r="I76" i="18"/>
  <c r="I48" i="18"/>
  <c r="I47" i="18" s="1"/>
  <c r="C48" i="18"/>
  <c r="C47" i="18" s="1"/>
  <c r="O50" i="18" s="1"/>
  <c r="D48" i="18"/>
  <c r="D47" i="18" s="1"/>
  <c r="C70" i="18"/>
  <c r="D70" i="18"/>
  <c r="I70" i="18"/>
  <c r="C71" i="18"/>
  <c r="I71" i="18"/>
  <c r="D71" i="18"/>
  <c r="C64" i="18"/>
  <c r="D64" i="18"/>
  <c r="I64" i="18"/>
  <c r="C68" i="18"/>
  <c r="D68" i="18"/>
  <c r="I68" i="18"/>
  <c r="C57" i="18"/>
  <c r="D57" i="18"/>
  <c r="I57" i="18"/>
  <c r="C66" i="18"/>
  <c r="D66" i="18"/>
  <c r="I66" i="18"/>
  <c r="D67" i="18"/>
  <c r="C67" i="18"/>
  <c r="I67" i="18"/>
  <c r="C60" i="18"/>
  <c r="D60" i="18"/>
  <c r="I60" i="18"/>
  <c r="D69" i="18"/>
  <c r="C69" i="18"/>
  <c r="I69" i="18"/>
  <c r="C62" i="18"/>
  <c r="D62" i="18"/>
  <c r="I62" i="18"/>
  <c r="D63" i="18"/>
  <c r="C63" i="18"/>
  <c r="I63" i="18"/>
  <c r="D56" i="18"/>
  <c r="C56" i="18"/>
  <c r="I56" i="18"/>
  <c r="D58" i="18"/>
  <c r="C58" i="18"/>
  <c r="I58" i="18"/>
  <c r="C59" i="18"/>
  <c r="D59" i="18"/>
  <c r="I59" i="18"/>
  <c r="I52" i="18"/>
  <c r="C52" i="18"/>
  <c r="D52" i="18"/>
  <c r="R60" i="18"/>
  <c r="T68" i="18"/>
  <c r="T76" i="18"/>
  <c r="Q49" i="18"/>
  <c r="Q56" i="18"/>
  <c r="Q72" i="18"/>
  <c r="S54" i="18"/>
  <c r="S62" i="18"/>
  <c r="S70" i="18"/>
  <c r="Q58" i="18"/>
  <c r="Q60" i="18"/>
  <c r="Q70" i="18"/>
  <c r="N66" i="18"/>
  <c r="T52" i="18"/>
  <c r="S55" i="18"/>
  <c r="S63" i="18"/>
  <c r="S71" i="18"/>
  <c r="T60" i="18"/>
  <c r="Q66" i="18"/>
  <c r="Q68" i="18"/>
  <c r="Q48" i="18"/>
  <c r="R62" i="18"/>
  <c r="R68" i="18"/>
  <c r="R76" i="18"/>
  <c r="R52" i="18"/>
  <c r="T56" i="18"/>
  <c r="T51" i="18"/>
  <c r="T59" i="18"/>
  <c r="T67" i="18"/>
  <c r="T75" i="18"/>
  <c r="N53" i="18"/>
  <c r="N61" i="18"/>
  <c r="N71" i="18"/>
  <c r="T69" i="18"/>
  <c r="N55" i="18"/>
  <c r="N73" i="18"/>
  <c r="N68" i="18"/>
  <c r="T54" i="18"/>
  <c r="T62" i="18"/>
  <c r="T70" i="18"/>
  <c r="N50" i="18"/>
  <c r="N56" i="18"/>
  <c r="N64" i="18"/>
  <c r="N74" i="18"/>
  <c r="N62" i="18"/>
  <c r="T53" i="18"/>
  <c r="T61" i="18"/>
  <c r="T77" i="18"/>
  <c r="N63" i="18"/>
  <c r="N75" i="18"/>
  <c r="T55" i="18"/>
  <c r="T63" i="18"/>
  <c r="T71" i="18"/>
  <c r="N57" i="18"/>
  <c r="N65" i="18"/>
  <c r="N76" i="18"/>
  <c r="N72" i="18"/>
  <c r="T72" i="18"/>
  <c r="N58" i="18"/>
  <c r="T49" i="18"/>
  <c r="T57" i="18"/>
  <c r="T65" i="18"/>
  <c r="T73" i="18"/>
  <c r="N51" i="18"/>
  <c r="N59" i="18"/>
  <c r="N69" i="18"/>
  <c r="N54" i="18"/>
  <c r="N77" i="18"/>
  <c r="T64" i="18"/>
  <c r="N67" i="18"/>
  <c r="T50" i="18"/>
  <c r="T58" i="18"/>
  <c r="T66" i="18"/>
  <c r="T74" i="18"/>
  <c r="N52" i="18"/>
  <c r="N60" i="18"/>
  <c r="N70" i="18"/>
  <c r="R61" i="18"/>
  <c r="R69" i="18"/>
  <c r="R77" i="18"/>
  <c r="R55" i="18"/>
  <c r="R63" i="18"/>
  <c r="R71" i="18"/>
  <c r="R70" i="18"/>
  <c r="R56" i="18"/>
  <c r="R64" i="18"/>
  <c r="R72" i="18"/>
  <c r="R54" i="18"/>
  <c r="R57" i="18"/>
  <c r="R65" i="18"/>
  <c r="R73" i="18"/>
  <c r="Q62" i="18"/>
  <c r="R48" i="18"/>
  <c r="R50" i="18"/>
  <c r="R58" i="18"/>
  <c r="R66" i="18"/>
  <c r="R74" i="18"/>
  <c r="Q63" i="18"/>
  <c r="R51" i="18"/>
  <c r="R59" i="18"/>
  <c r="R67" i="18"/>
  <c r="R75" i="18"/>
  <c r="O53" i="18"/>
  <c r="P55" i="18" l="1"/>
  <c r="P50" i="18"/>
  <c r="O60" i="18"/>
  <c r="O68" i="18"/>
  <c r="O75" i="18"/>
  <c r="O52" i="18"/>
  <c r="O54" i="18"/>
  <c r="O55" i="18"/>
  <c r="O58" i="18"/>
  <c r="O61" i="18"/>
  <c r="O63" i="18"/>
  <c r="O66" i="18"/>
  <c r="O69" i="18"/>
  <c r="O72" i="18"/>
  <c r="O74" i="18"/>
  <c r="O48" i="18"/>
  <c r="O51" i="18"/>
  <c r="O57" i="18"/>
  <c r="O64" i="18"/>
  <c r="O70" i="18"/>
  <c r="O76" i="18"/>
  <c r="O49" i="18"/>
  <c r="O56" i="18"/>
  <c r="O59" i="18"/>
  <c r="O62" i="18"/>
  <c r="O65" i="18"/>
  <c r="O67" i="18"/>
  <c r="O71" i="18"/>
  <c r="O73" i="18"/>
  <c r="O77" i="18"/>
  <c r="P49" i="18"/>
  <c r="P51" i="18"/>
  <c r="P52" i="18"/>
  <c r="P53" i="18"/>
  <c r="P54" i="18"/>
  <c r="P56" i="18"/>
  <c r="P57" i="18"/>
  <c r="P61" i="18"/>
  <c r="P63" i="18"/>
  <c r="P64" i="18"/>
  <c r="P65" i="18"/>
  <c r="P67" i="18"/>
  <c r="P68" i="18"/>
  <c r="P69" i="18"/>
  <c r="P72" i="18"/>
  <c r="P74" i="18"/>
  <c r="P66" i="18"/>
  <c r="P60" i="18"/>
  <c r="P73" i="18"/>
  <c r="P48" i="18"/>
  <c r="P59" i="18"/>
  <c r="P70" i="18"/>
  <c r="P76" i="18"/>
  <c r="P62" i="18"/>
  <c r="P75" i="18"/>
  <c r="P58" i="18"/>
  <c r="P71" i="18"/>
  <c r="P7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S27" i="18" l="1"/>
  <c r="X27" i="18" s="1"/>
  <c r="Y27" i="18" s="1"/>
  <c r="S28" i="18"/>
  <c r="X28" i="18" s="1"/>
  <c r="Y28" i="18" s="1"/>
  <c r="T20" i="18"/>
  <c r="S20" i="18"/>
  <c r="X20" i="18" s="1"/>
  <c r="Y20" i="18" s="1"/>
  <c r="U20" i="18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S25" i="18"/>
  <c r="X25" i="18" s="1"/>
  <c r="Y25" i="18" s="1"/>
  <c r="U25" i="18"/>
  <c r="T26" i="18"/>
  <c r="S26" i="18"/>
  <c r="X26" i="18" s="1"/>
  <c r="Y26" i="18" s="1"/>
  <c r="U26" i="18"/>
  <c r="U19" i="18"/>
  <c r="S19" i="18"/>
  <c r="X19" i="18" s="1"/>
  <c r="Y19" i="18" s="1"/>
  <c r="T1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  <author>tc={3FD65582-77CA-4699-851C-79BE0EEF8347}</author>
  </authors>
  <commentList>
    <comment ref="C16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M16" authorId="1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8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8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8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<sst xmlns="http://schemas.openxmlformats.org/spreadsheetml/2006/main" count="4488" uniqueCount="223">
  <si>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</si>
  <si>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</si>
  <si>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</si>
  <si>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</si>
  <si>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</si>
  <si>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</si>
  <si>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</si>
  <si>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</si>
  <si>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</si>
  <si>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</si>
  <si>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</si>
  <si>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</si>
  <si>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</si>
  <si>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</si>
  <si>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</si>
  <si>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</si>
  <si>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</si>
  <si>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</si>
  <si>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</si>
  <si>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</si>
  <si>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</si>
  <si>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</si>
  <si>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</si>
  <si>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</si>
  <si>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</si>
  <si>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</si>
  <si>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</si>
  <si>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</si>
  <si>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</si>
  <si>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</si>
  <si>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</si>
  <si>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</si>
  <si>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</si>
  <si>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</si>
  <si>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</si>
  <si>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</si>
  <si>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</si>
  <si>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</si>
  <si>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</si>
  <si>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</si>
  <si>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</si>
  <si>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</si>
  <si>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</si>
  <si>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</si>
  <si>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</si>
  <si>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</si>
  <si>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</si>
  <si>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</si>
  <si>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</si>
  <si>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</si>
  <si>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</si>
  <si>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</si>
  <si>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</si>
  <si>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</si>
  <si>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</si>
  <si>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</si>
  <si>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</si>
  <si>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</si>
  <si>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</si>
  <si>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</si>
  <si>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</si>
  <si>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</si>
  <si>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</si>
  <si>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</si>
  <si>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</si>
  <si>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</si>
  <si>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</si>
  <si>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</si>
  <si>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</si>
  <si>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</si>
  <si>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</si>
  <si>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</si>
  <si>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</si>
  <si>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</si>
  <si>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</si>
  <si>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</si>
  <si>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</si>
  <si>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</si>
  <si>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</si>
  <si>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</si>
  <si>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</si>
  <si>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</si>
  <si>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</si>
  <si>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</si>
  <si>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</si>
  <si>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</si>
  <si>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</si>
  <si>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</si>
  <si>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</si>
  <si>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</si>
  <si>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</si>
  <si>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</si>
  <si>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</si>
  <si>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</si>
  <si>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</si>
  <si>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</si>
  <si>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</si>
  <si>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</si>
  <si>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</si>
  <si>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</si>
  <si>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</si>
  <si>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</si>
  <si>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</si>
  <si>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</si>
  <si>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</si>
  <si>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</si>
  <si>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</si>
  <si>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</si>
  <si>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</si>
  <si>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</si>
  <si>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</si>
  <si>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</si>
  <si>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</si>
  <si>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</si>
  <si>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</si>
  <si>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</si>
  <si>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</si>
  <si>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</si>
  <si>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</si>
  <si>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</si>
  <si>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</si>
  <si>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</si>
  <si>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</si>
  <si>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</si>
  <si>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</si>
  <si>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</si>
  <si>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</si>
  <si>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</si>
  <si>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</si>
  <si>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</si>
  <si>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</si>
  <si>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</si>
  <si>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</si>
  <si>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</si>
  <si>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</si>
  <si>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</si>
  <si>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</si>
  <si>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</si>
  <si>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</si>
  <si>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</si>
  <si>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</si>
  <si>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</si>
  <si>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</si>
  <si>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</si>
  <si>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</si>
  <si>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</si>
  <si>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</si>
  <si>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</si>
  <si>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</si>
  <si>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</si>
  <si>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</si>
  <si>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</si>
  <si>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</si>
  <si>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</si>
  <si>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</si>
  <si>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</si>
  <si>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</si>
  <si>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</si>
  <si>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</si>
  <si>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</si>
  <si>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</si>
  <si>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</si>
  <si>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</si>
  <si>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</si>
  <si>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</si>
  <si>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</si>
  <si>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</si>
  <si>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</si>
  <si>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</si>
  <si>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</si>
  <si>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</si>
  <si>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</si>
  <si>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</si>
  <si>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</si>
  <si>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</si>
  <si>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</si>
  <si>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</si>
  <si>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</si>
  <si>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</si>
  <si>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</si>
  <si>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</si>
  <si>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</si>
  <si>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</si>
  <si>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</si>
  <si>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</si>
  <si>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</si>
  <si>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</si>
  <si>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</si>
  <si>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</si>
  <si>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</si>
  <si>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</si>
  <si>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</si>
  <si>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</si>
  <si>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</si>
  <si>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</si>
  <si>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</si>
  <si>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</si>
  <si>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</si>
  <si>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</si>
  <si>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</si>
  <si>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</si>
  <si>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</si>
  <si>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</si>
  <si>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</si>
  <si>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</si>
  <si>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</si>
  <si>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</si>
  <si>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</si>
  <si>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</si>
  <si>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</si>
  <si>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</si>
  <si>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</si>
  <si>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</si>
  <si>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</si>
  <si>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</si>
  <si>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</si>
  <si>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</si>
  <si>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</si>
  <si>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</si>
  <si>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</si>
  <si>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price2030</t>
  </si>
  <si>
    <t>S0 data</t>
  </si>
  <si>
    <t>&lt;- added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</si>
</sst>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7" fillId="12" borderId="0" xfId="3" applyFill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curve'!$N$47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curve'!$N$48:$N$77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curve'!$O$47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curve'!$O$48:$O$77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127387.72174976776</c:v>
                </c:pt>
                <c:pt idx="2">
                  <c:v>138929.66744984937</c:v>
                </c:pt>
                <c:pt idx="3">
                  <c:v>150471.61314993096</c:v>
                </c:pt>
                <c:pt idx="4">
                  <c:v>162013.55885001257</c:v>
                </c:pt>
                <c:pt idx="5">
                  <c:v>173555.50455009416</c:v>
                </c:pt>
                <c:pt idx="6">
                  <c:v>185097.45025017578</c:v>
                </c:pt>
                <c:pt idx="7">
                  <c:v>196639.39595025737</c:v>
                </c:pt>
                <c:pt idx="8">
                  <c:v>208181.34165033896</c:v>
                </c:pt>
                <c:pt idx="9">
                  <c:v>219723.28735042058</c:v>
                </c:pt>
                <c:pt idx="10">
                  <c:v>231265.23305050217</c:v>
                </c:pt>
                <c:pt idx="11">
                  <c:v>242807.17875058379</c:v>
                </c:pt>
                <c:pt idx="12">
                  <c:v>254349.12445066537</c:v>
                </c:pt>
                <c:pt idx="13">
                  <c:v>265891.07015074696</c:v>
                </c:pt>
                <c:pt idx="14">
                  <c:v>277433.01585082861</c:v>
                </c:pt>
                <c:pt idx="15">
                  <c:v>288974.9615509102</c:v>
                </c:pt>
                <c:pt idx="16">
                  <c:v>300516.90725099179</c:v>
                </c:pt>
                <c:pt idx="17">
                  <c:v>312058.85295107344</c:v>
                </c:pt>
                <c:pt idx="18">
                  <c:v>323600.79865115497</c:v>
                </c:pt>
                <c:pt idx="19">
                  <c:v>335142.74435123662</c:v>
                </c:pt>
                <c:pt idx="20">
                  <c:v>346684.6900513182</c:v>
                </c:pt>
                <c:pt idx="21">
                  <c:v>358226.63575139979</c:v>
                </c:pt>
                <c:pt idx="22">
                  <c:v>369768.58145148144</c:v>
                </c:pt>
                <c:pt idx="23">
                  <c:v>381310.52715156297</c:v>
                </c:pt>
                <c:pt idx="24">
                  <c:v>392852.47285164462</c:v>
                </c:pt>
                <c:pt idx="25">
                  <c:v>404394.41855172627</c:v>
                </c:pt>
                <c:pt idx="26">
                  <c:v>415936.3642518078</c:v>
                </c:pt>
                <c:pt idx="27">
                  <c:v>427478.30995188945</c:v>
                </c:pt>
                <c:pt idx="28">
                  <c:v>439020.25565197098</c:v>
                </c:pt>
                <c:pt idx="29">
                  <c:v>450562.20135205262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curve'!$P$47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curve'!$P$48:$P$77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69825.488983034767</c:v>
                </c:pt>
                <c:pt idx="2">
                  <c:v>85761.50497617379</c:v>
                </c:pt>
                <c:pt idx="3">
                  <c:v>101697.52096931281</c:v>
                </c:pt>
                <c:pt idx="4">
                  <c:v>117633.53696245182</c:v>
                </c:pt>
                <c:pt idx="5">
                  <c:v>133569.55295559083</c:v>
                </c:pt>
                <c:pt idx="6">
                  <c:v>149505.56894872987</c:v>
                </c:pt>
                <c:pt idx="7">
                  <c:v>165441.58494186887</c:v>
                </c:pt>
                <c:pt idx="8">
                  <c:v>181377.60093500788</c:v>
                </c:pt>
                <c:pt idx="9">
                  <c:v>197313.61692814692</c:v>
                </c:pt>
                <c:pt idx="10">
                  <c:v>213249.63292128593</c:v>
                </c:pt>
                <c:pt idx="11">
                  <c:v>229185.64891442494</c:v>
                </c:pt>
                <c:pt idx="12">
                  <c:v>245121.66490756397</c:v>
                </c:pt>
                <c:pt idx="13">
                  <c:v>261057.68090070298</c:v>
                </c:pt>
                <c:pt idx="14">
                  <c:v>276993.69689384196</c:v>
                </c:pt>
                <c:pt idx="15">
                  <c:v>292929.71288698103</c:v>
                </c:pt>
                <c:pt idx="16">
                  <c:v>308865.72888011998</c:v>
                </c:pt>
                <c:pt idx="17">
                  <c:v>324801.7448732591</c:v>
                </c:pt>
                <c:pt idx="18">
                  <c:v>340737.76086639811</c:v>
                </c:pt>
                <c:pt idx="19">
                  <c:v>356673.77685953712</c:v>
                </c:pt>
                <c:pt idx="20">
                  <c:v>372609.79285267612</c:v>
                </c:pt>
                <c:pt idx="21">
                  <c:v>388545.80884581513</c:v>
                </c:pt>
                <c:pt idx="22">
                  <c:v>404481.82483895414</c:v>
                </c:pt>
                <c:pt idx="23">
                  <c:v>420417.84083209315</c:v>
                </c:pt>
                <c:pt idx="24">
                  <c:v>436353.85682523216</c:v>
                </c:pt>
                <c:pt idx="25">
                  <c:v>452289.87281837116</c:v>
                </c:pt>
                <c:pt idx="26">
                  <c:v>468225.88881151017</c:v>
                </c:pt>
                <c:pt idx="27">
                  <c:v>484161.90480464918</c:v>
                </c:pt>
                <c:pt idx="28">
                  <c:v>500097.92079778819</c:v>
                </c:pt>
                <c:pt idx="29">
                  <c:v>516033.93679092731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curve'!$U$47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curve'!$U$48:$U$77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139129.03540702822</c:v>
                </c:pt>
                <c:pt idx="2">
                  <c:v>150962.97291089571</c:v>
                </c:pt>
                <c:pt idx="3">
                  <c:v>162796.9104147632</c:v>
                </c:pt>
                <c:pt idx="4">
                  <c:v>174630.84791863072</c:v>
                </c:pt>
                <c:pt idx="5">
                  <c:v>186464.78542249821</c:v>
                </c:pt>
                <c:pt idx="6">
                  <c:v>198298.72292636574</c:v>
                </c:pt>
                <c:pt idx="7">
                  <c:v>210132.66043023323</c:v>
                </c:pt>
                <c:pt idx="8">
                  <c:v>221966.59793410072</c:v>
                </c:pt>
                <c:pt idx="9">
                  <c:v>233800.53543796824</c:v>
                </c:pt>
                <c:pt idx="10">
                  <c:v>245634.47294183573</c:v>
                </c:pt>
                <c:pt idx="11">
                  <c:v>257468.41044570325</c:v>
                </c:pt>
                <c:pt idx="12">
                  <c:v>269302.34794957074</c:v>
                </c:pt>
                <c:pt idx="13">
                  <c:v>281136.28545343823</c:v>
                </c:pt>
                <c:pt idx="14">
                  <c:v>292970.22295730573</c:v>
                </c:pt>
                <c:pt idx="15">
                  <c:v>304804.16046117322</c:v>
                </c:pt>
                <c:pt idx="16">
                  <c:v>316638.09796504077</c:v>
                </c:pt>
                <c:pt idx="17">
                  <c:v>328472.03546890826</c:v>
                </c:pt>
                <c:pt idx="18">
                  <c:v>340305.97297277575</c:v>
                </c:pt>
                <c:pt idx="19">
                  <c:v>352139.91047664324</c:v>
                </c:pt>
                <c:pt idx="20">
                  <c:v>363973.84798051073</c:v>
                </c:pt>
                <c:pt idx="21">
                  <c:v>375807.78548437828</c:v>
                </c:pt>
                <c:pt idx="22">
                  <c:v>387641.72298824578</c:v>
                </c:pt>
                <c:pt idx="23">
                  <c:v>399475.66049211327</c:v>
                </c:pt>
                <c:pt idx="24">
                  <c:v>411309.59799598076</c:v>
                </c:pt>
                <c:pt idx="25">
                  <c:v>423143.53549984831</c:v>
                </c:pt>
                <c:pt idx="26">
                  <c:v>434977.4730037158</c:v>
                </c:pt>
                <c:pt idx="27">
                  <c:v>446811.41050758329</c:v>
                </c:pt>
                <c:pt idx="28">
                  <c:v>458645.34801145078</c:v>
                </c:pt>
                <c:pt idx="29">
                  <c:v>470479.28551531828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curve'!$V$47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curve'!$V$48:$V$77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curve'!$N$47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curve'!$N$48:$N$77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curve'!$P$47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curve'!$M$48:$M$77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curve'!$P$48:$P$77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69825.488983034767</c:v>
                </c:pt>
                <c:pt idx="2">
                  <c:v>85761.50497617379</c:v>
                </c:pt>
                <c:pt idx="3">
                  <c:v>101697.52096931281</c:v>
                </c:pt>
                <c:pt idx="4">
                  <c:v>117633.53696245182</c:v>
                </c:pt>
                <c:pt idx="5">
                  <c:v>133569.55295559083</c:v>
                </c:pt>
                <c:pt idx="6">
                  <c:v>149505.56894872987</c:v>
                </c:pt>
                <c:pt idx="7">
                  <c:v>165441.58494186887</c:v>
                </c:pt>
                <c:pt idx="8">
                  <c:v>181377.60093500788</c:v>
                </c:pt>
                <c:pt idx="9">
                  <c:v>197313.61692814692</c:v>
                </c:pt>
                <c:pt idx="10">
                  <c:v>213249.63292128593</c:v>
                </c:pt>
                <c:pt idx="11">
                  <c:v>229185.64891442494</c:v>
                </c:pt>
                <c:pt idx="12">
                  <c:v>245121.66490756397</c:v>
                </c:pt>
                <c:pt idx="13">
                  <c:v>261057.68090070298</c:v>
                </c:pt>
                <c:pt idx="14">
                  <c:v>276993.69689384196</c:v>
                </c:pt>
                <c:pt idx="15">
                  <c:v>292929.71288698103</c:v>
                </c:pt>
                <c:pt idx="16">
                  <c:v>308865.72888011998</c:v>
                </c:pt>
                <c:pt idx="17">
                  <c:v>324801.7448732591</c:v>
                </c:pt>
                <c:pt idx="18">
                  <c:v>340737.76086639811</c:v>
                </c:pt>
                <c:pt idx="19">
                  <c:v>356673.77685953712</c:v>
                </c:pt>
                <c:pt idx="20">
                  <c:v>372609.79285267612</c:v>
                </c:pt>
                <c:pt idx="21">
                  <c:v>388545.80884581513</c:v>
                </c:pt>
                <c:pt idx="22">
                  <c:v>404481.82483895414</c:v>
                </c:pt>
                <c:pt idx="23">
                  <c:v>420417.84083209315</c:v>
                </c:pt>
                <c:pt idx="24">
                  <c:v>436353.85682523216</c:v>
                </c:pt>
                <c:pt idx="25">
                  <c:v>452289.87281837116</c:v>
                </c:pt>
                <c:pt idx="26">
                  <c:v>468225.88881151017</c:v>
                </c:pt>
                <c:pt idx="27">
                  <c:v>484161.90480464918</c:v>
                </c:pt>
                <c:pt idx="28">
                  <c:v>500097.92079778819</c:v>
                </c:pt>
                <c:pt idx="29">
                  <c:v>516033.93679092731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curve'!$V$47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curve'!$M$48:$M$56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curve'!$V$48:$V$56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35</xdr:row>
      <xdr:rowOff>133618</xdr:rowOff>
    </xdr:from>
    <xdr:to>
      <xdr:col>40</xdr:col>
      <xdr:colOff>507721</xdr:colOff>
      <xdr:row>70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6</xdr:row>
      <xdr:rowOff>83415</xdr:rowOff>
    </xdr:from>
    <xdr:to>
      <xdr:col>40</xdr:col>
      <xdr:colOff>311727</xdr:colOff>
      <xdr:row>29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2-03-14T19:51:52.93" personId="{08DB7B5E-EE37-4573-9C2A-FF3EA7A96B25}" id="{AF73F562-C7B1-4BE3-9596-D35B4CDFC110}">
    <text>changed from base to 2040</text>
  </threadedComment>
  <threadedComment ref="M16" dT="2022-03-14T19:51:52.93" personId="{08DB7B5E-EE37-4573-9C2A-FF3EA7A96B25}" id="{3FD65582-77CA-4699-851C-79BE0EEF8347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8" dT="2022-04-13T10:01:29.65" personId="{08DB7B5E-EE37-4573-9C2A-FF3EA7A96B25}" id="{469C9998-4169-403F-A81D-B4AE2C96B400}">
    <text>in emlab and Traderes Eur/MW</text>
  </threadedComment>
  <threadedComment ref="T18" dT="2022-04-13T10:02:47.94" personId="{08DB7B5E-EE37-4573-9C2A-FF3EA7A96B25}" id="{0CEEEEED-0B8C-4135-ABEF-3B4052BEC1E8}">
    <text>in traderes
€/MW(h)/year, same as emlab</text>
  </threadedComment>
  <threadedComment ref="U18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tabSelected="1" zoomScale="70" zoomScaleNormal="70" workbookViewId="0">
      <selection activeCell="K47" sqref="K47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169</v>
      </c>
      <c r="K1" s="9" t="s">
        <v>170</v>
      </c>
      <c r="L1" s="9" t="s">
        <v>171</v>
      </c>
      <c r="M1" s="9" t="s">
        <v>172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173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180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187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169</v>
      </c>
      <c r="K1" s="9" t="s">
        <v>170</v>
      </c>
      <c r="L1" s="9" t="s">
        <v>171</v>
      </c>
      <c r="M1" s="9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173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180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189</v>
      </c>
      <c r="B3" s="13" t="s">
        <v>190</v>
      </c>
    </row>
    <row r="4" spans="1:12">
      <c r="A4" s="13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188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185</v>
      </c>
      <c r="B1" t="s">
        <v>193</v>
      </c>
    </row>
    <row r="2" spans="1:10">
      <c r="A2" s="13" t="s">
        <v>192</v>
      </c>
      <c r="B2" t="s">
        <v>117</v>
      </c>
    </row>
    <row r="4" spans="1:10">
      <c r="A4" s="13" t="s">
        <v>194</v>
      </c>
      <c r="B4" s="13" t="s">
        <v>190</v>
      </c>
    </row>
    <row r="5" spans="1:10">
      <c r="A5" s="13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188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6" t="s">
        <v>195</v>
      </c>
      <c r="B20" t="s">
        <v>197</v>
      </c>
      <c r="C20" t="s">
        <v>201</v>
      </c>
    </row>
    <row r="21" spans="1:3">
      <c r="A21" s="16" t="s">
        <v>198</v>
      </c>
      <c r="B21" t="s">
        <v>199</v>
      </c>
      <c r="C21" t="s">
        <v>202</v>
      </c>
    </row>
    <row r="22" spans="1:3">
      <c r="A22" s="17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4"/>
  <sheetViews>
    <sheetView zoomScale="85" zoomScaleNormal="85" workbookViewId="0">
      <selection activeCell="D13" sqref="D13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17">
      <c r="A1" t="s">
        <v>75</v>
      </c>
      <c r="B1" t="s">
        <v>76</v>
      </c>
      <c r="C1" t="s">
        <v>77</v>
      </c>
      <c r="D1">
        <v>102</v>
      </c>
    </row>
    <row r="2" spans="1:17">
      <c r="A2" t="s">
        <v>75</v>
      </c>
      <c r="B2" t="s">
        <v>76</v>
      </c>
      <c r="C2" t="s">
        <v>78</v>
      </c>
      <c r="D2">
        <v>36</v>
      </c>
    </row>
    <row r="3" spans="1:17">
      <c r="A3" t="s">
        <v>79</v>
      </c>
      <c r="B3" t="s">
        <v>76</v>
      </c>
      <c r="C3" t="s">
        <v>77</v>
      </c>
      <c r="D3">
        <v>30</v>
      </c>
    </row>
    <row r="4" spans="1:17">
      <c r="A4" t="s">
        <v>79</v>
      </c>
      <c r="B4" t="s">
        <v>76</v>
      </c>
      <c r="C4" t="s">
        <v>78</v>
      </c>
      <c r="D4">
        <v>15</v>
      </c>
    </row>
    <row r="5" spans="1:17">
      <c r="A5" t="s">
        <v>80</v>
      </c>
      <c r="B5" t="s">
        <v>76</v>
      </c>
      <c r="C5" t="s">
        <v>77</v>
      </c>
      <c r="D5">
        <v>125</v>
      </c>
      <c r="I5" s="39"/>
      <c r="J5" s="39"/>
      <c r="K5" s="39"/>
      <c r="L5" s="39"/>
      <c r="M5" s="39"/>
      <c r="N5" s="39"/>
      <c r="O5" s="39"/>
      <c r="P5" s="39"/>
      <c r="Q5" s="39"/>
    </row>
    <row r="6" spans="1:17">
      <c r="A6" t="s">
        <v>80</v>
      </c>
      <c r="B6" t="s">
        <v>76</v>
      </c>
      <c r="C6" t="s">
        <v>78</v>
      </c>
      <c r="D6">
        <v>40</v>
      </c>
      <c r="I6" s="39"/>
      <c r="J6" s="39"/>
      <c r="K6" s="39"/>
      <c r="L6" s="39"/>
      <c r="M6" s="39"/>
      <c r="N6" s="39"/>
      <c r="O6" s="39"/>
      <c r="P6" s="39"/>
      <c r="Q6" s="39"/>
    </row>
    <row r="7" spans="1:17">
      <c r="A7" t="s">
        <v>81</v>
      </c>
      <c r="B7" t="s">
        <v>76</v>
      </c>
      <c r="C7" t="s">
        <v>77</v>
      </c>
      <c r="D7">
        <v>15</v>
      </c>
      <c r="I7" s="39"/>
      <c r="J7" s="39"/>
      <c r="K7" s="39"/>
      <c r="L7" s="39"/>
      <c r="M7" s="39"/>
      <c r="N7" s="39"/>
      <c r="O7" s="39"/>
      <c r="P7" s="39"/>
      <c r="Q7" s="39"/>
    </row>
    <row r="8" spans="1:17">
      <c r="A8" t="s">
        <v>81</v>
      </c>
      <c r="B8" t="s">
        <v>76</v>
      </c>
      <c r="C8" t="s">
        <v>78</v>
      </c>
      <c r="D8">
        <v>0</v>
      </c>
      <c r="I8" s="39"/>
      <c r="J8" s="39"/>
      <c r="K8" s="39"/>
      <c r="L8" s="39"/>
      <c r="M8" s="39"/>
      <c r="N8" s="39"/>
      <c r="O8" s="39"/>
      <c r="P8" s="39"/>
      <c r="Q8" s="39"/>
    </row>
    <row r="9" spans="1:17">
      <c r="A9" t="s">
        <v>82</v>
      </c>
      <c r="B9" t="s">
        <v>76</v>
      </c>
      <c r="C9" t="s">
        <v>77</v>
      </c>
      <c r="D9">
        <v>45</v>
      </c>
      <c r="I9" s="39"/>
      <c r="J9" s="39"/>
      <c r="K9" s="39"/>
      <c r="L9" s="39"/>
      <c r="M9" s="39"/>
      <c r="N9" s="39"/>
      <c r="O9" s="39"/>
      <c r="P9" s="39"/>
      <c r="Q9" s="39"/>
    </row>
    <row r="10" spans="1:17">
      <c r="A10" t="s">
        <v>82</v>
      </c>
      <c r="B10" t="s">
        <v>76</v>
      </c>
      <c r="C10" t="s">
        <v>78</v>
      </c>
      <c r="D10">
        <v>30</v>
      </c>
      <c r="I10" s="39"/>
      <c r="J10" s="39"/>
      <c r="K10" s="39"/>
      <c r="L10" s="39"/>
      <c r="M10" s="39"/>
      <c r="N10" s="39"/>
      <c r="O10" s="39"/>
      <c r="P10" s="39"/>
      <c r="Q10" s="39"/>
    </row>
    <row r="11" spans="1:17">
      <c r="A11" s="8" t="s">
        <v>100</v>
      </c>
      <c r="B11" s="8" t="s">
        <v>167</v>
      </c>
      <c r="C11" s="8" t="s">
        <v>101</v>
      </c>
      <c r="D11" s="8">
        <v>1</v>
      </c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t="s">
        <v>85</v>
      </c>
      <c r="B12" s="8" t="s">
        <v>167</v>
      </c>
      <c r="C12" t="s">
        <v>83</v>
      </c>
      <c r="D12">
        <v>79.69</v>
      </c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33" t="s">
        <v>86</v>
      </c>
      <c r="B13" s="33" t="s">
        <v>167</v>
      </c>
      <c r="C13" s="33" t="s">
        <v>83</v>
      </c>
      <c r="D13" s="33">
        <v>45.07</v>
      </c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t="s">
        <v>87</v>
      </c>
      <c r="B14" s="8" t="s">
        <v>167</v>
      </c>
      <c r="C14" t="s">
        <v>83</v>
      </c>
      <c r="D14">
        <v>32.832000000000001</v>
      </c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33" t="s">
        <v>88</v>
      </c>
      <c r="B15" s="33" t="s">
        <v>167</v>
      </c>
      <c r="C15" s="33" t="s">
        <v>83</v>
      </c>
      <c r="D15" s="33">
        <v>6.48</v>
      </c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t="s">
        <v>11</v>
      </c>
      <c r="B16" s="8" t="s">
        <v>167</v>
      </c>
      <c r="C16" t="s">
        <v>83</v>
      </c>
      <c r="D16">
        <v>46.996000000000002</v>
      </c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t="s">
        <v>89</v>
      </c>
      <c r="B17" s="8" t="s">
        <v>167</v>
      </c>
      <c r="C17" t="s">
        <v>83</v>
      </c>
      <c r="D17">
        <v>42.74</v>
      </c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t="s">
        <v>90</v>
      </c>
      <c r="B18" s="8" t="s">
        <v>167</v>
      </c>
      <c r="C18" t="s">
        <v>83</v>
      </c>
      <c r="D18">
        <v>1.69</v>
      </c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33" t="s">
        <v>91</v>
      </c>
      <c r="B19" s="33" t="s">
        <v>167</v>
      </c>
      <c r="C19" s="33" t="s">
        <v>83</v>
      </c>
      <c r="D19" s="33">
        <v>14.148000000000001</v>
      </c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33" t="s">
        <v>84</v>
      </c>
      <c r="B20" s="33" t="s">
        <v>167</v>
      </c>
      <c r="C20" s="33" t="s">
        <v>83</v>
      </c>
      <c r="D20" s="33">
        <v>6.7320000000000002</v>
      </c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t="s">
        <v>81</v>
      </c>
      <c r="B21" s="8" t="s">
        <v>167</v>
      </c>
      <c r="C21" t="s">
        <v>83</v>
      </c>
      <c r="D21">
        <v>7.5</v>
      </c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33" t="s">
        <v>82</v>
      </c>
      <c r="B22" s="33" t="s">
        <v>167</v>
      </c>
      <c r="C22" s="33" t="s">
        <v>83</v>
      </c>
      <c r="D22" s="33">
        <v>45</v>
      </c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t="s">
        <v>80</v>
      </c>
      <c r="B23" s="8" t="s">
        <v>167</v>
      </c>
      <c r="C23" t="s">
        <v>83</v>
      </c>
      <c r="D23">
        <v>82.5</v>
      </c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33" t="s">
        <v>75</v>
      </c>
      <c r="B24" s="33" t="s">
        <v>167</v>
      </c>
      <c r="C24" s="33" t="s">
        <v>83</v>
      </c>
      <c r="D24" s="33">
        <v>50.29</v>
      </c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33" t="s">
        <v>2</v>
      </c>
      <c r="B25" s="33" t="s">
        <v>167</v>
      </c>
      <c r="C25" s="33" t="s">
        <v>83</v>
      </c>
      <c r="D25">
        <v>200</v>
      </c>
      <c r="F25" s="33" t="s">
        <v>216</v>
      </c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33" t="s">
        <v>79</v>
      </c>
      <c r="B26" s="33" t="s">
        <v>167</v>
      </c>
      <c r="C26" s="33" t="s">
        <v>83</v>
      </c>
      <c r="D26" s="33">
        <v>15</v>
      </c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33" t="s">
        <v>84</v>
      </c>
      <c r="B27" s="33" t="s">
        <v>92</v>
      </c>
      <c r="C27" s="33">
        <v>2030</v>
      </c>
      <c r="D27" s="33">
        <v>100</v>
      </c>
      <c r="L27" s="39"/>
      <c r="M27" s="39"/>
      <c r="N27" s="39"/>
      <c r="O27" s="39"/>
      <c r="P27" s="39"/>
      <c r="Q27" s="39"/>
    </row>
    <row r="28" spans="1:17">
      <c r="A28" s="33" t="s">
        <v>85</v>
      </c>
      <c r="B28" s="33" t="s">
        <v>92</v>
      </c>
      <c r="C28" s="33">
        <v>2030</v>
      </c>
      <c r="D28" s="33">
        <v>100</v>
      </c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33" t="s">
        <v>87</v>
      </c>
      <c r="B29" s="33" t="s">
        <v>92</v>
      </c>
      <c r="C29" s="33">
        <v>2030</v>
      </c>
      <c r="D29" s="33">
        <v>100</v>
      </c>
      <c r="I29" s="39"/>
      <c r="J29" s="39"/>
      <c r="K29" s="39"/>
      <c r="L29" s="39"/>
      <c r="M29" s="39"/>
      <c r="N29" s="39"/>
      <c r="O29" s="39"/>
      <c r="P29" s="39"/>
      <c r="Q29" s="39"/>
    </row>
    <row r="30" spans="1:17">
      <c r="A30" s="33" t="s">
        <v>88</v>
      </c>
      <c r="B30" s="33" t="s">
        <v>92</v>
      </c>
      <c r="C30" s="33">
        <v>2030</v>
      </c>
      <c r="D30" s="33">
        <v>100</v>
      </c>
      <c r="I30" s="39"/>
      <c r="J30" s="39"/>
      <c r="K30" s="39"/>
      <c r="L30" s="39"/>
      <c r="M30" s="39"/>
      <c r="N30" s="39"/>
      <c r="O30" s="39"/>
      <c r="P30" s="39"/>
      <c r="Q30" s="39"/>
    </row>
    <row r="31" spans="1:17">
      <c r="A31" s="33" t="s">
        <v>11</v>
      </c>
      <c r="B31" s="33" t="s">
        <v>92</v>
      </c>
      <c r="C31" s="33">
        <v>2030</v>
      </c>
      <c r="D31" s="33">
        <v>100</v>
      </c>
      <c r="I31" s="39"/>
      <c r="J31" s="39"/>
      <c r="K31" s="39"/>
      <c r="L31" s="39"/>
      <c r="M31" s="39"/>
      <c r="N31" s="39"/>
      <c r="O31" s="39"/>
      <c r="P31" s="39"/>
      <c r="Q31" s="39"/>
    </row>
    <row r="32" spans="1:17">
      <c r="A32" s="33" t="s">
        <v>89</v>
      </c>
      <c r="B32" s="33" t="s">
        <v>92</v>
      </c>
      <c r="C32" s="33">
        <v>2030</v>
      </c>
      <c r="D32" s="33">
        <v>100</v>
      </c>
      <c r="I32" s="39"/>
      <c r="J32" s="39"/>
      <c r="K32" s="39"/>
      <c r="L32" s="39"/>
      <c r="M32" s="39"/>
      <c r="N32" s="39"/>
      <c r="O32" s="39"/>
      <c r="P32" s="39"/>
      <c r="Q32" s="39"/>
    </row>
    <row r="33" spans="1:17">
      <c r="A33" s="33" t="s">
        <v>91</v>
      </c>
      <c r="B33" s="33" t="s">
        <v>92</v>
      </c>
      <c r="C33" s="33">
        <v>2030</v>
      </c>
      <c r="D33" s="33">
        <v>100</v>
      </c>
      <c r="I33" s="39"/>
      <c r="J33" s="39"/>
      <c r="K33" s="39"/>
      <c r="L33" s="39"/>
      <c r="M33" s="39"/>
      <c r="N33" s="39"/>
      <c r="O33" s="39"/>
      <c r="P33" s="39"/>
      <c r="Q33" s="39"/>
    </row>
    <row r="34" spans="1:17">
      <c r="A34" t="s">
        <v>84</v>
      </c>
      <c r="B34" t="s">
        <v>92</v>
      </c>
      <c r="C34">
        <v>2050</v>
      </c>
      <c r="D34">
        <v>120</v>
      </c>
      <c r="I34" s="39"/>
      <c r="J34" s="39"/>
      <c r="K34" s="39"/>
      <c r="L34" s="39"/>
      <c r="M34" s="39"/>
      <c r="N34" s="39"/>
      <c r="O34" s="39"/>
      <c r="P34" s="39"/>
      <c r="Q34" s="39"/>
    </row>
    <row r="35" spans="1:17">
      <c r="A35" t="s">
        <v>85</v>
      </c>
      <c r="B35" t="s">
        <v>92</v>
      </c>
      <c r="C35">
        <v>2050</v>
      </c>
      <c r="D35">
        <v>120</v>
      </c>
      <c r="I35" s="39"/>
      <c r="J35" s="39"/>
      <c r="K35" s="39"/>
      <c r="L35" s="39"/>
      <c r="M35" s="39"/>
      <c r="N35" s="39"/>
      <c r="O35" s="39"/>
      <c r="P35" s="39"/>
      <c r="Q35" s="39"/>
    </row>
    <row r="36" spans="1:17">
      <c r="A36" t="s">
        <v>87</v>
      </c>
      <c r="B36" t="s">
        <v>92</v>
      </c>
      <c r="C36">
        <v>2050</v>
      </c>
      <c r="D36">
        <v>120</v>
      </c>
      <c r="I36" s="39"/>
      <c r="J36" s="39"/>
      <c r="K36" s="39"/>
      <c r="L36" s="39"/>
      <c r="M36" s="39"/>
      <c r="N36" s="39"/>
      <c r="O36" s="39"/>
      <c r="P36" s="39"/>
      <c r="Q36" s="39"/>
    </row>
    <row r="37" spans="1:17">
      <c r="A37" t="s">
        <v>88</v>
      </c>
      <c r="B37" t="s">
        <v>92</v>
      </c>
      <c r="C37">
        <v>2050</v>
      </c>
      <c r="D37">
        <v>120</v>
      </c>
    </row>
    <row r="38" spans="1:17">
      <c r="A38" t="s">
        <v>11</v>
      </c>
      <c r="B38" t="s">
        <v>92</v>
      </c>
      <c r="C38">
        <v>2050</v>
      </c>
      <c r="D38">
        <v>120</v>
      </c>
    </row>
    <row r="39" spans="1:17">
      <c r="A39" t="s">
        <v>89</v>
      </c>
      <c r="B39" t="s">
        <v>92</v>
      </c>
      <c r="C39">
        <v>2050</v>
      </c>
      <c r="D39">
        <v>120</v>
      </c>
    </row>
    <row r="40" spans="1:17">
      <c r="A40" t="s">
        <v>91</v>
      </c>
      <c r="B40" t="s">
        <v>92</v>
      </c>
      <c r="C40">
        <v>2050</v>
      </c>
      <c r="D40">
        <v>120</v>
      </c>
    </row>
    <row r="41" spans="1:17">
      <c r="A41" t="s">
        <v>84</v>
      </c>
      <c r="B41" t="s">
        <v>92</v>
      </c>
      <c r="C41" t="s">
        <v>93</v>
      </c>
      <c r="D41">
        <v>200</v>
      </c>
    </row>
    <row r="42" spans="1:17">
      <c r="A42" t="s">
        <v>85</v>
      </c>
      <c r="B42" t="s">
        <v>92</v>
      </c>
      <c r="C42" t="s">
        <v>93</v>
      </c>
      <c r="D42">
        <v>200</v>
      </c>
    </row>
    <row r="43" spans="1:17">
      <c r="A43" t="s">
        <v>87</v>
      </c>
      <c r="B43" t="s">
        <v>92</v>
      </c>
      <c r="C43" t="s">
        <v>93</v>
      </c>
      <c r="D43">
        <v>200</v>
      </c>
    </row>
    <row r="44" spans="1:17">
      <c r="A44" t="s">
        <v>88</v>
      </c>
      <c r="B44" t="s">
        <v>92</v>
      </c>
      <c r="C44" t="s">
        <v>93</v>
      </c>
      <c r="D44">
        <v>200</v>
      </c>
    </row>
    <row r="45" spans="1:17">
      <c r="A45" t="s">
        <v>11</v>
      </c>
      <c r="B45" t="s">
        <v>92</v>
      </c>
      <c r="C45" t="s">
        <v>93</v>
      </c>
      <c r="D45">
        <v>200</v>
      </c>
    </row>
    <row r="46" spans="1:17">
      <c r="A46" t="s">
        <v>89</v>
      </c>
      <c r="B46" t="s">
        <v>92</v>
      </c>
      <c r="C46" t="s">
        <v>93</v>
      </c>
      <c r="D46">
        <v>200</v>
      </c>
    </row>
    <row r="47" spans="1:17">
      <c r="A47" t="s">
        <v>91</v>
      </c>
      <c r="B47" t="s">
        <v>92</v>
      </c>
      <c r="C47" t="s">
        <v>93</v>
      </c>
      <c r="D47">
        <v>200</v>
      </c>
    </row>
    <row r="48" spans="1:17">
      <c r="A48" t="s">
        <v>84</v>
      </c>
      <c r="B48" t="s">
        <v>92</v>
      </c>
      <c r="C48" t="s">
        <v>94</v>
      </c>
      <c r="D48">
        <v>70</v>
      </c>
    </row>
    <row r="49" spans="1:4">
      <c r="A49" t="s">
        <v>85</v>
      </c>
      <c r="B49" t="s">
        <v>92</v>
      </c>
      <c r="C49" t="s">
        <v>94</v>
      </c>
      <c r="D49">
        <v>70</v>
      </c>
    </row>
    <row r="50" spans="1:4">
      <c r="A50" t="s">
        <v>87</v>
      </c>
      <c r="B50" t="s">
        <v>92</v>
      </c>
      <c r="C50" t="s">
        <v>94</v>
      </c>
      <c r="D50">
        <v>70</v>
      </c>
    </row>
    <row r="51" spans="1:4">
      <c r="A51" t="s">
        <v>88</v>
      </c>
      <c r="B51" t="s">
        <v>92</v>
      </c>
      <c r="C51" t="s">
        <v>94</v>
      </c>
      <c r="D51">
        <v>70</v>
      </c>
    </row>
    <row r="52" spans="1:4">
      <c r="A52" t="s">
        <v>11</v>
      </c>
      <c r="B52" t="s">
        <v>92</v>
      </c>
      <c r="C52" t="s">
        <v>94</v>
      </c>
      <c r="D52">
        <v>70</v>
      </c>
    </row>
    <row r="53" spans="1:4">
      <c r="A53" t="s">
        <v>89</v>
      </c>
      <c r="B53" t="s">
        <v>92</v>
      </c>
      <c r="C53" t="s">
        <v>94</v>
      </c>
      <c r="D53">
        <v>70</v>
      </c>
    </row>
    <row r="54" spans="1:4">
      <c r="A54" t="s">
        <v>91</v>
      </c>
      <c r="B54" t="s">
        <v>92</v>
      </c>
      <c r="C54" t="s">
        <v>94</v>
      </c>
      <c r="D54">
        <v>70</v>
      </c>
    </row>
    <row r="55" spans="1:4">
      <c r="A55" t="s">
        <v>75</v>
      </c>
      <c r="B55" t="s">
        <v>95</v>
      </c>
      <c r="C55" t="s">
        <v>96</v>
      </c>
      <c r="D55">
        <v>113000000</v>
      </c>
    </row>
    <row r="56" spans="1:4">
      <c r="A56" t="s">
        <v>75</v>
      </c>
      <c r="B56" t="s">
        <v>95</v>
      </c>
      <c r="C56" t="s">
        <v>97</v>
      </c>
      <c r="D56">
        <v>116000000</v>
      </c>
    </row>
    <row r="57" spans="1:4">
      <c r="A57" t="s">
        <v>75</v>
      </c>
      <c r="B57" t="s">
        <v>95</v>
      </c>
      <c r="C57" t="s">
        <v>98</v>
      </c>
      <c r="D57">
        <v>109000000</v>
      </c>
    </row>
    <row r="58" spans="1:4">
      <c r="A58" t="s">
        <v>75</v>
      </c>
      <c r="B58" t="s">
        <v>95</v>
      </c>
      <c r="C58" t="s">
        <v>99</v>
      </c>
      <c r="D58">
        <v>111000000</v>
      </c>
    </row>
    <row r="59" spans="1:4">
      <c r="A59" t="s">
        <v>79</v>
      </c>
      <c r="B59" t="s">
        <v>95</v>
      </c>
      <c r="C59" t="s">
        <v>99</v>
      </c>
      <c r="D59">
        <v>309000000</v>
      </c>
    </row>
    <row r="60" spans="1:4">
      <c r="A60" t="s">
        <v>79</v>
      </c>
      <c r="B60" t="s">
        <v>95</v>
      </c>
      <c r="C60" t="s">
        <v>96</v>
      </c>
      <c r="D60">
        <v>299000000</v>
      </c>
    </row>
    <row r="61" spans="1:4">
      <c r="A61" t="s">
        <v>79</v>
      </c>
      <c r="B61" t="s">
        <v>95</v>
      </c>
      <c r="C61" t="s">
        <v>97</v>
      </c>
      <c r="D61">
        <v>321000000</v>
      </c>
    </row>
    <row r="62" spans="1:4">
      <c r="A62" t="s">
        <v>79</v>
      </c>
      <c r="B62" t="s">
        <v>95</v>
      </c>
      <c r="C62" t="s">
        <v>98</v>
      </c>
      <c r="D62">
        <v>335000000</v>
      </c>
    </row>
    <row r="63" spans="1:4">
      <c r="A63" s="33" t="s">
        <v>85</v>
      </c>
      <c r="B63" s="34" t="s">
        <v>220</v>
      </c>
      <c r="C63" s="33" t="s">
        <v>221</v>
      </c>
      <c r="D63" s="33">
        <v>40.68</v>
      </c>
    </row>
    <row r="64" spans="1:4">
      <c r="A64" s="33" t="s">
        <v>86</v>
      </c>
      <c r="B64" s="34" t="s">
        <v>220</v>
      </c>
      <c r="C64" s="33" t="s">
        <v>221</v>
      </c>
      <c r="D64" s="33">
        <v>65</v>
      </c>
    </row>
    <row r="65" spans="1:10">
      <c r="A65" s="33" t="s">
        <v>87</v>
      </c>
      <c r="B65" s="34" t="s">
        <v>220</v>
      </c>
      <c r="C65" s="33" t="s">
        <v>221</v>
      </c>
      <c r="D65" s="33">
        <v>36.323999999999998</v>
      </c>
    </row>
    <row r="66" spans="1:10">
      <c r="A66" s="33" t="s">
        <v>88</v>
      </c>
      <c r="B66" s="34" t="s">
        <v>220</v>
      </c>
      <c r="C66" s="33" t="s">
        <v>221</v>
      </c>
      <c r="D66" s="33">
        <v>6.48</v>
      </c>
    </row>
    <row r="67" spans="1:10">
      <c r="A67" s="33" t="s">
        <v>11</v>
      </c>
      <c r="B67" s="34" t="s">
        <v>220</v>
      </c>
      <c r="C67" s="33" t="s">
        <v>221</v>
      </c>
      <c r="D67" s="33">
        <v>26.81</v>
      </c>
    </row>
    <row r="68" spans="1:10">
      <c r="A68" s="33" t="s">
        <v>89</v>
      </c>
      <c r="B68" s="34" t="s">
        <v>220</v>
      </c>
      <c r="C68" s="33" t="s">
        <v>221</v>
      </c>
      <c r="D68" s="33">
        <v>14.65</v>
      </c>
    </row>
    <row r="69" spans="1:10">
      <c r="A69" s="33" t="s">
        <v>90</v>
      </c>
      <c r="B69" s="34" t="s">
        <v>220</v>
      </c>
      <c r="C69" s="33" t="s">
        <v>221</v>
      </c>
      <c r="D69" s="33">
        <v>1.69</v>
      </c>
    </row>
    <row r="70" spans="1:10">
      <c r="A70" s="33" t="s">
        <v>91</v>
      </c>
      <c r="B70" s="34" t="s">
        <v>220</v>
      </c>
      <c r="C70" s="33" t="s">
        <v>221</v>
      </c>
      <c r="D70" s="33">
        <v>6.6960000000000006</v>
      </c>
    </row>
    <row r="71" spans="1:10">
      <c r="A71" s="33" t="s">
        <v>84</v>
      </c>
      <c r="B71" s="34" t="s">
        <v>220</v>
      </c>
      <c r="C71" s="33" t="s">
        <v>221</v>
      </c>
      <c r="D71" s="33">
        <v>7.0919999999999996</v>
      </c>
    </row>
    <row r="72" spans="1:10">
      <c r="A72" s="33" t="s">
        <v>81</v>
      </c>
      <c r="B72" s="34" t="s">
        <v>220</v>
      </c>
      <c r="C72" s="33" t="s">
        <v>221</v>
      </c>
      <c r="D72" s="33">
        <v>7.5</v>
      </c>
    </row>
    <row r="73" spans="1:10">
      <c r="A73" s="33" t="s">
        <v>82</v>
      </c>
      <c r="B73" s="34" t="s">
        <v>220</v>
      </c>
      <c r="C73" s="33" t="s">
        <v>221</v>
      </c>
      <c r="D73" s="33">
        <v>45</v>
      </c>
      <c r="E73" s="39"/>
      <c r="F73" s="39"/>
      <c r="G73" s="39"/>
      <c r="H73" s="39"/>
    </row>
    <row r="74" spans="1:10">
      <c r="A74" s="33" t="s">
        <v>80</v>
      </c>
      <c r="B74" s="34" t="s">
        <v>220</v>
      </c>
      <c r="C74" s="33" t="s">
        <v>221</v>
      </c>
      <c r="D74" s="33">
        <v>82.5</v>
      </c>
      <c r="E74" s="39"/>
      <c r="F74" s="39"/>
      <c r="G74" s="39"/>
      <c r="H74" s="39"/>
    </row>
    <row r="75" spans="1:10">
      <c r="A75" s="33" t="s">
        <v>75</v>
      </c>
      <c r="B75" s="34" t="s">
        <v>220</v>
      </c>
      <c r="C75" s="33" t="s">
        <v>221</v>
      </c>
      <c r="D75" s="33">
        <v>74.66</v>
      </c>
      <c r="E75" s="39"/>
      <c r="F75" s="39"/>
      <c r="G75" s="39"/>
      <c r="H75" s="39"/>
    </row>
    <row r="76" spans="1:10">
      <c r="A76" s="33" t="s">
        <v>79</v>
      </c>
      <c r="B76" s="34" t="s">
        <v>220</v>
      </c>
      <c r="C76" s="33" t="s">
        <v>221</v>
      </c>
      <c r="D76" s="33">
        <v>15</v>
      </c>
      <c r="E76" s="39"/>
      <c r="F76" s="39"/>
      <c r="G76" s="39"/>
      <c r="H76" s="39"/>
    </row>
    <row r="77" spans="1:10">
      <c r="B77" s="40"/>
      <c r="E77" s="39"/>
      <c r="F77" s="39"/>
      <c r="G77" s="39"/>
      <c r="H77" s="39"/>
    </row>
    <row r="78" spans="1:10">
      <c r="A78" s="8" t="s">
        <v>100</v>
      </c>
      <c r="B78" s="19" t="s">
        <v>166</v>
      </c>
      <c r="C78" s="8" t="s">
        <v>101</v>
      </c>
      <c r="D78" s="8">
        <v>1</v>
      </c>
      <c r="E78" s="39"/>
      <c r="F78" s="39"/>
      <c r="G78" s="39"/>
      <c r="H78" s="39"/>
      <c r="I78" s="39"/>
      <c r="J78" s="39"/>
    </row>
    <row r="79" spans="1:10">
      <c r="A79" s="33" t="s">
        <v>85</v>
      </c>
      <c r="B79" s="34" t="s">
        <v>166</v>
      </c>
      <c r="C79" s="33" t="s">
        <v>83</v>
      </c>
      <c r="D79" s="33">
        <v>21.175000000000001</v>
      </c>
      <c r="E79" s="39"/>
      <c r="F79" s="39"/>
      <c r="G79" s="39"/>
      <c r="H79" s="39"/>
      <c r="I79" s="39"/>
      <c r="J79" s="39"/>
    </row>
    <row r="80" spans="1:10">
      <c r="A80" s="33" t="s">
        <v>86</v>
      </c>
      <c r="B80" s="34" t="s">
        <v>166</v>
      </c>
      <c r="C80" s="33" t="s">
        <v>83</v>
      </c>
      <c r="D80" s="33">
        <v>74.965000000000003</v>
      </c>
      <c r="E80" s="39"/>
      <c r="F80" s="39"/>
      <c r="G80" s="39"/>
      <c r="H80" s="39"/>
      <c r="I80" s="39"/>
    </row>
    <row r="81" spans="1:10">
      <c r="A81" s="33" t="s">
        <v>87</v>
      </c>
      <c r="B81" s="34" t="s">
        <v>166</v>
      </c>
      <c r="C81" s="33" t="s">
        <v>83</v>
      </c>
      <c r="D81" s="33">
        <v>46.44</v>
      </c>
      <c r="E81" s="39"/>
      <c r="F81" s="39"/>
      <c r="G81" s="39"/>
      <c r="H81" s="39"/>
      <c r="I81" s="39"/>
      <c r="J81" s="39"/>
    </row>
    <row r="82" spans="1:10">
      <c r="A82" s="33" t="s">
        <v>88</v>
      </c>
      <c r="B82" s="34" t="s">
        <v>166</v>
      </c>
      <c r="C82" s="33" t="s">
        <v>83</v>
      </c>
      <c r="D82" s="33">
        <v>6.48</v>
      </c>
      <c r="E82" s="39"/>
      <c r="F82" s="39"/>
      <c r="G82" s="39"/>
      <c r="H82" s="39"/>
      <c r="I82" s="39"/>
    </row>
    <row r="83" spans="1:10">
      <c r="A83" s="33" t="s">
        <v>11</v>
      </c>
      <c r="B83" s="34" t="s">
        <v>166</v>
      </c>
      <c r="C83" s="33" t="s">
        <v>83</v>
      </c>
      <c r="D83" s="33">
        <v>16.716999999999999</v>
      </c>
      <c r="E83" s="39"/>
      <c r="F83" s="39"/>
      <c r="G83" s="39"/>
      <c r="H83" s="39"/>
      <c r="I83" s="39"/>
    </row>
    <row r="84" spans="1:10">
      <c r="A84" s="33" t="s">
        <v>89</v>
      </c>
      <c r="B84" s="34" t="s">
        <v>166</v>
      </c>
      <c r="C84" s="33" t="s">
        <v>83</v>
      </c>
      <c r="D84" s="33">
        <v>13.4</v>
      </c>
      <c r="E84" s="39"/>
      <c r="F84" s="39"/>
      <c r="G84" s="39"/>
      <c r="H84" s="39"/>
      <c r="I84" s="39"/>
    </row>
    <row r="85" spans="1:10">
      <c r="A85" s="33" t="s">
        <v>90</v>
      </c>
      <c r="B85" s="34" t="s">
        <v>166</v>
      </c>
      <c r="C85" s="33" t="s">
        <v>83</v>
      </c>
      <c r="D85" s="33">
        <v>1.69</v>
      </c>
      <c r="E85" s="39"/>
      <c r="F85" s="39"/>
      <c r="G85" s="39"/>
      <c r="H85" s="39"/>
      <c r="I85" s="39"/>
    </row>
    <row r="86" spans="1:10">
      <c r="A86" s="33" t="s">
        <v>91</v>
      </c>
      <c r="B86" s="34" t="s">
        <v>166</v>
      </c>
      <c r="C86" s="33" t="s">
        <v>83</v>
      </c>
      <c r="D86" s="33">
        <v>4.5360000000000005</v>
      </c>
      <c r="E86" s="39"/>
      <c r="F86" s="39"/>
      <c r="G86" s="39"/>
      <c r="H86" s="39"/>
      <c r="I86" s="39"/>
      <c r="J86" s="39"/>
    </row>
    <row r="87" spans="1:10">
      <c r="A87" s="33" t="s">
        <v>84</v>
      </c>
      <c r="B87" s="34" t="s">
        <v>166</v>
      </c>
      <c r="C87" s="33" t="s">
        <v>83</v>
      </c>
      <c r="D87" s="33">
        <v>10.8</v>
      </c>
      <c r="E87" s="39"/>
      <c r="F87" s="39"/>
      <c r="G87" s="39"/>
      <c r="H87" s="39"/>
      <c r="I87" s="39"/>
      <c r="J87" s="39"/>
    </row>
    <row r="88" spans="1:10">
      <c r="A88" s="33" t="s">
        <v>81</v>
      </c>
      <c r="B88" s="34" t="s">
        <v>166</v>
      </c>
      <c r="C88" s="33" t="s">
        <v>83</v>
      </c>
      <c r="D88" s="33">
        <v>7.5</v>
      </c>
      <c r="E88" s="39"/>
      <c r="F88" s="39"/>
      <c r="G88" s="39"/>
      <c r="H88" s="39"/>
    </row>
    <row r="89" spans="1:10">
      <c r="A89" s="33" t="s">
        <v>82</v>
      </c>
      <c r="B89" s="34" t="s">
        <v>166</v>
      </c>
      <c r="C89" s="33" t="s">
        <v>83</v>
      </c>
      <c r="D89" s="33">
        <v>45</v>
      </c>
      <c r="E89" s="39"/>
      <c r="F89" s="39"/>
      <c r="G89" s="39"/>
      <c r="H89" s="39"/>
    </row>
    <row r="90" spans="1:10">
      <c r="A90" s="33" t="s">
        <v>80</v>
      </c>
      <c r="B90" s="34" t="s">
        <v>166</v>
      </c>
      <c r="C90" s="33" t="s">
        <v>83</v>
      </c>
      <c r="D90" s="33">
        <v>82.5</v>
      </c>
      <c r="E90" s="39"/>
      <c r="F90" s="39"/>
      <c r="G90" s="39"/>
      <c r="H90" s="39"/>
    </row>
    <row r="91" spans="1:10">
      <c r="A91" s="33" t="s">
        <v>75</v>
      </c>
      <c r="B91" s="34" t="s">
        <v>166</v>
      </c>
      <c r="C91" s="33" t="s">
        <v>83</v>
      </c>
      <c r="D91" s="33">
        <v>86.844999999999999</v>
      </c>
      <c r="E91" s="39"/>
      <c r="F91" s="39"/>
      <c r="G91" s="39"/>
      <c r="H91" s="39"/>
    </row>
    <row r="92" spans="1:10">
      <c r="A92" s="33" t="s">
        <v>79</v>
      </c>
      <c r="B92" s="34" t="s">
        <v>166</v>
      </c>
      <c r="C92" s="33" t="s">
        <v>83</v>
      </c>
      <c r="D92" s="33">
        <v>15</v>
      </c>
      <c r="E92" s="39"/>
      <c r="F92" s="39"/>
      <c r="G92" s="39"/>
      <c r="H92" s="39"/>
    </row>
    <row r="93" spans="1:10">
      <c r="A93" s="33" t="s">
        <v>2</v>
      </c>
      <c r="B93" s="34" t="s">
        <v>166</v>
      </c>
      <c r="C93" s="33" t="s">
        <v>83</v>
      </c>
      <c r="D93" s="33">
        <v>25</v>
      </c>
      <c r="F93" s="33" t="s">
        <v>222</v>
      </c>
      <c r="G93" s="39"/>
      <c r="H93" s="39"/>
    </row>
    <row r="94" spans="1:10">
      <c r="E94" s="39"/>
      <c r="F94" s="39"/>
      <c r="G94" s="39"/>
      <c r="H94" s="39"/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8"/>
  <sheetViews>
    <sheetView zoomScale="70" zoomScaleNormal="70" workbookViewId="0">
      <selection activeCell="X34" sqref="X34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207</v>
      </c>
      <c r="S1" t="s">
        <v>208</v>
      </c>
    </row>
    <row r="2" spans="1:23">
      <c r="A2" t="s">
        <v>206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VLOOKUP(B2,node!$A$56:$D$70,4,0)</f>
        <v>40.68</v>
      </c>
      <c r="C3" s="27">
        <f>VLOOKUP(C2,node!$A$56:$D$70,4,0)</f>
        <v>65</v>
      </c>
      <c r="D3" s="27">
        <f>VLOOKUP(D2,node!$A$56:$D$70,4,0)</f>
        <v>36.323999999999998</v>
      </c>
      <c r="E3" s="27">
        <f>VLOOKUP(E2,node!$A$56:$D$70,4,0)</f>
        <v>6.48</v>
      </c>
      <c r="F3" s="27">
        <f>VLOOKUP(F2,node!$A$56:$D$70,4,0)</f>
        <v>26.81</v>
      </c>
      <c r="G3" s="27">
        <f>VLOOKUP(G2,node!$A$56:$D$70,4,0)</f>
        <v>14.65</v>
      </c>
      <c r="H3" s="27">
        <f>VLOOKUP(H2,node!$A$56:$D$70,4,0)</f>
        <v>1.69</v>
      </c>
      <c r="I3" s="27">
        <f>VLOOKUP(I2,node!$A$56:$D$70,4,0)</f>
        <v>6.6960000000000006</v>
      </c>
      <c r="J3" s="27" t="e">
        <f>VLOOKUP(J2,node!$A$56:$D$70,4,0)</f>
        <v>#N/A</v>
      </c>
      <c r="K3" s="27" t="e">
        <f>VLOOKUP(K2,node!$A$56:$D$70,4,0)</f>
        <v>#N/A</v>
      </c>
      <c r="L3" s="27" t="e">
        <f>VLOOKUP(L2,node!$A$56:$D$70,4,0)</f>
        <v>#N/A</v>
      </c>
      <c r="M3" s="27" t="e">
        <f>VLOOKUP(M2,node!$A$56:$D$70,4,0)</f>
        <v>#N/A</v>
      </c>
      <c r="N3" s="27">
        <f>VLOOKUP(N2,node!$A$56:$D$70,4,0)</f>
        <v>116000000</v>
      </c>
      <c r="O3" s="27">
        <f>VLOOKUP(O2,node!$A$56:$D$70,4,0)</f>
        <v>309000000</v>
      </c>
      <c r="R3" s="7" t="s">
        <v>86</v>
      </c>
      <c r="S3">
        <v>0</v>
      </c>
    </row>
    <row r="4" spans="1:23">
      <c r="A4" s="27">
        <v>2050</v>
      </c>
      <c r="B4" s="27">
        <f>VLOOKUP(B2,node!$A$11:$D$25,4,0)</f>
        <v>79.69</v>
      </c>
      <c r="C4" s="27">
        <f>VLOOKUP(C2,node!$A$11:$D$25,4,0)</f>
        <v>45.07</v>
      </c>
      <c r="D4" s="27">
        <f>VLOOKUP(D2,node!$A$11:$D$25,4,0)</f>
        <v>32.832000000000001</v>
      </c>
      <c r="E4" s="27">
        <f>VLOOKUP(E2,node!$A$11:$D$25,4,0)</f>
        <v>6.48</v>
      </c>
      <c r="F4" s="27">
        <f>VLOOKUP(F2,node!$A$11:$D$25,4,0)</f>
        <v>46.996000000000002</v>
      </c>
      <c r="G4" s="27">
        <f>VLOOKUP(G2,node!$A$11:$D$25,4,0)</f>
        <v>42.74</v>
      </c>
      <c r="H4" s="27">
        <f>VLOOKUP(H2,node!$A$11:$D$25,4,0)</f>
        <v>1.69</v>
      </c>
      <c r="I4" s="27">
        <f>VLOOKUP(I2,node!$A$11:$D$25,4,0)</f>
        <v>14.148000000000001</v>
      </c>
      <c r="J4" s="27">
        <f>VLOOKUP(J2,node!$A$11:$D$25,4,0)</f>
        <v>6.7320000000000002</v>
      </c>
      <c r="K4" s="27">
        <f>VLOOKUP(K2,node!$A$11:$D$25,4,0)</f>
        <v>7.5</v>
      </c>
      <c r="L4" s="27">
        <f>VLOOKUP(L2,node!$A$11:$D$25,4,0)</f>
        <v>45</v>
      </c>
      <c r="M4" s="27">
        <f>VLOOKUP(M2,node!$A$11:$D$25,4,0)</f>
        <v>82.5</v>
      </c>
      <c r="N4" s="27">
        <f>VLOOKUP(N2,node!$A$11:$D$25,4,0)</f>
        <v>50.29</v>
      </c>
      <c r="O4" s="27" t="e">
        <f>VLOOKUP(O2,node!$A$11:$D$25,4,0)</f>
        <v>#N/A</v>
      </c>
      <c r="R4" s="7" t="s">
        <v>87</v>
      </c>
      <c r="S4">
        <v>0</v>
      </c>
    </row>
    <row r="5" spans="1:23">
      <c r="R5" s="7" t="s">
        <v>88</v>
      </c>
      <c r="S5" s="28">
        <v>0.36399999999999999</v>
      </c>
    </row>
    <row r="6" spans="1:23">
      <c r="A6">
        <f>A3</f>
        <v>2020</v>
      </c>
      <c r="B6">
        <f>B3</f>
        <v>40.68</v>
      </c>
      <c r="C6">
        <f t="shared" ref="C6:O6" si="0">C3</f>
        <v>65</v>
      </c>
      <c r="D6">
        <f t="shared" si="0"/>
        <v>36.323999999999998</v>
      </c>
      <c r="E6">
        <f t="shared" si="0"/>
        <v>6.48</v>
      </c>
      <c r="F6">
        <f t="shared" si="0"/>
        <v>26.81</v>
      </c>
      <c r="G6">
        <f t="shared" si="0"/>
        <v>14.65</v>
      </c>
      <c r="H6">
        <f t="shared" si="0"/>
        <v>1.69</v>
      </c>
      <c r="I6">
        <f t="shared" si="0"/>
        <v>6.6960000000000006</v>
      </c>
      <c r="J6" t="e">
        <f t="shared" si="0"/>
        <v>#N/A</v>
      </c>
      <c r="K6" t="e">
        <f t="shared" si="0"/>
        <v>#N/A</v>
      </c>
      <c r="L6" t="e">
        <f t="shared" si="0"/>
        <v>#N/A</v>
      </c>
      <c r="M6" t="e">
        <f t="shared" si="0"/>
        <v>#N/A</v>
      </c>
      <c r="N6">
        <f t="shared" si="0"/>
        <v>116000000</v>
      </c>
      <c r="O6">
        <f t="shared" si="0"/>
        <v>309000000</v>
      </c>
      <c r="R6" s="7" t="s">
        <v>11</v>
      </c>
      <c r="S6">
        <v>0</v>
      </c>
      <c r="W6" s="10"/>
    </row>
    <row r="7" spans="1:23">
      <c r="A7">
        <v>2021</v>
      </c>
      <c r="B7">
        <f>_xlfn.FORECAST.LINEAR($A7,B$3:B$4,$A$3:$A$4)</f>
        <v>41.980333333333419</v>
      </c>
      <c r="C7">
        <f t="shared" ref="C7:O22" si="1">_xlfn.FORECAST.LINEAR($A7,C$3:C$4,$A$3:$A$4)</f>
        <v>64.335666666666611</v>
      </c>
      <c r="D7">
        <f t="shared" si="1"/>
        <v>36.207599999999957</v>
      </c>
      <c r="E7">
        <f t="shared" si="1"/>
        <v>6.48</v>
      </c>
      <c r="F7">
        <f t="shared" si="1"/>
        <v>27.482866666666723</v>
      </c>
      <c r="G7">
        <f t="shared" si="1"/>
        <v>15.586333333333414</v>
      </c>
      <c r="H7">
        <f t="shared" si="1"/>
        <v>1.69</v>
      </c>
      <c r="I7">
        <f t="shared" si="1"/>
        <v>6.9444000000000301</v>
      </c>
      <c r="J7" t="e">
        <f t="shared" si="1"/>
        <v>#N/A</v>
      </c>
      <c r="K7" t="e">
        <f t="shared" si="1"/>
        <v>#N/A</v>
      </c>
      <c r="L7" t="e">
        <f t="shared" si="1"/>
        <v>#N/A</v>
      </c>
      <c r="M7" t="e">
        <f t="shared" si="1"/>
        <v>#N/A</v>
      </c>
      <c r="N7">
        <f t="shared" si="1"/>
        <v>112133335.0096674</v>
      </c>
      <c r="O7" t="e">
        <f t="shared" si="1"/>
        <v>#N/A</v>
      </c>
      <c r="R7" s="7" t="s">
        <v>89</v>
      </c>
      <c r="S7" s="28">
        <v>0.20195983840000001</v>
      </c>
      <c r="W7" s="10"/>
    </row>
    <row r="8" spans="1:23">
      <c r="A8">
        <v>2022</v>
      </c>
      <c r="B8">
        <f t="shared" ref="B8:O35" si="2">_xlfn.FORECAST.LINEAR($A8,B$3:B$4,$A$3:$A$4)</f>
        <v>43.280666666666548</v>
      </c>
      <c r="C8">
        <f t="shared" si="1"/>
        <v>63.67133333333345</v>
      </c>
      <c r="D8">
        <f t="shared" si="1"/>
        <v>36.091199999999958</v>
      </c>
      <c r="E8">
        <f t="shared" si="1"/>
        <v>6.48</v>
      </c>
      <c r="F8">
        <f t="shared" si="1"/>
        <v>28.155733333333501</v>
      </c>
      <c r="G8">
        <f t="shared" si="1"/>
        <v>16.522666666666737</v>
      </c>
      <c r="H8">
        <f t="shared" si="1"/>
        <v>1.69</v>
      </c>
      <c r="I8">
        <f t="shared" si="1"/>
        <v>7.1928000000000338</v>
      </c>
      <c r="J8" t="e">
        <f t="shared" si="1"/>
        <v>#N/A</v>
      </c>
      <c r="K8" t="e">
        <f t="shared" si="1"/>
        <v>#N/A</v>
      </c>
      <c r="L8" t="e">
        <f t="shared" si="1"/>
        <v>#N/A</v>
      </c>
      <c r="M8" t="e">
        <f t="shared" si="1"/>
        <v>#N/A</v>
      </c>
      <c r="N8">
        <f t="shared" si="1"/>
        <v>108266670.01933384</v>
      </c>
      <c r="O8" t="e">
        <f t="shared" si="1"/>
        <v>#N/A</v>
      </c>
      <c r="R8" s="7" t="s">
        <v>90</v>
      </c>
      <c r="S8">
        <v>0</v>
      </c>
      <c r="W8" s="10"/>
    </row>
    <row r="9" spans="1:23">
      <c r="A9">
        <v>2023</v>
      </c>
      <c r="B9">
        <f t="shared" si="2"/>
        <v>44.581000000000131</v>
      </c>
      <c r="C9">
        <f t="shared" si="1"/>
        <v>63.007000000000062</v>
      </c>
      <c r="D9">
        <f t="shared" si="1"/>
        <v>35.974799999999959</v>
      </c>
      <c r="E9">
        <f t="shared" si="1"/>
        <v>6.48</v>
      </c>
      <c r="F9">
        <f t="shared" si="1"/>
        <v>28.828600000000051</v>
      </c>
      <c r="G9">
        <f t="shared" si="1"/>
        <v>17.45900000000006</v>
      </c>
      <c r="H9">
        <f t="shared" si="1"/>
        <v>1.69</v>
      </c>
      <c r="I9">
        <f t="shared" si="1"/>
        <v>7.4412000000000376</v>
      </c>
      <c r="J9" t="e">
        <f t="shared" si="1"/>
        <v>#N/A</v>
      </c>
      <c r="K9" t="e">
        <f t="shared" si="1"/>
        <v>#N/A</v>
      </c>
      <c r="L9" t="e">
        <f t="shared" si="1"/>
        <v>#N/A</v>
      </c>
      <c r="M9" t="e">
        <f t="shared" si="1"/>
        <v>#N/A</v>
      </c>
      <c r="N9">
        <f t="shared" si="1"/>
        <v>104400005.02900028</v>
      </c>
      <c r="O9" t="e">
        <f t="shared" si="1"/>
        <v>#N/A</v>
      </c>
      <c r="R9" s="7" t="s">
        <v>91</v>
      </c>
      <c r="S9">
        <f>S7</f>
        <v>0.20195983840000001</v>
      </c>
    </row>
    <row r="10" spans="1:23">
      <c r="A10">
        <v>2024</v>
      </c>
      <c r="B10">
        <f t="shared" si="2"/>
        <v>45.881333333333259</v>
      </c>
      <c r="C10">
        <f t="shared" si="1"/>
        <v>62.342666666666673</v>
      </c>
      <c r="D10">
        <f t="shared" si="1"/>
        <v>35.858399999999961</v>
      </c>
      <c r="E10">
        <f t="shared" si="1"/>
        <v>6.48</v>
      </c>
      <c r="F10">
        <f t="shared" si="1"/>
        <v>29.501466666666829</v>
      </c>
      <c r="G10">
        <f t="shared" si="1"/>
        <v>18.395333333333383</v>
      </c>
      <c r="H10">
        <f t="shared" si="1"/>
        <v>1.69</v>
      </c>
      <c r="I10">
        <f t="shared" si="1"/>
        <v>7.6896000000000413</v>
      </c>
      <c r="J10" t="e">
        <f t="shared" si="1"/>
        <v>#N/A</v>
      </c>
      <c r="K10" t="e">
        <f t="shared" si="1"/>
        <v>#N/A</v>
      </c>
      <c r="L10" t="e">
        <f t="shared" si="1"/>
        <v>#N/A</v>
      </c>
      <c r="M10" t="e">
        <f t="shared" si="1"/>
        <v>#N/A</v>
      </c>
      <c r="N10">
        <f t="shared" si="1"/>
        <v>100533340.03866673</v>
      </c>
      <c r="O10" t="e">
        <f t="shared" si="1"/>
        <v>#N/A</v>
      </c>
      <c r="R10" s="7" t="s">
        <v>84</v>
      </c>
      <c r="S10" s="28">
        <v>0.34055972755000002</v>
      </c>
    </row>
    <row r="11" spans="1:23">
      <c r="A11">
        <v>2025</v>
      </c>
      <c r="B11">
        <f t="shared" si="2"/>
        <v>47.181666666666843</v>
      </c>
      <c r="C11">
        <f t="shared" si="1"/>
        <v>61.678333333333285</v>
      </c>
      <c r="D11">
        <f t="shared" si="1"/>
        <v>35.741999999999962</v>
      </c>
      <c r="E11">
        <f t="shared" si="1"/>
        <v>6.48</v>
      </c>
      <c r="F11">
        <f t="shared" si="1"/>
        <v>30.174333333333379</v>
      </c>
      <c r="G11">
        <f t="shared" si="1"/>
        <v>19.331666666666706</v>
      </c>
      <c r="H11">
        <f t="shared" si="1"/>
        <v>1.69</v>
      </c>
      <c r="I11">
        <f t="shared" si="1"/>
        <v>7.9379999999999882</v>
      </c>
      <c r="J11" t="e">
        <f t="shared" si="1"/>
        <v>#N/A</v>
      </c>
      <c r="K11" t="e">
        <f t="shared" si="1"/>
        <v>#N/A</v>
      </c>
      <c r="L11" t="e">
        <f t="shared" si="1"/>
        <v>#N/A</v>
      </c>
      <c r="M11" t="e">
        <f t="shared" si="1"/>
        <v>#N/A</v>
      </c>
      <c r="N11">
        <f t="shared" si="1"/>
        <v>96666675.048334122</v>
      </c>
      <c r="O11" t="e">
        <f t="shared" si="1"/>
        <v>#N/A</v>
      </c>
      <c r="R11" s="7" t="s">
        <v>81</v>
      </c>
      <c r="S11">
        <v>0</v>
      </c>
    </row>
    <row r="12" spans="1:23">
      <c r="A12">
        <v>2026</v>
      </c>
      <c r="B12">
        <f t="shared" si="2"/>
        <v>48.481999999999971</v>
      </c>
      <c r="C12">
        <f t="shared" si="1"/>
        <v>61.014000000000124</v>
      </c>
      <c r="D12">
        <f t="shared" si="1"/>
        <v>35.625599999999963</v>
      </c>
      <c r="E12">
        <f t="shared" si="1"/>
        <v>6.48</v>
      </c>
      <c r="F12">
        <f t="shared" si="1"/>
        <v>30.847200000000157</v>
      </c>
      <c r="G12">
        <f t="shared" si="1"/>
        <v>20.268000000000029</v>
      </c>
      <c r="H12">
        <f t="shared" si="1"/>
        <v>1.69</v>
      </c>
      <c r="I12">
        <f t="shared" si="1"/>
        <v>8.1863999999999919</v>
      </c>
      <c r="J12" t="e">
        <f t="shared" si="1"/>
        <v>#N/A</v>
      </c>
      <c r="K12" t="e">
        <f t="shared" si="1"/>
        <v>#N/A</v>
      </c>
      <c r="L12" t="e">
        <f t="shared" si="1"/>
        <v>#N/A</v>
      </c>
      <c r="M12" t="e">
        <f t="shared" si="1"/>
        <v>#N/A</v>
      </c>
      <c r="N12">
        <f t="shared" si="1"/>
        <v>92800010.058000565</v>
      </c>
      <c r="O12" t="e">
        <f t="shared" si="1"/>
        <v>#N/A</v>
      </c>
      <c r="R12" s="7" t="s">
        <v>82</v>
      </c>
      <c r="S12">
        <v>0</v>
      </c>
    </row>
    <row r="13" spans="1:23">
      <c r="A13">
        <v>2027</v>
      </c>
      <c r="B13">
        <f t="shared" si="2"/>
        <v>49.782333333333554</v>
      </c>
      <c r="C13">
        <f t="shared" si="1"/>
        <v>60.349666666666735</v>
      </c>
      <c r="D13">
        <f t="shared" si="1"/>
        <v>35.509199999999964</v>
      </c>
      <c r="E13">
        <f t="shared" si="1"/>
        <v>6.48</v>
      </c>
      <c r="F13">
        <f t="shared" si="1"/>
        <v>31.520066666666708</v>
      </c>
      <c r="G13">
        <f t="shared" si="1"/>
        <v>21.204333333333352</v>
      </c>
      <c r="H13">
        <f t="shared" si="1"/>
        <v>1.69</v>
      </c>
      <c r="I13">
        <f t="shared" si="1"/>
        <v>8.4347999999999956</v>
      </c>
      <c r="J13" t="e">
        <f t="shared" si="1"/>
        <v>#N/A</v>
      </c>
      <c r="K13" t="e">
        <f t="shared" si="1"/>
        <v>#N/A</v>
      </c>
      <c r="L13" t="e">
        <f t="shared" si="1"/>
        <v>#N/A</v>
      </c>
      <c r="M13" t="e">
        <f t="shared" si="1"/>
        <v>#N/A</v>
      </c>
      <c r="N13">
        <f t="shared" si="1"/>
        <v>88933345.067667007</v>
      </c>
      <c r="O13" t="e">
        <f t="shared" si="1"/>
        <v>#N/A</v>
      </c>
      <c r="R13" s="7" t="s">
        <v>80</v>
      </c>
      <c r="S13">
        <v>0</v>
      </c>
    </row>
    <row r="14" spans="1:23">
      <c r="A14">
        <v>2028</v>
      </c>
      <c r="B14">
        <f t="shared" si="2"/>
        <v>51.082666666666682</v>
      </c>
      <c r="C14">
        <f t="shared" si="1"/>
        <v>59.685333333333347</v>
      </c>
      <c r="D14">
        <f t="shared" si="1"/>
        <v>35.392799999999966</v>
      </c>
      <c r="E14">
        <f t="shared" si="1"/>
        <v>6.48</v>
      </c>
      <c r="F14">
        <f t="shared" si="1"/>
        <v>32.192933333333485</v>
      </c>
      <c r="G14">
        <f t="shared" si="1"/>
        <v>22.140666666666675</v>
      </c>
      <c r="H14">
        <f t="shared" si="1"/>
        <v>1.69</v>
      </c>
      <c r="I14">
        <f t="shared" si="1"/>
        <v>8.6831999999999994</v>
      </c>
      <c r="J14" t="e">
        <f t="shared" si="1"/>
        <v>#N/A</v>
      </c>
      <c r="K14" t="e">
        <f t="shared" si="1"/>
        <v>#N/A</v>
      </c>
      <c r="L14" t="e">
        <f t="shared" si="1"/>
        <v>#N/A</v>
      </c>
      <c r="M14" t="e">
        <f t="shared" si="1"/>
        <v>#N/A</v>
      </c>
      <c r="N14">
        <f t="shared" si="1"/>
        <v>85066680.07733345</v>
      </c>
      <c r="O14" t="e">
        <f t="shared" si="1"/>
        <v>#N/A</v>
      </c>
      <c r="R14" s="7" t="s">
        <v>75</v>
      </c>
      <c r="S14">
        <v>0</v>
      </c>
    </row>
    <row r="15" spans="1:23">
      <c r="A15">
        <v>2029</v>
      </c>
      <c r="B15">
        <f t="shared" si="2"/>
        <v>52.382999999999811</v>
      </c>
      <c r="C15">
        <f t="shared" si="1"/>
        <v>59.020999999999958</v>
      </c>
      <c r="D15">
        <f t="shared" si="1"/>
        <v>35.276399999999967</v>
      </c>
      <c r="E15">
        <f t="shared" si="1"/>
        <v>6.48</v>
      </c>
      <c r="F15">
        <f t="shared" si="1"/>
        <v>32.865800000000036</v>
      </c>
      <c r="G15">
        <f t="shared" si="1"/>
        <v>23.076999999999998</v>
      </c>
      <c r="H15">
        <f t="shared" si="1"/>
        <v>1.69</v>
      </c>
      <c r="I15">
        <f t="shared" si="1"/>
        <v>8.9316000000000031</v>
      </c>
      <c r="J15" t="e">
        <f t="shared" si="1"/>
        <v>#N/A</v>
      </c>
      <c r="K15" t="e">
        <f t="shared" si="1"/>
        <v>#N/A</v>
      </c>
      <c r="L15" t="e">
        <f t="shared" si="1"/>
        <v>#N/A</v>
      </c>
      <c r="M15" t="e">
        <f t="shared" si="1"/>
        <v>#N/A</v>
      </c>
      <c r="N15">
        <f t="shared" si="1"/>
        <v>81200015.087000847</v>
      </c>
      <c r="O15" t="e">
        <f t="shared" si="1"/>
        <v>#N/A</v>
      </c>
      <c r="R15" s="7" t="s">
        <v>79</v>
      </c>
      <c r="S15">
        <v>0</v>
      </c>
    </row>
    <row r="16" spans="1:23">
      <c r="A16">
        <v>2030</v>
      </c>
      <c r="B16">
        <f t="shared" si="2"/>
        <v>53.683333333333394</v>
      </c>
      <c r="C16">
        <f t="shared" si="1"/>
        <v>58.356666666666797</v>
      </c>
      <c r="D16">
        <f t="shared" si="1"/>
        <v>35.159999999999968</v>
      </c>
      <c r="E16">
        <f t="shared" si="1"/>
        <v>6.48</v>
      </c>
      <c r="F16">
        <f t="shared" si="1"/>
        <v>33.538666666666813</v>
      </c>
      <c r="G16">
        <f t="shared" si="1"/>
        <v>24.013333333333321</v>
      </c>
      <c r="H16">
        <f t="shared" si="1"/>
        <v>1.69</v>
      </c>
      <c r="I16">
        <f t="shared" si="1"/>
        <v>9.1800000000000068</v>
      </c>
      <c r="J16" t="e">
        <f t="shared" si="1"/>
        <v>#N/A</v>
      </c>
      <c r="K16" t="e">
        <f t="shared" si="1"/>
        <v>#N/A</v>
      </c>
      <c r="L16" t="e">
        <f t="shared" si="1"/>
        <v>#N/A</v>
      </c>
      <c r="M16" t="e">
        <f t="shared" si="1"/>
        <v>#N/A</v>
      </c>
      <c r="N16">
        <f t="shared" si="1"/>
        <v>77333350.09666729</v>
      </c>
      <c r="O16" t="e">
        <f t="shared" si="1"/>
        <v>#N/A</v>
      </c>
    </row>
    <row r="17" spans="1:25">
      <c r="A17">
        <v>2031</v>
      </c>
      <c r="B17">
        <f t="shared" si="2"/>
        <v>54.983666666666522</v>
      </c>
      <c r="C17">
        <f t="shared" si="1"/>
        <v>57.692333333333409</v>
      </c>
      <c r="D17">
        <f t="shared" si="1"/>
        <v>35.043599999999969</v>
      </c>
      <c r="E17">
        <f t="shared" si="1"/>
        <v>6.48</v>
      </c>
      <c r="F17">
        <f t="shared" si="1"/>
        <v>34.211533333333364</v>
      </c>
      <c r="G17">
        <f t="shared" si="1"/>
        <v>24.949666666666644</v>
      </c>
      <c r="H17">
        <f t="shared" si="1"/>
        <v>1.69</v>
      </c>
      <c r="I17">
        <f t="shared" si="1"/>
        <v>9.4284000000000106</v>
      </c>
      <c r="J17" t="e">
        <f t="shared" si="1"/>
        <v>#N/A</v>
      </c>
      <c r="K17" t="e">
        <f t="shared" si="1"/>
        <v>#N/A</v>
      </c>
      <c r="L17" t="e">
        <f t="shared" si="1"/>
        <v>#N/A</v>
      </c>
      <c r="M17" t="e">
        <f t="shared" si="1"/>
        <v>#N/A</v>
      </c>
      <c r="N17">
        <f t="shared" si="1"/>
        <v>73466685.106333733</v>
      </c>
      <c r="O17" t="e">
        <f t="shared" si="1"/>
        <v>#N/A</v>
      </c>
      <c r="R17" s="8" t="s">
        <v>218</v>
      </c>
      <c r="S17" s="8">
        <v>2020</v>
      </c>
    </row>
    <row r="18" spans="1:25">
      <c r="A18">
        <v>2032</v>
      </c>
      <c r="B18">
        <f t="shared" si="2"/>
        <v>56.284000000000106</v>
      </c>
      <c r="C18">
        <f t="shared" si="1"/>
        <v>57.02800000000002</v>
      </c>
      <c r="D18">
        <f t="shared" si="1"/>
        <v>34.927199999999971</v>
      </c>
      <c r="E18">
        <f t="shared" si="1"/>
        <v>6.48</v>
      </c>
      <c r="F18">
        <f t="shared" si="1"/>
        <v>34.884400000000142</v>
      </c>
      <c r="G18">
        <f t="shared" si="1"/>
        <v>25.885999999999967</v>
      </c>
      <c r="H18">
        <f t="shared" si="1"/>
        <v>1.69</v>
      </c>
      <c r="I18">
        <f t="shared" si="1"/>
        <v>9.6768000000000143</v>
      </c>
      <c r="J18" t="e">
        <f t="shared" si="1"/>
        <v>#N/A</v>
      </c>
      <c r="K18" t="e">
        <f t="shared" si="1"/>
        <v>#N/A</v>
      </c>
      <c r="L18" t="e">
        <f t="shared" si="1"/>
        <v>#N/A</v>
      </c>
      <c r="M18" t="e">
        <f t="shared" si="1"/>
        <v>#N/A</v>
      </c>
      <c r="N18">
        <f t="shared" si="1"/>
        <v>69600020.116000175</v>
      </c>
      <c r="O18" t="e">
        <f t="shared" si="1"/>
        <v>#N/A</v>
      </c>
      <c r="S18" t="s">
        <v>123</v>
      </c>
      <c r="T18" t="s">
        <v>122</v>
      </c>
      <c r="U18" t="s">
        <v>119</v>
      </c>
      <c r="V18" t="s">
        <v>212</v>
      </c>
      <c r="W18" t="s">
        <v>215</v>
      </c>
      <c r="X18" t="s">
        <v>102</v>
      </c>
      <c r="Y18" t="s">
        <v>102</v>
      </c>
    </row>
    <row r="19" spans="1:25">
      <c r="A19">
        <v>2033</v>
      </c>
      <c r="B19">
        <f t="shared" si="2"/>
        <v>57.584333333333234</v>
      </c>
      <c r="C19">
        <f t="shared" si="1"/>
        <v>56.363666666666631</v>
      </c>
      <c r="D19">
        <f t="shared" si="1"/>
        <v>34.810799999999972</v>
      </c>
      <c r="E19">
        <f t="shared" si="1"/>
        <v>6.48</v>
      </c>
      <c r="F19">
        <f t="shared" si="1"/>
        <v>35.557266666666692</v>
      </c>
      <c r="G19">
        <f t="shared" si="1"/>
        <v>26.82233333333329</v>
      </c>
      <c r="H19">
        <f t="shared" si="1"/>
        <v>1.69</v>
      </c>
      <c r="I19">
        <f t="shared" si="1"/>
        <v>9.925200000000018</v>
      </c>
      <c r="J19" t="e">
        <f t="shared" si="1"/>
        <v>#N/A</v>
      </c>
      <c r="K19" t="e">
        <f t="shared" si="1"/>
        <v>#N/A</v>
      </c>
      <c r="L19" t="e">
        <f t="shared" si="1"/>
        <v>#N/A</v>
      </c>
      <c r="M19" t="e">
        <f t="shared" si="1"/>
        <v>#N/A</v>
      </c>
      <c r="N19">
        <f t="shared" si="1"/>
        <v>65733355.125666618</v>
      </c>
      <c r="O19" t="e">
        <f t="shared" si="1"/>
        <v>#N/A</v>
      </c>
      <c r="R19" t="str">
        <f>unit2020!A7</f>
        <v>Biomass_CHP_wood_pellets_DH</v>
      </c>
      <c r="S19">
        <f>unit2020!B7</f>
        <v>2040000</v>
      </c>
      <c r="T19">
        <f>unit2020!C7</f>
        <v>50000</v>
      </c>
      <c r="U19" s="10">
        <f>unit2020!D7</f>
        <v>2</v>
      </c>
      <c r="V19" s="31">
        <f>unit2020!E7</f>
        <v>0.309</v>
      </c>
      <c r="W19" s="31">
        <f>VLOOKUP(R19,'unit2030-none'!$A$1:$I$52,8,0)</f>
        <v>30</v>
      </c>
      <c r="X19" s="32">
        <f>PMT(0.1,W19,S19,0)</f>
        <v>-216401.66643537322</v>
      </c>
      <c r="Y19" s="32">
        <f>-X19</f>
        <v>216401.66643537322</v>
      </c>
    </row>
    <row r="20" spans="1:25">
      <c r="A20">
        <v>2034</v>
      </c>
      <c r="B20">
        <f t="shared" si="2"/>
        <v>58.884666666666817</v>
      </c>
      <c r="C20">
        <f t="shared" si="1"/>
        <v>55.69933333333347</v>
      </c>
      <c r="D20">
        <f t="shared" si="1"/>
        <v>34.694399999999973</v>
      </c>
      <c r="E20">
        <f t="shared" si="1"/>
        <v>6.48</v>
      </c>
      <c r="F20">
        <f t="shared" si="1"/>
        <v>36.23013333333347</v>
      </c>
      <c r="G20">
        <f t="shared" si="1"/>
        <v>27.758666666666613</v>
      </c>
      <c r="H20">
        <f t="shared" si="1"/>
        <v>1.69</v>
      </c>
      <c r="I20">
        <f t="shared" si="1"/>
        <v>10.173600000000022</v>
      </c>
      <c r="J20" t="e">
        <f t="shared" si="1"/>
        <v>#N/A</v>
      </c>
      <c r="K20" t="e">
        <f t="shared" si="1"/>
        <v>#N/A</v>
      </c>
      <c r="L20" t="e">
        <f t="shared" si="1"/>
        <v>#N/A</v>
      </c>
      <c r="M20" t="e">
        <f t="shared" si="1"/>
        <v>#N/A</v>
      </c>
      <c r="N20">
        <f t="shared" si="1"/>
        <v>61866690.135334015</v>
      </c>
      <c r="O20" t="e">
        <f t="shared" si="1"/>
        <v>#N/A</v>
      </c>
      <c r="R20" t="str">
        <f>unit2020!A8</f>
        <v>CCGT</v>
      </c>
      <c r="S20">
        <f>unit2020!B8</f>
        <v>830000</v>
      </c>
      <c r="T20">
        <f>unit2020!C8</f>
        <v>27800</v>
      </c>
      <c r="U20">
        <f>unit2020!D8</f>
        <v>4</v>
      </c>
      <c r="V20" s="31">
        <f>unit2020!E8</f>
        <v>0.61</v>
      </c>
      <c r="W20" s="31">
        <f>VLOOKUP(R20,'unit2030-none'!$A$1:$I$52,8,0)</f>
        <v>30</v>
      </c>
      <c r="X20" s="32">
        <f t="shared" ref="X20:X28" si="3">PMT(0.1,W20,S20,0)</f>
        <v>-88045.776049686159</v>
      </c>
      <c r="Y20" s="32">
        <f t="shared" ref="Y20:Y28" si="4">-X20</f>
        <v>88045.776049686159</v>
      </c>
    </row>
    <row r="21" spans="1:25">
      <c r="A21">
        <v>2035</v>
      </c>
      <c r="B21">
        <f t="shared" si="2"/>
        <v>60.184999999999945</v>
      </c>
      <c r="C21">
        <f t="shared" si="1"/>
        <v>55.035000000000082</v>
      </c>
      <c r="D21">
        <f t="shared" si="1"/>
        <v>34.577999999999975</v>
      </c>
      <c r="E21">
        <f t="shared" si="1"/>
        <v>6.48</v>
      </c>
      <c r="F21">
        <f t="shared" si="1"/>
        <v>36.90300000000002</v>
      </c>
      <c r="G21">
        <f t="shared" si="1"/>
        <v>28.694999999999936</v>
      </c>
      <c r="H21">
        <f t="shared" si="1"/>
        <v>1.69</v>
      </c>
      <c r="I21">
        <f t="shared" si="1"/>
        <v>10.422000000000025</v>
      </c>
      <c r="J21" t="e">
        <f t="shared" si="1"/>
        <v>#N/A</v>
      </c>
      <c r="K21" t="e">
        <f t="shared" si="1"/>
        <v>#N/A</v>
      </c>
      <c r="L21" t="e">
        <f t="shared" si="1"/>
        <v>#N/A</v>
      </c>
      <c r="M21" t="e">
        <f t="shared" si="1"/>
        <v>#N/A</v>
      </c>
      <c r="N21">
        <f t="shared" si="1"/>
        <v>58000025.145000458</v>
      </c>
      <c r="O21" t="e">
        <f t="shared" si="1"/>
        <v>#N/A</v>
      </c>
      <c r="R21" t="str">
        <f>unit2020!A9</f>
        <v>Hydropower_reservoir_medium</v>
      </c>
      <c r="S21">
        <f>unit2020!B9</f>
        <v>8000000</v>
      </c>
      <c r="T21">
        <f>unit2020!C9</f>
        <v>100000</v>
      </c>
      <c r="U21">
        <f>unit2020!D9</f>
        <v>0</v>
      </c>
      <c r="V21" s="31">
        <f>unit2020!E9</f>
        <v>0</v>
      </c>
      <c r="W21" s="31">
        <f>VLOOKUP(R21,'unit2030-none'!$A$1:$I$52,8,0)</f>
        <v>60</v>
      </c>
      <c r="X21" s="32">
        <f t="shared" si="3"/>
        <v>-802636.07380403264</v>
      </c>
      <c r="Y21" s="32">
        <f t="shared" si="4"/>
        <v>802636.07380403264</v>
      </c>
    </row>
    <row r="22" spans="1:25">
      <c r="A22">
        <v>2036</v>
      </c>
      <c r="B22">
        <f t="shared" si="2"/>
        <v>61.485333333333529</v>
      </c>
      <c r="C22">
        <f t="shared" si="1"/>
        <v>54.370666666666693</v>
      </c>
      <c r="D22">
        <f t="shared" si="1"/>
        <v>34.461599999999947</v>
      </c>
      <c r="E22">
        <f t="shared" si="1"/>
        <v>6.48</v>
      </c>
      <c r="F22">
        <f t="shared" si="1"/>
        <v>37.575866666666798</v>
      </c>
      <c r="G22">
        <f t="shared" si="1"/>
        <v>29.631333333333259</v>
      </c>
      <c r="H22">
        <f t="shared" si="1"/>
        <v>1.69</v>
      </c>
      <c r="I22">
        <f t="shared" si="1"/>
        <v>10.670400000000029</v>
      </c>
      <c r="J22" t="e">
        <f t="shared" si="1"/>
        <v>#N/A</v>
      </c>
      <c r="K22" t="e">
        <f t="shared" si="1"/>
        <v>#N/A</v>
      </c>
      <c r="L22" t="e">
        <f t="shared" si="1"/>
        <v>#N/A</v>
      </c>
      <c r="M22" t="e">
        <f t="shared" si="1"/>
        <v>#N/A</v>
      </c>
      <c r="N22">
        <f t="shared" si="1"/>
        <v>54133360.154666901</v>
      </c>
      <c r="O22" t="e">
        <f t="shared" si="1"/>
        <v>#N/A</v>
      </c>
      <c r="R22" t="str">
        <f>unit2020!A10</f>
        <v>OCGT</v>
      </c>
      <c r="S22">
        <f>unit2020!B10</f>
        <v>435000</v>
      </c>
      <c r="T22">
        <f>unit2020!C10</f>
        <v>7745</v>
      </c>
      <c r="U22">
        <f>unit2020!D10</f>
        <v>5</v>
      </c>
      <c r="V22" s="31">
        <f>unit2020!E10</f>
        <v>0.43</v>
      </c>
      <c r="W22" s="31">
        <f>VLOOKUP(R22,'unit2030-none'!$A$1:$I$52,8,0)</f>
        <v>30</v>
      </c>
      <c r="X22" s="32">
        <f t="shared" si="3"/>
        <v>-46144.472989895759</v>
      </c>
      <c r="Y22" s="32">
        <f t="shared" si="4"/>
        <v>46144.472989895759</v>
      </c>
    </row>
    <row r="23" spans="1:25">
      <c r="A23">
        <v>2037</v>
      </c>
      <c r="B23">
        <f t="shared" si="2"/>
        <v>62.785666666666657</v>
      </c>
      <c r="C23">
        <f t="shared" si="2"/>
        <v>53.706333333333305</v>
      </c>
      <c r="D23">
        <f t="shared" si="2"/>
        <v>34.345199999999949</v>
      </c>
      <c r="E23">
        <f t="shared" si="2"/>
        <v>6.48</v>
      </c>
      <c r="F23">
        <f t="shared" si="2"/>
        <v>38.248733333333348</v>
      </c>
      <c r="G23">
        <f t="shared" si="2"/>
        <v>30.56766666666681</v>
      </c>
      <c r="H23">
        <f t="shared" si="2"/>
        <v>1.69</v>
      </c>
      <c r="I23">
        <f t="shared" si="2"/>
        <v>10.918800000000033</v>
      </c>
      <c r="J23" t="e">
        <f t="shared" si="2"/>
        <v>#N/A</v>
      </c>
      <c r="K23" t="e">
        <f t="shared" si="2"/>
        <v>#N/A</v>
      </c>
      <c r="L23" t="e">
        <f t="shared" si="2"/>
        <v>#N/A</v>
      </c>
      <c r="M23" t="e">
        <f t="shared" si="2"/>
        <v>#N/A</v>
      </c>
      <c r="N23">
        <f t="shared" si="2"/>
        <v>50266695.164333344</v>
      </c>
      <c r="O23" t="e">
        <f t="shared" si="2"/>
        <v>#N/A</v>
      </c>
      <c r="R23" t="str">
        <f>unit2020!A11</f>
        <v>PV_utility_systems</v>
      </c>
      <c r="S23">
        <f>unit2020!B11</f>
        <v>587000</v>
      </c>
      <c r="T23">
        <f>unit2020!C11</f>
        <v>11700</v>
      </c>
      <c r="U23">
        <f>unit2020!D11</f>
        <v>0</v>
      </c>
      <c r="V23" s="31">
        <f>unit2020!E11</f>
        <v>1</v>
      </c>
      <c r="W23" s="31">
        <f>VLOOKUP(R23,'unit2030-none'!$A$1:$I$52,8,0)</f>
        <v>25</v>
      </c>
      <c r="X23" s="32">
        <f t="shared" si="3"/>
        <v>-64668.65837554224</v>
      </c>
      <c r="Y23" s="32">
        <f t="shared" si="4"/>
        <v>64668.65837554224</v>
      </c>
    </row>
    <row r="24" spans="1:25">
      <c r="A24">
        <v>2038</v>
      </c>
      <c r="B24">
        <f t="shared" si="2"/>
        <v>64.085999999999785</v>
      </c>
      <c r="C24">
        <f t="shared" si="2"/>
        <v>53.042000000000144</v>
      </c>
      <c r="D24">
        <f t="shared" si="2"/>
        <v>34.22879999999995</v>
      </c>
      <c r="E24">
        <f t="shared" si="2"/>
        <v>6.48</v>
      </c>
      <c r="F24">
        <f t="shared" si="2"/>
        <v>38.921600000000126</v>
      </c>
      <c r="G24">
        <f t="shared" si="2"/>
        <v>31.504000000000133</v>
      </c>
      <c r="H24">
        <f t="shared" si="2"/>
        <v>1.69</v>
      </c>
      <c r="I24">
        <f t="shared" si="2"/>
        <v>11.167200000000037</v>
      </c>
      <c r="J24" t="e">
        <f t="shared" si="2"/>
        <v>#N/A</v>
      </c>
      <c r="K24" t="e">
        <f t="shared" si="2"/>
        <v>#N/A</v>
      </c>
      <c r="L24" t="e">
        <f t="shared" si="2"/>
        <v>#N/A</v>
      </c>
      <c r="M24" t="e">
        <f t="shared" si="2"/>
        <v>#N/A</v>
      </c>
      <c r="N24">
        <f t="shared" si="2"/>
        <v>46400030.17400074</v>
      </c>
      <c r="O24" t="e">
        <f t="shared" si="2"/>
        <v>#N/A</v>
      </c>
      <c r="R24" t="str">
        <f>unit2020!A12</f>
        <v>WTG_offshore</v>
      </c>
      <c r="S24">
        <f>unit2020!B12</f>
        <v>2270000</v>
      </c>
      <c r="T24">
        <f>unit2020!C12</f>
        <v>23400</v>
      </c>
      <c r="U24">
        <f>unit2020!D12</f>
        <v>3</v>
      </c>
      <c r="V24" s="31">
        <f>unit2020!E12</f>
        <v>1</v>
      </c>
      <c r="W24" s="31">
        <f>VLOOKUP(R24,'unit2030-none'!$A$1:$I$52,8,0)</f>
        <v>30</v>
      </c>
      <c r="X24" s="32">
        <f t="shared" si="3"/>
        <v>-240799.89353347901</v>
      </c>
      <c r="Y24" s="32">
        <f t="shared" si="4"/>
        <v>240799.89353347901</v>
      </c>
    </row>
    <row r="25" spans="1:25">
      <c r="A25">
        <v>2039</v>
      </c>
      <c r="B25">
        <f t="shared" si="2"/>
        <v>65.386333333333369</v>
      </c>
      <c r="C25">
        <f t="shared" si="2"/>
        <v>52.377666666666755</v>
      </c>
      <c r="D25">
        <f t="shared" si="2"/>
        <v>34.112399999999951</v>
      </c>
      <c r="E25">
        <f t="shared" si="2"/>
        <v>6.48</v>
      </c>
      <c r="F25">
        <f t="shared" si="2"/>
        <v>39.594466666666676</v>
      </c>
      <c r="G25">
        <f t="shared" si="2"/>
        <v>32.440333333333456</v>
      </c>
      <c r="H25">
        <f t="shared" si="2"/>
        <v>1.69</v>
      </c>
      <c r="I25">
        <f t="shared" si="2"/>
        <v>11.41560000000004</v>
      </c>
      <c r="J25" t="e">
        <f t="shared" si="2"/>
        <v>#N/A</v>
      </c>
      <c r="K25" t="e">
        <f t="shared" si="2"/>
        <v>#N/A</v>
      </c>
      <c r="L25" t="e">
        <f t="shared" si="2"/>
        <v>#N/A</v>
      </c>
      <c r="M25" t="e">
        <f t="shared" si="2"/>
        <v>#N/A</v>
      </c>
      <c r="N25">
        <f t="shared" si="2"/>
        <v>42533365.183667183</v>
      </c>
      <c r="O25" t="e">
        <f t="shared" si="2"/>
        <v>#N/A</v>
      </c>
      <c r="R25" t="str">
        <f>unit2020!A13</f>
        <v>WTG_onshore</v>
      </c>
      <c r="S25">
        <f>unit2020!B13</f>
        <v>1150000</v>
      </c>
      <c r="T25">
        <f>unit2020!C13</f>
        <v>11000</v>
      </c>
      <c r="U25">
        <f>unit2020!D13</f>
        <v>1</v>
      </c>
      <c r="V25" s="31">
        <f>unit2020!E13</f>
        <v>1</v>
      </c>
      <c r="W25" s="31">
        <f>VLOOKUP(R25,'unit2030-none'!$A$1:$I$52,8,0)</f>
        <v>25</v>
      </c>
      <c r="X25" s="32">
        <f t="shared" si="3"/>
        <v>-126693.28301852397</v>
      </c>
      <c r="Y25" s="32">
        <f t="shared" si="4"/>
        <v>126693.28301852397</v>
      </c>
    </row>
    <row r="26" spans="1:25">
      <c r="A26">
        <v>2040</v>
      </c>
      <c r="B26">
        <f t="shared" si="2"/>
        <v>66.686666666666497</v>
      </c>
      <c r="C26">
        <f t="shared" si="2"/>
        <v>51.713333333333367</v>
      </c>
      <c r="D26">
        <f t="shared" si="2"/>
        <v>33.995999999999952</v>
      </c>
      <c r="E26">
        <f t="shared" si="2"/>
        <v>6.48</v>
      </c>
      <c r="F26">
        <f t="shared" si="2"/>
        <v>40.267333333333454</v>
      </c>
      <c r="G26">
        <f t="shared" si="2"/>
        <v>33.376666666666779</v>
      </c>
      <c r="H26">
        <f t="shared" si="2"/>
        <v>1.69</v>
      </c>
      <c r="I26">
        <f t="shared" si="2"/>
        <v>11.664000000000044</v>
      </c>
      <c r="J26" t="e">
        <f t="shared" si="2"/>
        <v>#N/A</v>
      </c>
      <c r="K26" t="e">
        <f t="shared" si="2"/>
        <v>#N/A</v>
      </c>
      <c r="L26" t="e">
        <f t="shared" si="2"/>
        <v>#N/A</v>
      </c>
      <c r="M26" t="e">
        <f t="shared" si="2"/>
        <v>#N/A</v>
      </c>
      <c r="N26">
        <f t="shared" si="2"/>
        <v>38666700.193333626</v>
      </c>
      <c r="O26" t="e">
        <f t="shared" si="2"/>
        <v>#N/A</v>
      </c>
      <c r="R26" t="str">
        <f>unit2020!A14</f>
        <v>Lithium_ion_battery</v>
      </c>
      <c r="S26" s="10">
        <f>unit2020!B14</f>
        <v>321000</v>
      </c>
      <c r="T26">
        <f>unit2020!C14</f>
        <v>7800</v>
      </c>
      <c r="U26">
        <f>unit2020!D14</f>
        <v>2</v>
      </c>
      <c r="V26" s="31">
        <f>unit2020!E14</f>
        <v>0.9</v>
      </c>
      <c r="W26" s="31">
        <f>VLOOKUP(R26,'unit2030-none'!$A$1:$I$52,8,0)</f>
        <v>20</v>
      </c>
      <c r="X26" s="32">
        <f t="shared" si="3"/>
        <v>-37704.539551987196</v>
      </c>
      <c r="Y26" s="32">
        <f t="shared" si="4"/>
        <v>37704.539551987196</v>
      </c>
    </row>
    <row r="27" spans="1:25">
      <c r="A27">
        <v>2041</v>
      </c>
      <c r="B27">
        <f t="shared" si="2"/>
        <v>67.98700000000008</v>
      </c>
      <c r="C27">
        <f t="shared" si="2"/>
        <v>51.048999999999978</v>
      </c>
      <c r="D27">
        <f t="shared" si="2"/>
        <v>33.879599999999954</v>
      </c>
      <c r="E27">
        <f t="shared" si="2"/>
        <v>6.48</v>
      </c>
      <c r="F27">
        <f t="shared" si="2"/>
        <v>40.940200000000004</v>
      </c>
      <c r="G27">
        <f t="shared" si="2"/>
        <v>34.313000000000102</v>
      </c>
      <c r="H27">
        <f t="shared" si="2"/>
        <v>1.69</v>
      </c>
      <c r="I27">
        <f t="shared" si="2"/>
        <v>11.912399999999991</v>
      </c>
      <c r="J27" t="e">
        <f t="shared" si="2"/>
        <v>#N/A</v>
      </c>
      <c r="K27" t="e">
        <f t="shared" si="2"/>
        <v>#N/A</v>
      </c>
      <c r="L27" t="e">
        <f t="shared" si="2"/>
        <v>#N/A</v>
      </c>
      <c r="M27" t="e">
        <f t="shared" si="2"/>
        <v>#N/A</v>
      </c>
      <c r="N27">
        <f t="shared" si="2"/>
        <v>34800035.203000069</v>
      </c>
      <c r="O27" t="e">
        <f t="shared" si="2"/>
        <v>#N/A</v>
      </c>
      <c r="R27" t="str">
        <f>unit2020!A15</f>
        <v>CCGT_CHP_backpressure_DH</v>
      </c>
      <c r="S27">
        <f>unit2020!B15</f>
        <v>1200000</v>
      </c>
      <c r="T27">
        <f>unit2020!C15</f>
        <v>0</v>
      </c>
      <c r="U27">
        <f>unit2020!D15</f>
        <v>0</v>
      </c>
      <c r="V27" s="31">
        <f>unit2020!E15</f>
        <v>0.53</v>
      </c>
      <c r="W27" s="31">
        <f>VLOOKUP(R27,'unit2030-none'!$A$1:$I$52,8,0)</f>
        <v>30</v>
      </c>
      <c r="X27" s="32">
        <f t="shared" si="3"/>
        <v>-127295.09790316071</v>
      </c>
      <c r="Y27" s="32">
        <f t="shared" si="4"/>
        <v>127295.09790316071</v>
      </c>
    </row>
    <row r="28" spans="1:25">
      <c r="A28">
        <v>2042</v>
      </c>
      <c r="B28">
        <f t="shared" si="2"/>
        <v>69.287333333333208</v>
      </c>
      <c r="C28">
        <f t="shared" si="2"/>
        <v>50.384666666666817</v>
      </c>
      <c r="D28">
        <f t="shared" si="2"/>
        <v>33.763199999999955</v>
      </c>
      <c r="E28">
        <f t="shared" si="2"/>
        <v>6.48</v>
      </c>
      <c r="F28">
        <f t="shared" si="2"/>
        <v>41.613066666666782</v>
      </c>
      <c r="G28">
        <f t="shared" si="2"/>
        <v>35.249333333333425</v>
      </c>
      <c r="H28">
        <f t="shared" si="2"/>
        <v>1.69</v>
      </c>
      <c r="I28">
        <f t="shared" si="2"/>
        <v>12.160799999999995</v>
      </c>
      <c r="J28" t="e">
        <f t="shared" si="2"/>
        <v>#N/A</v>
      </c>
      <c r="K28" t="e">
        <f t="shared" si="2"/>
        <v>#N/A</v>
      </c>
      <c r="L28" t="e">
        <f t="shared" si="2"/>
        <v>#N/A</v>
      </c>
      <c r="M28" t="e">
        <f t="shared" si="2"/>
        <v>#N/A</v>
      </c>
      <c r="N28">
        <f t="shared" si="2"/>
        <v>30933370.212667465</v>
      </c>
      <c r="O28" t="e">
        <f t="shared" si="2"/>
        <v>#N/A</v>
      </c>
      <c r="R28" t="str">
        <f>unit2020!A16</f>
        <v>Hydropower_ROR</v>
      </c>
      <c r="S28">
        <f>unit2020!B16</f>
        <v>8000000</v>
      </c>
      <c r="T28">
        <f>unit2020!C16</f>
        <v>100000</v>
      </c>
      <c r="U28">
        <f>unit2020!D16</f>
        <v>0</v>
      </c>
      <c r="V28" s="31">
        <f>unit2020!E16</f>
        <v>0</v>
      </c>
      <c r="W28" s="31">
        <f>VLOOKUP(R28,'unit2030-none'!$A$1:$I$52,8,0)</f>
        <v>20</v>
      </c>
      <c r="X28" s="32">
        <f t="shared" si="3"/>
        <v>-939676.99818036635</v>
      </c>
      <c r="Y28" s="32">
        <f t="shared" si="4"/>
        <v>939676.99818036635</v>
      </c>
    </row>
    <row r="29" spans="1:25">
      <c r="A29">
        <v>2043</v>
      </c>
      <c r="B29">
        <f t="shared" si="2"/>
        <v>70.587666666666792</v>
      </c>
      <c r="C29">
        <f t="shared" si="2"/>
        <v>49.720333333333429</v>
      </c>
      <c r="D29">
        <f t="shared" si="2"/>
        <v>33.646799999999956</v>
      </c>
      <c r="E29">
        <f t="shared" si="2"/>
        <v>6.48</v>
      </c>
      <c r="F29">
        <f t="shared" si="2"/>
        <v>42.285933333333332</v>
      </c>
      <c r="G29">
        <f t="shared" si="2"/>
        <v>36.185666666666748</v>
      </c>
      <c r="H29">
        <f t="shared" si="2"/>
        <v>1.69</v>
      </c>
      <c r="I29">
        <f t="shared" si="2"/>
        <v>12.409199999999998</v>
      </c>
      <c r="J29" t="e">
        <f t="shared" si="2"/>
        <v>#N/A</v>
      </c>
      <c r="K29" t="e">
        <f t="shared" si="2"/>
        <v>#N/A</v>
      </c>
      <c r="L29" t="e">
        <f t="shared" si="2"/>
        <v>#N/A</v>
      </c>
      <c r="M29" t="e">
        <f t="shared" si="2"/>
        <v>#N/A</v>
      </c>
      <c r="N29">
        <f t="shared" si="2"/>
        <v>27066705.222333908</v>
      </c>
      <c r="O29" t="e">
        <f t="shared" si="2"/>
        <v>#N/A</v>
      </c>
    </row>
    <row r="30" spans="1:25">
      <c r="A30">
        <v>2044</v>
      </c>
      <c r="B30">
        <f t="shared" si="2"/>
        <v>71.88799999999992</v>
      </c>
      <c r="C30">
        <f t="shared" si="2"/>
        <v>49.05600000000004</v>
      </c>
      <c r="D30">
        <f t="shared" si="2"/>
        <v>33.530399999999958</v>
      </c>
      <c r="E30">
        <f t="shared" si="2"/>
        <v>6.48</v>
      </c>
      <c r="F30">
        <f t="shared" si="2"/>
        <v>42.95880000000011</v>
      </c>
      <c r="G30">
        <f t="shared" si="2"/>
        <v>37.122000000000071</v>
      </c>
      <c r="H30">
        <f t="shared" si="2"/>
        <v>1.69</v>
      </c>
      <c r="I30">
        <f t="shared" si="2"/>
        <v>12.657600000000002</v>
      </c>
      <c r="J30" t="e">
        <f t="shared" si="2"/>
        <v>#N/A</v>
      </c>
      <c r="K30" t="e">
        <f t="shared" si="2"/>
        <v>#N/A</v>
      </c>
      <c r="L30" t="e">
        <f t="shared" si="2"/>
        <v>#N/A</v>
      </c>
      <c r="M30" t="e">
        <f t="shared" si="2"/>
        <v>#N/A</v>
      </c>
      <c r="N30">
        <f t="shared" si="2"/>
        <v>23200040.232000351</v>
      </c>
      <c r="O30" t="e">
        <f t="shared" si="2"/>
        <v>#N/A</v>
      </c>
      <c r="U30" t="s">
        <v>206</v>
      </c>
      <c r="V30" t="s">
        <v>2</v>
      </c>
      <c r="W30" t="s">
        <v>217</v>
      </c>
    </row>
    <row r="31" spans="1:25">
      <c r="A31">
        <v>2045</v>
      </c>
      <c r="B31">
        <f t="shared" si="2"/>
        <v>73.188333333333503</v>
      </c>
      <c r="C31">
        <f t="shared" si="2"/>
        <v>48.391666666666652</v>
      </c>
      <c r="D31">
        <f t="shared" si="2"/>
        <v>33.413999999999959</v>
      </c>
      <c r="E31">
        <f t="shared" si="2"/>
        <v>6.48</v>
      </c>
      <c r="F31">
        <f>_xlfn.FORECAST.LINEAR($A31,F$3:F$4,$A$3:$A$4)</f>
        <v>43.631666666666661</v>
      </c>
      <c r="G31">
        <f t="shared" si="2"/>
        <v>38.058333333333394</v>
      </c>
      <c r="H31">
        <f t="shared" si="2"/>
        <v>1.69</v>
      </c>
      <c r="I31">
        <f t="shared" si="2"/>
        <v>12.906000000000006</v>
      </c>
      <c r="J31" t="e">
        <f t="shared" si="2"/>
        <v>#N/A</v>
      </c>
      <c r="K31" t="e">
        <f t="shared" si="2"/>
        <v>#N/A</v>
      </c>
      <c r="L31" t="e">
        <f t="shared" si="2"/>
        <v>#N/A</v>
      </c>
      <c r="M31" t="e">
        <f t="shared" si="2"/>
        <v>#N/A</v>
      </c>
      <c r="N31">
        <f t="shared" si="2"/>
        <v>19333375.241666794</v>
      </c>
      <c r="O31" t="e">
        <f t="shared" si="2"/>
        <v>#N/A</v>
      </c>
      <c r="U31">
        <v>2020</v>
      </c>
      <c r="V31" s="10">
        <v>21.732001069450401</v>
      </c>
    </row>
    <row r="32" spans="1:25">
      <c r="A32">
        <v>2046</v>
      </c>
      <c r="B32">
        <f t="shared" si="2"/>
        <v>74.488666666666631</v>
      </c>
      <c r="C32">
        <f t="shared" si="2"/>
        <v>47.72733333333349</v>
      </c>
      <c r="D32">
        <f t="shared" si="2"/>
        <v>33.29759999999996</v>
      </c>
      <c r="E32">
        <f t="shared" si="2"/>
        <v>6.48</v>
      </c>
      <c r="F32">
        <f t="shared" si="2"/>
        <v>44.304533333333438</v>
      </c>
      <c r="G32">
        <f t="shared" si="2"/>
        <v>38.994666666666717</v>
      </c>
      <c r="H32">
        <f t="shared" si="2"/>
        <v>1.69</v>
      </c>
      <c r="I32">
        <f t="shared" si="2"/>
        <v>13.15440000000001</v>
      </c>
      <c r="J32" t="e">
        <f t="shared" si="2"/>
        <v>#N/A</v>
      </c>
      <c r="K32" t="e">
        <f t="shared" si="2"/>
        <v>#N/A</v>
      </c>
      <c r="L32" t="e">
        <f t="shared" si="2"/>
        <v>#N/A</v>
      </c>
      <c r="M32" t="e">
        <f t="shared" si="2"/>
        <v>#N/A</v>
      </c>
      <c r="N32">
        <f t="shared" si="2"/>
        <v>15466710.25133419</v>
      </c>
      <c r="O32" t="e">
        <f t="shared" si="2"/>
        <v>#N/A</v>
      </c>
      <c r="U32">
        <v>2030</v>
      </c>
      <c r="V32" s="10">
        <v>93.340433525848397</v>
      </c>
    </row>
    <row r="33" spans="1:22">
      <c r="A33">
        <v>2047</v>
      </c>
      <c r="B33">
        <f t="shared" si="2"/>
        <v>75.789000000000215</v>
      </c>
      <c r="C33">
        <f t="shared" si="2"/>
        <v>47.063000000000102</v>
      </c>
      <c r="D33">
        <f t="shared" si="2"/>
        <v>33.181199999999961</v>
      </c>
      <c r="E33">
        <f t="shared" si="2"/>
        <v>6.48</v>
      </c>
      <c r="F33">
        <f t="shared" si="2"/>
        <v>44.977399999999989</v>
      </c>
      <c r="G33">
        <f t="shared" si="2"/>
        <v>39.93100000000004</v>
      </c>
      <c r="H33">
        <f t="shared" si="2"/>
        <v>1.69</v>
      </c>
      <c r="I33">
        <f t="shared" si="2"/>
        <v>13.402800000000013</v>
      </c>
      <c r="J33" t="e">
        <f t="shared" si="2"/>
        <v>#N/A</v>
      </c>
      <c r="K33" t="e">
        <f t="shared" si="2"/>
        <v>#N/A</v>
      </c>
      <c r="L33" t="e">
        <f t="shared" si="2"/>
        <v>#N/A</v>
      </c>
      <c r="M33" t="e">
        <f t="shared" si="2"/>
        <v>#N/A</v>
      </c>
      <c r="N33">
        <f t="shared" si="2"/>
        <v>11600045.261000633</v>
      </c>
      <c r="O33" t="e">
        <f t="shared" si="2"/>
        <v>#N/A</v>
      </c>
      <c r="U33">
        <v>2050</v>
      </c>
      <c r="V33" s="10">
        <v>204.27817198389133</v>
      </c>
    </row>
    <row r="34" spans="1:22">
      <c r="A34">
        <v>2048</v>
      </c>
      <c r="B34">
        <f t="shared" si="2"/>
        <v>77.089333333333343</v>
      </c>
      <c r="C34">
        <f t="shared" si="2"/>
        <v>46.398666666666713</v>
      </c>
      <c r="D34">
        <f t="shared" si="2"/>
        <v>33.064799999999963</v>
      </c>
      <c r="E34">
        <f t="shared" si="2"/>
        <v>6.48</v>
      </c>
      <c r="F34">
        <f t="shared" si="2"/>
        <v>45.650266666666766</v>
      </c>
      <c r="G34">
        <f t="shared" si="2"/>
        <v>40.867333333333363</v>
      </c>
      <c r="H34">
        <f t="shared" si="2"/>
        <v>1.69</v>
      </c>
      <c r="I34">
        <f t="shared" si="2"/>
        <v>13.651200000000017</v>
      </c>
      <c r="J34" t="e">
        <f t="shared" si="2"/>
        <v>#N/A</v>
      </c>
      <c r="K34" t="e">
        <f t="shared" si="2"/>
        <v>#N/A</v>
      </c>
      <c r="L34" t="e">
        <f t="shared" si="2"/>
        <v>#N/A</v>
      </c>
      <c r="M34" t="e">
        <f t="shared" si="2"/>
        <v>#N/A</v>
      </c>
      <c r="N34">
        <f t="shared" si="2"/>
        <v>7733380.2706670761</v>
      </c>
      <c r="O34" t="e">
        <f t="shared" si="2"/>
        <v>#N/A</v>
      </c>
      <c r="U34" s="8">
        <f>S17</f>
        <v>2020</v>
      </c>
      <c r="V34" s="8">
        <f>_xlfn.FORECAST.LINEAR(U34,V31:V33,U31:U33)</f>
        <v>26.343304848702246</v>
      </c>
    </row>
    <row r="35" spans="1:22">
      <c r="A35">
        <v>2049</v>
      </c>
      <c r="B35">
        <f t="shared" si="2"/>
        <v>78.389666666666471</v>
      </c>
      <c r="C35">
        <f t="shared" si="2"/>
        <v>45.734333333333325</v>
      </c>
      <c r="D35">
        <f t="shared" si="2"/>
        <v>32.948399999999964</v>
      </c>
      <c r="E35">
        <f t="shared" si="2"/>
        <v>6.48</v>
      </c>
      <c r="F35">
        <f t="shared" si="2"/>
        <v>46.323133333333544</v>
      </c>
      <c r="G35">
        <f t="shared" si="2"/>
        <v>41.803666666666686</v>
      </c>
      <c r="H35">
        <f t="shared" si="2"/>
        <v>1.69</v>
      </c>
      <c r="I35">
        <f t="shared" si="2"/>
        <v>13.899600000000021</v>
      </c>
      <c r="J35" t="e">
        <f t="shared" si="2"/>
        <v>#N/A</v>
      </c>
      <c r="K35" t="e">
        <f t="shared" si="2"/>
        <v>#N/A</v>
      </c>
      <c r="L35" t="e">
        <f t="shared" si="2"/>
        <v>#N/A</v>
      </c>
      <c r="M35" t="e">
        <f t="shared" si="2"/>
        <v>#N/A</v>
      </c>
      <c r="N35">
        <f t="shared" si="2"/>
        <v>3866715.280333519</v>
      </c>
      <c r="O35" t="e">
        <f t="shared" si="2"/>
        <v>#N/A</v>
      </c>
    </row>
    <row r="36" spans="1:22">
      <c r="A36">
        <f>A4</f>
        <v>2050</v>
      </c>
      <c r="B36">
        <f t="shared" ref="B36:O36" si="5">B4</f>
        <v>79.69</v>
      </c>
      <c r="C36">
        <f t="shared" si="5"/>
        <v>45.07</v>
      </c>
      <c r="D36">
        <f t="shared" si="5"/>
        <v>32.832000000000001</v>
      </c>
      <c r="E36">
        <f t="shared" si="5"/>
        <v>6.48</v>
      </c>
      <c r="F36">
        <f t="shared" si="5"/>
        <v>46.996000000000002</v>
      </c>
      <c r="G36">
        <f t="shared" si="5"/>
        <v>42.74</v>
      </c>
      <c r="H36">
        <f t="shared" si="5"/>
        <v>1.69</v>
      </c>
      <c r="I36">
        <f t="shared" si="5"/>
        <v>14.148000000000001</v>
      </c>
      <c r="J36">
        <f t="shared" si="5"/>
        <v>6.7320000000000002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50.29</v>
      </c>
      <c r="O36" t="e">
        <f t="shared" si="5"/>
        <v>#N/A</v>
      </c>
    </row>
    <row r="38" spans="1:22">
      <c r="A38" t="s">
        <v>211</v>
      </c>
    </row>
    <row r="39" spans="1:22">
      <c r="B39" t="s">
        <v>26</v>
      </c>
      <c r="C39" t="s">
        <v>32</v>
      </c>
      <c r="D39" t="s">
        <v>64</v>
      </c>
      <c r="E39" t="s">
        <v>69</v>
      </c>
      <c r="F39" t="s">
        <v>73</v>
      </c>
      <c r="G39" t="s">
        <v>74</v>
      </c>
      <c r="H39" t="s">
        <v>180</v>
      </c>
      <c r="I39" t="s">
        <v>33</v>
      </c>
      <c r="M39" s="29" t="s">
        <v>209</v>
      </c>
    </row>
    <row r="40" spans="1:22">
      <c r="A40" t="s">
        <v>123</v>
      </c>
      <c r="B40">
        <v>2400000</v>
      </c>
      <c r="C40">
        <v>830000</v>
      </c>
      <c r="D40">
        <v>435000</v>
      </c>
      <c r="E40">
        <v>380000</v>
      </c>
      <c r="F40">
        <v>1930000</v>
      </c>
      <c r="G40">
        <v>1040000</v>
      </c>
      <c r="H40">
        <v>284000</v>
      </c>
      <c r="I40">
        <v>1200000</v>
      </c>
      <c r="M40" s="29" t="s">
        <v>210</v>
      </c>
    </row>
    <row r="41" spans="1:22">
      <c r="A41" t="s">
        <v>102</v>
      </c>
      <c r="B41">
        <v>254590.19580632143</v>
      </c>
      <c r="C41">
        <v>88045.776049686159</v>
      </c>
      <c r="D41">
        <v>46144.472989895759</v>
      </c>
      <c r="E41">
        <v>41863.867432207924</v>
      </c>
      <c r="F41">
        <v>204732.94912758347</v>
      </c>
      <c r="G41">
        <v>114574.79507762169</v>
      </c>
      <c r="H41">
        <v>33358.533435403006</v>
      </c>
      <c r="I41">
        <v>127295.09790316071</v>
      </c>
      <c r="M41" s="29" t="s">
        <v>214</v>
      </c>
    </row>
    <row r="42" spans="1:22">
      <c r="A42" t="s">
        <v>122</v>
      </c>
      <c r="B42">
        <v>117000</v>
      </c>
      <c r="C42">
        <v>27800</v>
      </c>
      <c r="D42">
        <v>7745</v>
      </c>
      <c r="E42">
        <v>7250</v>
      </c>
      <c r="F42">
        <v>36053</v>
      </c>
      <c r="G42">
        <v>24000</v>
      </c>
      <c r="H42">
        <v>540</v>
      </c>
      <c r="I42">
        <v>0</v>
      </c>
    </row>
    <row r="43" spans="1:22">
      <c r="A43" t="s">
        <v>119</v>
      </c>
      <c r="B43">
        <v>1.9</v>
      </c>
      <c r="C43">
        <v>4.2</v>
      </c>
      <c r="D43">
        <v>4.5</v>
      </c>
      <c r="E43">
        <v>0</v>
      </c>
      <c r="F43">
        <v>2.7</v>
      </c>
      <c r="G43">
        <v>1.35</v>
      </c>
      <c r="H43">
        <v>1.8</v>
      </c>
      <c r="I43">
        <v>0</v>
      </c>
    </row>
    <row r="44" spans="1:22">
      <c r="A44" t="s">
        <v>212</v>
      </c>
      <c r="B44">
        <v>0.309</v>
      </c>
      <c r="C44">
        <v>0.61</v>
      </c>
      <c r="D44">
        <v>0.43</v>
      </c>
      <c r="E44">
        <v>1</v>
      </c>
      <c r="F44">
        <v>1</v>
      </c>
      <c r="G44">
        <v>1</v>
      </c>
      <c r="H44">
        <v>0.9</v>
      </c>
      <c r="I44">
        <v>0.53</v>
      </c>
    </row>
    <row r="45" spans="1:22">
      <c r="A45" t="s">
        <v>213</v>
      </c>
      <c r="B45">
        <v>0</v>
      </c>
      <c r="C45">
        <v>0.20195983840000001</v>
      </c>
      <c r="D45">
        <v>0.20195983840000001</v>
      </c>
      <c r="E45">
        <v>0</v>
      </c>
      <c r="F45">
        <v>0</v>
      </c>
      <c r="G45">
        <v>0</v>
      </c>
      <c r="H45">
        <v>0</v>
      </c>
      <c r="I45">
        <v>0.20195983840000001</v>
      </c>
    </row>
    <row r="46" spans="1:22">
      <c r="A46" t="s">
        <v>219</v>
      </c>
    </row>
    <row r="47" spans="1:22">
      <c r="A47" s="8">
        <f>S17</f>
        <v>2020</v>
      </c>
      <c r="B47" s="8" t="e">
        <f>VLOOKUP($A$47,$A$48:$I$78,2,0)</f>
        <v>#N/A</v>
      </c>
      <c r="C47" s="8">
        <f>VLOOKUP($A$47,$A$48:$I$78,3,0)</f>
        <v>38.473152333605341</v>
      </c>
      <c r="D47" s="8">
        <f>VLOOKUP($A$47,$A$48:$I$78,4,0)</f>
        <v>53.120053310463391</v>
      </c>
      <c r="E47" s="8">
        <f>VLOOKUP($A$47,$A$48:$I$78,5,0)</f>
        <v>0</v>
      </c>
      <c r="F47" s="8">
        <f>VLOOKUP($A$47,$A$48:$I$78,6,0)</f>
        <v>2.7</v>
      </c>
      <c r="G47" s="8">
        <f>VLOOKUP($A$47,$A$48:$I$78,7,0)</f>
        <v>1.35</v>
      </c>
      <c r="H47" s="8">
        <f>VLOOKUP($A$47,$A$48:$I$78,8,0)</f>
        <v>1.8</v>
      </c>
      <c r="I47" s="8">
        <f>VLOOKUP($A$47,$A$48:$I$78,9,0)</f>
        <v>39.446458346225008</v>
      </c>
      <c r="N47" t="str">
        <f>B39</f>
        <v>Biomass_CHP_wood_pellets_DH</v>
      </c>
      <c r="O47" t="str">
        <f t="shared" ref="O47:U47" si="6">C39</f>
        <v>CCGT</v>
      </c>
      <c r="P47" t="str">
        <f t="shared" si="6"/>
        <v>OCGT</v>
      </c>
      <c r="Q47" t="str">
        <f t="shared" si="6"/>
        <v>PV_utility_systems</v>
      </c>
      <c r="R47" t="str">
        <f t="shared" si="6"/>
        <v>WTG_offshore</v>
      </c>
      <c r="S47" t="str">
        <f t="shared" si="6"/>
        <v>WTG_onshore</v>
      </c>
      <c r="T47" t="str">
        <f t="shared" si="6"/>
        <v>Lithium_ion_battery</v>
      </c>
      <c r="U47" t="str">
        <f t="shared" si="6"/>
        <v>CCGT_CHP_backpressure_DH</v>
      </c>
    </row>
    <row r="48" spans="1:22">
      <c r="A48" s="7">
        <f>A6</f>
        <v>2020</v>
      </c>
      <c r="B48" s="7" t="e">
        <f t="shared" ref="B48:B78" si="7">B$43+($L7+B$45*$V$34)/B$44</f>
        <v>#N/A</v>
      </c>
      <c r="C48" s="7">
        <f t="shared" ref="C48:D48" si="8">C$43+($G7+C$45*$V$34)/C$44</f>
        <v>38.473152333605341</v>
      </c>
      <c r="D48" s="7">
        <f t="shared" si="8"/>
        <v>53.120053310463391</v>
      </c>
      <c r="E48" s="7">
        <f t="shared" ref="E48:H78" si="9">E$43+(E$45*$V$34)/E$44</f>
        <v>0</v>
      </c>
      <c r="F48" s="7">
        <f t="shared" si="9"/>
        <v>2.7</v>
      </c>
      <c r="G48" s="7">
        <f t="shared" si="9"/>
        <v>1.35</v>
      </c>
      <c r="H48" s="7">
        <f t="shared" si="9"/>
        <v>1.8</v>
      </c>
      <c r="I48" s="7">
        <f t="shared" ref="I48:I78" si="10">I$43+($G7+I$45*$V$34)/I$44</f>
        <v>39.446458346225008</v>
      </c>
      <c r="M48">
        <v>0</v>
      </c>
      <c r="N48" t="e">
        <f t="shared" ref="N48:N77" si="11">$M48*B$47 + B$42+B$41</f>
        <v>#N/A</v>
      </c>
      <c r="O48">
        <f t="shared" ref="O48:O77" si="12">$M48*C$47 + C$42+C$41</f>
        <v>115845.77604968616</v>
      </c>
      <c r="P48">
        <f t="shared" ref="P48:P77" si="13">$M48*D$47 + D$42+D$41</f>
        <v>53889.472989895759</v>
      </c>
      <c r="Q48">
        <f t="shared" ref="Q48:Q77" si="14">$M48*E$47 + E$42+E$41</f>
        <v>49113.867432207924</v>
      </c>
      <c r="R48">
        <f t="shared" ref="R48:R77" si="15">$M48*F$47 + F$42+F$41</f>
        <v>240785.94912758347</v>
      </c>
      <c r="S48">
        <f t="shared" ref="S48:S77" si="16">$M48*G$47 + G$42+G$41</f>
        <v>138574.7950776217</v>
      </c>
      <c r="T48">
        <f t="shared" ref="T48:T77" si="17">$M48*H$47 + H$42+H$41</f>
        <v>33898.533435403006</v>
      </c>
      <c r="U48">
        <f t="shared" ref="U48:U77" si="18">$M48*I$47 + I$42+I$41</f>
        <v>127295.09790316071</v>
      </c>
    </row>
    <row r="49" spans="1:21">
      <c r="A49" s="7">
        <f t="shared" ref="A49:A78" si="19">A7</f>
        <v>2021</v>
      </c>
      <c r="B49" s="7" t="e">
        <f t="shared" si="7"/>
        <v>#N/A</v>
      </c>
      <c r="C49" s="7">
        <f t="shared" ref="C49:D49" si="20">C$43+($G8+C$45*$V$34)/C$44</f>
        <v>40.008125011200953</v>
      </c>
      <c r="D49" s="7">
        <f t="shared" si="20"/>
        <v>55.297572690308321</v>
      </c>
      <c r="E49" s="7">
        <f t="shared" si="9"/>
        <v>0</v>
      </c>
      <c r="F49" s="7">
        <f t="shared" si="9"/>
        <v>2.7</v>
      </c>
      <c r="G49" s="7">
        <f t="shared" si="9"/>
        <v>1.35</v>
      </c>
      <c r="H49" s="7">
        <f t="shared" si="9"/>
        <v>1.8</v>
      </c>
      <c r="I49" s="7">
        <f t="shared" si="10"/>
        <v>41.213125012891659</v>
      </c>
      <c r="M49">
        <v>300</v>
      </c>
      <c r="N49" t="e">
        <f t="shared" si="11"/>
        <v>#N/A</v>
      </c>
      <c r="O49">
        <f t="shared" si="12"/>
        <v>127387.72174976776</v>
      </c>
      <c r="P49">
        <f t="shared" si="13"/>
        <v>69825.488983034767</v>
      </c>
      <c r="Q49">
        <f t="shared" si="14"/>
        <v>49113.867432207924</v>
      </c>
      <c r="R49">
        <f t="shared" si="15"/>
        <v>241595.94912758347</v>
      </c>
      <c r="S49">
        <f t="shared" si="16"/>
        <v>138979.7950776217</v>
      </c>
      <c r="T49">
        <f t="shared" si="17"/>
        <v>34438.533435403006</v>
      </c>
      <c r="U49">
        <f t="shared" si="18"/>
        <v>139129.03540702822</v>
      </c>
    </row>
    <row r="50" spans="1:21">
      <c r="A50" s="7">
        <f t="shared" si="19"/>
        <v>2022</v>
      </c>
      <c r="B50" s="7" t="e">
        <f t="shared" si="7"/>
        <v>#N/A</v>
      </c>
      <c r="C50" s="7">
        <f t="shared" ref="C50:D50" si="21">C$43+($G9+C$45*$V$34)/C$44</f>
        <v>41.543097688796564</v>
      </c>
      <c r="D50" s="7">
        <f t="shared" si="21"/>
        <v>57.475092070153259</v>
      </c>
      <c r="E50" s="7">
        <f>E$43+(E$45*$V$34)/E$44</f>
        <v>0</v>
      </c>
      <c r="F50" s="7">
        <f t="shared" si="9"/>
        <v>2.7</v>
      </c>
      <c r="G50" s="7">
        <f t="shared" si="9"/>
        <v>1.35</v>
      </c>
      <c r="H50" s="7">
        <f t="shared" si="9"/>
        <v>1.8</v>
      </c>
      <c r="I50" s="7">
        <f t="shared" si="10"/>
        <v>42.979791679558303</v>
      </c>
      <c r="M50">
        <v>600</v>
      </c>
      <c r="N50" t="e">
        <f t="shared" si="11"/>
        <v>#N/A</v>
      </c>
      <c r="O50">
        <f t="shared" si="12"/>
        <v>138929.66744984937</v>
      </c>
      <c r="P50">
        <f t="shared" si="13"/>
        <v>85761.50497617379</v>
      </c>
      <c r="Q50">
        <f t="shared" si="14"/>
        <v>49113.867432207924</v>
      </c>
      <c r="R50">
        <f t="shared" si="15"/>
        <v>242405.94912758347</v>
      </c>
      <c r="S50">
        <f t="shared" si="16"/>
        <v>139384.7950776217</v>
      </c>
      <c r="T50">
        <f t="shared" si="17"/>
        <v>34978.533435403006</v>
      </c>
      <c r="U50">
        <f t="shared" si="18"/>
        <v>150962.97291089571</v>
      </c>
    </row>
    <row r="51" spans="1:21">
      <c r="A51" s="7">
        <f t="shared" si="19"/>
        <v>2023</v>
      </c>
      <c r="B51" s="7" t="e">
        <f t="shared" si="7"/>
        <v>#N/A</v>
      </c>
      <c r="C51" s="7">
        <f t="shared" ref="C51:D51" si="22">C$43+($G10+C$45*$V$34)/C$44</f>
        <v>43.078070366392176</v>
      </c>
      <c r="D51" s="7">
        <f t="shared" si="22"/>
        <v>59.652611449998197</v>
      </c>
      <c r="E51" s="7">
        <f t="shared" si="9"/>
        <v>0</v>
      </c>
      <c r="F51" s="7">
        <f t="shared" si="9"/>
        <v>2.7</v>
      </c>
      <c r="G51" s="7">
        <f t="shared" si="9"/>
        <v>1.35</v>
      </c>
      <c r="H51" s="7">
        <f t="shared" si="9"/>
        <v>1.8</v>
      </c>
      <c r="I51" s="7">
        <f t="shared" si="10"/>
        <v>44.746458346224948</v>
      </c>
      <c r="M51">
        <v>900</v>
      </c>
      <c r="N51" t="e">
        <f t="shared" si="11"/>
        <v>#N/A</v>
      </c>
      <c r="O51">
        <f t="shared" si="12"/>
        <v>150471.61314993096</v>
      </c>
      <c r="P51">
        <f t="shared" si="13"/>
        <v>101697.52096931281</v>
      </c>
      <c r="Q51">
        <f t="shared" si="14"/>
        <v>49113.867432207924</v>
      </c>
      <c r="R51">
        <f t="shared" si="15"/>
        <v>243215.94912758347</v>
      </c>
      <c r="S51">
        <f t="shared" si="16"/>
        <v>139789.7950776217</v>
      </c>
      <c r="T51">
        <f t="shared" si="17"/>
        <v>35518.533435403006</v>
      </c>
      <c r="U51">
        <f t="shared" si="18"/>
        <v>162796.9104147632</v>
      </c>
    </row>
    <row r="52" spans="1:21">
      <c r="A52" s="7">
        <f t="shared" si="19"/>
        <v>2024</v>
      </c>
      <c r="B52" s="7" t="e">
        <f t="shared" si="7"/>
        <v>#N/A</v>
      </c>
      <c r="C52" s="7">
        <f>C$43+($G11+C$45*$V$34)/C$44</f>
        <v>44.613043043987787</v>
      </c>
      <c r="D52" s="7">
        <f t="shared" ref="D52" si="23">D$43+($G11+D$45*$V$34)/D$44</f>
        <v>61.830130829843135</v>
      </c>
      <c r="E52" s="7">
        <f t="shared" si="9"/>
        <v>0</v>
      </c>
      <c r="F52" s="7">
        <f t="shared" si="9"/>
        <v>2.7</v>
      </c>
      <c r="G52" s="7">
        <f t="shared" si="9"/>
        <v>1.35</v>
      </c>
      <c r="H52" s="7">
        <f t="shared" si="9"/>
        <v>1.8</v>
      </c>
      <c r="I52" s="7">
        <f t="shared" si="10"/>
        <v>46.513125012891599</v>
      </c>
      <c r="M52">
        <v>1200</v>
      </c>
      <c r="N52" t="e">
        <f t="shared" si="11"/>
        <v>#N/A</v>
      </c>
      <c r="O52">
        <f t="shared" si="12"/>
        <v>162013.55885001257</v>
      </c>
      <c r="P52">
        <f t="shared" si="13"/>
        <v>117633.53696245182</v>
      </c>
      <c r="Q52">
        <f t="shared" si="14"/>
        <v>49113.867432207924</v>
      </c>
      <c r="R52">
        <f t="shared" si="15"/>
        <v>244025.94912758347</v>
      </c>
      <c r="S52">
        <f t="shared" si="16"/>
        <v>140194.7950776217</v>
      </c>
      <c r="T52">
        <f t="shared" si="17"/>
        <v>36058.533435403006</v>
      </c>
      <c r="U52">
        <f t="shared" si="18"/>
        <v>174630.84791863072</v>
      </c>
    </row>
    <row r="53" spans="1:21">
      <c r="A53" s="7">
        <f t="shared" si="19"/>
        <v>2025</v>
      </c>
      <c r="B53" s="7" t="e">
        <f t="shared" si="7"/>
        <v>#N/A</v>
      </c>
      <c r="C53" s="7">
        <f t="shared" ref="C53" si="24">C$43+($G12+C$45*$V$34)/C$44</f>
        <v>46.148015721583398</v>
      </c>
      <c r="D53" s="7">
        <f>D$43+($G12+D$45*$V$34)/D$44</f>
        <v>64.00765020968808</v>
      </c>
      <c r="E53" s="7">
        <f t="shared" si="9"/>
        <v>0</v>
      </c>
      <c r="F53" s="7">
        <f t="shared" si="9"/>
        <v>2.7</v>
      </c>
      <c r="G53" s="7">
        <f t="shared" si="9"/>
        <v>1.35</v>
      </c>
      <c r="H53" s="7">
        <f t="shared" si="9"/>
        <v>1.8</v>
      </c>
      <c r="I53" s="7">
        <f t="shared" si="10"/>
        <v>48.279791679558244</v>
      </c>
      <c r="M53">
        <v>1500</v>
      </c>
      <c r="N53" t="e">
        <f t="shared" si="11"/>
        <v>#N/A</v>
      </c>
      <c r="O53">
        <f t="shared" si="12"/>
        <v>173555.50455009416</v>
      </c>
      <c r="P53">
        <f t="shared" si="13"/>
        <v>133569.55295559083</v>
      </c>
      <c r="Q53">
        <f t="shared" si="14"/>
        <v>49113.867432207924</v>
      </c>
      <c r="R53">
        <f t="shared" si="15"/>
        <v>244835.94912758347</v>
      </c>
      <c r="S53">
        <f t="shared" si="16"/>
        <v>140599.7950776217</v>
      </c>
      <c r="T53">
        <f t="shared" si="17"/>
        <v>36598.533435403006</v>
      </c>
      <c r="U53">
        <f t="shared" si="18"/>
        <v>186464.78542249821</v>
      </c>
    </row>
    <row r="54" spans="1:21">
      <c r="A54" s="7">
        <f t="shared" si="19"/>
        <v>2026</v>
      </c>
      <c r="B54" s="7" t="e">
        <f t="shared" si="7"/>
        <v>#N/A</v>
      </c>
      <c r="C54" s="7">
        <f t="shared" ref="C54:D54" si="25">C$43+($G13+C$45*$V$34)/C$44</f>
        <v>47.68298839917901</v>
      </c>
      <c r="D54" s="7">
        <f t="shared" si="25"/>
        <v>66.185169589533018</v>
      </c>
      <c r="E54" s="7">
        <f t="shared" si="9"/>
        <v>0</v>
      </c>
      <c r="F54" s="7">
        <f t="shared" si="9"/>
        <v>2.7</v>
      </c>
      <c r="G54" s="7">
        <f t="shared" si="9"/>
        <v>1.35</v>
      </c>
      <c r="H54" s="7">
        <f t="shared" si="9"/>
        <v>1.8</v>
      </c>
      <c r="I54" s="7">
        <f t="shared" si="10"/>
        <v>50.046458346224895</v>
      </c>
      <c r="M54">
        <v>1800</v>
      </c>
      <c r="N54" t="e">
        <f t="shared" si="11"/>
        <v>#N/A</v>
      </c>
      <c r="O54">
        <f t="shared" si="12"/>
        <v>185097.45025017578</v>
      </c>
      <c r="P54">
        <f t="shared" si="13"/>
        <v>149505.56894872987</v>
      </c>
      <c r="Q54">
        <f t="shared" si="14"/>
        <v>49113.867432207924</v>
      </c>
      <c r="R54">
        <f t="shared" si="15"/>
        <v>245645.94912758347</v>
      </c>
      <c r="S54">
        <f t="shared" si="16"/>
        <v>141004.7950776217</v>
      </c>
      <c r="T54">
        <f t="shared" si="17"/>
        <v>37138.533435403006</v>
      </c>
      <c r="U54">
        <f t="shared" si="18"/>
        <v>198298.72292636574</v>
      </c>
    </row>
    <row r="55" spans="1:21">
      <c r="A55" s="7">
        <f t="shared" si="19"/>
        <v>2027</v>
      </c>
      <c r="B55" s="7" t="e">
        <f t="shared" si="7"/>
        <v>#N/A</v>
      </c>
      <c r="C55" s="7">
        <f t="shared" ref="C55:D55" si="26">C$43+($G14+C$45*$V$34)/C$44</f>
        <v>49.217961076774621</v>
      </c>
      <c r="D55" s="7">
        <f t="shared" si="26"/>
        <v>68.362688969377956</v>
      </c>
      <c r="E55" s="7">
        <f t="shared" si="9"/>
        <v>0</v>
      </c>
      <c r="F55" s="7">
        <f t="shared" si="9"/>
        <v>2.7</v>
      </c>
      <c r="G55" s="7">
        <f t="shared" si="9"/>
        <v>1.35</v>
      </c>
      <c r="H55" s="7">
        <f t="shared" si="9"/>
        <v>1.8</v>
      </c>
      <c r="I55" s="7">
        <f t="shared" si="10"/>
        <v>51.81312501289154</v>
      </c>
      <c r="M55">
        <v>2100</v>
      </c>
      <c r="N55" t="e">
        <f t="shared" si="11"/>
        <v>#N/A</v>
      </c>
      <c r="O55">
        <f t="shared" si="12"/>
        <v>196639.39595025737</v>
      </c>
      <c r="P55">
        <f t="shared" si="13"/>
        <v>165441.58494186887</v>
      </c>
      <c r="Q55">
        <f t="shared" si="14"/>
        <v>49113.867432207924</v>
      </c>
      <c r="R55">
        <f t="shared" si="15"/>
        <v>246455.94912758347</v>
      </c>
      <c r="S55">
        <f t="shared" si="16"/>
        <v>141409.7950776217</v>
      </c>
      <c r="T55">
        <f t="shared" si="17"/>
        <v>37678.533435403006</v>
      </c>
      <c r="U55">
        <f t="shared" si="18"/>
        <v>210132.66043023323</v>
      </c>
    </row>
    <row r="56" spans="1:21">
      <c r="A56" s="7">
        <f t="shared" si="19"/>
        <v>2028</v>
      </c>
      <c r="B56" s="7" t="e">
        <f t="shared" si="7"/>
        <v>#N/A</v>
      </c>
      <c r="C56" s="7">
        <f t="shared" ref="C56:D56" si="27">C$43+($G15+C$45*$V$34)/C$44</f>
        <v>50.752933754370233</v>
      </c>
      <c r="D56" s="7">
        <f t="shared" si="27"/>
        <v>70.54020834922288</v>
      </c>
      <c r="E56" s="7">
        <f t="shared" si="9"/>
        <v>0</v>
      </c>
      <c r="F56" s="7">
        <f t="shared" si="9"/>
        <v>2.7</v>
      </c>
      <c r="G56" s="7">
        <f t="shared" si="9"/>
        <v>1.35</v>
      </c>
      <c r="H56" s="7">
        <f t="shared" si="9"/>
        <v>1.8</v>
      </c>
      <c r="I56" s="7">
        <f t="shared" si="10"/>
        <v>53.579791679558184</v>
      </c>
      <c r="M56">
        <v>2400</v>
      </c>
      <c r="N56" t="e">
        <f t="shared" si="11"/>
        <v>#N/A</v>
      </c>
      <c r="O56">
        <f t="shared" si="12"/>
        <v>208181.34165033896</v>
      </c>
      <c r="P56">
        <f t="shared" si="13"/>
        <v>181377.60093500788</v>
      </c>
      <c r="Q56">
        <f t="shared" si="14"/>
        <v>49113.867432207924</v>
      </c>
      <c r="R56">
        <f t="shared" si="15"/>
        <v>247265.94912758347</v>
      </c>
      <c r="S56">
        <f t="shared" si="16"/>
        <v>141814.7950776217</v>
      </c>
      <c r="T56">
        <f t="shared" si="17"/>
        <v>38218.533435403006</v>
      </c>
      <c r="U56">
        <f t="shared" si="18"/>
        <v>221966.59793410072</v>
      </c>
    </row>
    <row r="57" spans="1:21">
      <c r="A57" s="7">
        <f t="shared" si="19"/>
        <v>2029</v>
      </c>
      <c r="B57" s="7" t="e">
        <f t="shared" si="7"/>
        <v>#N/A</v>
      </c>
      <c r="C57" s="7">
        <f t="shared" ref="C57:D57" si="28">C$43+($G16+C$45*$V$34)/C$44</f>
        <v>52.287906431965844</v>
      </c>
      <c r="D57" s="7">
        <f t="shared" si="28"/>
        <v>72.717727729067818</v>
      </c>
      <c r="E57" s="7">
        <f t="shared" si="9"/>
        <v>0</v>
      </c>
      <c r="F57" s="7">
        <f t="shared" si="9"/>
        <v>2.7</v>
      </c>
      <c r="G57" s="7">
        <f t="shared" si="9"/>
        <v>1.35</v>
      </c>
      <c r="H57" s="7">
        <f t="shared" si="9"/>
        <v>1.8</v>
      </c>
      <c r="I57" s="7">
        <f t="shared" si="10"/>
        <v>55.346458346224836</v>
      </c>
      <c r="M57">
        <v>2700</v>
      </c>
      <c r="N57" t="e">
        <f t="shared" si="11"/>
        <v>#N/A</v>
      </c>
      <c r="O57">
        <f t="shared" si="12"/>
        <v>219723.28735042058</v>
      </c>
      <c r="P57">
        <f t="shared" si="13"/>
        <v>197313.61692814692</v>
      </c>
      <c r="Q57">
        <f t="shared" si="14"/>
        <v>49113.867432207924</v>
      </c>
      <c r="R57">
        <f t="shared" si="15"/>
        <v>248075.94912758347</v>
      </c>
      <c r="S57">
        <f t="shared" si="16"/>
        <v>142219.7950776217</v>
      </c>
      <c r="T57">
        <f t="shared" si="17"/>
        <v>38758.533435403006</v>
      </c>
      <c r="U57">
        <f t="shared" si="18"/>
        <v>233800.53543796824</v>
      </c>
    </row>
    <row r="58" spans="1:21">
      <c r="A58" s="7">
        <f t="shared" si="19"/>
        <v>2030</v>
      </c>
      <c r="B58" s="7" t="e">
        <f t="shared" si="7"/>
        <v>#N/A</v>
      </c>
      <c r="C58" s="7">
        <f t="shared" ref="C58:D58" si="29">C$43+($G17+C$45*$V$34)/C$44</f>
        <v>53.822879109561455</v>
      </c>
      <c r="D58" s="7">
        <f t="shared" si="29"/>
        <v>74.895247108912756</v>
      </c>
      <c r="E58" s="7">
        <f t="shared" si="9"/>
        <v>0</v>
      </c>
      <c r="F58" s="7">
        <f t="shared" si="9"/>
        <v>2.7</v>
      </c>
      <c r="G58" s="7">
        <f t="shared" si="9"/>
        <v>1.35</v>
      </c>
      <c r="H58" s="7">
        <f t="shared" si="9"/>
        <v>1.8</v>
      </c>
      <c r="I58" s="7">
        <f t="shared" si="10"/>
        <v>57.11312501289148</v>
      </c>
      <c r="M58">
        <v>3000</v>
      </c>
      <c r="N58" t="e">
        <f t="shared" si="11"/>
        <v>#N/A</v>
      </c>
      <c r="O58">
        <f t="shared" si="12"/>
        <v>231265.23305050217</v>
      </c>
      <c r="P58">
        <f t="shared" si="13"/>
        <v>213249.63292128593</v>
      </c>
      <c r="Q58">
        <f t="shared" si="14"/>
        <v>49113.867432207924</v>
      </c>
      <c r="R58">
        <f t="shared" si="15"/>
        <v>248885.94912758347</v>
      </c>
      <c r="S58">
        <f t="shared" si="16"/>
        <v>142624.7950776217</v>
      </c>
      <c r="T58">
        <f t="shared" si="17"/>
        <v>39298.533435403006</v>
      </c>
      <c r="U58">
        <f t="shared" si="18"/>
        <v>245634.47294183573</v>
      </c>
    </row>
    <row r="59" spans="1:21">
      <c r="A59" s="7">
        <f t="shared" si="19"/>
        <v>2031</v>
      </c>
      <c r="B59" s="7" t="e">
        <f t="shared" si="7"/>
        <v>#N/A</v>
      </c>
      <c r="C59" s="7">
        <f t="shared" ref="C59:D59" si="30">C$43+($G18+C$45*$V$34)/C$44</f>
        <v>55.357851787157067</v>
      </c>
      <c r="D59" s="7">
        <f t="shared" si="30"/>
        <v>77.072766488757694</v>
      </c>
      <c r="E59" s="7">
        <f t="shared" si="9"/>
        <v>0</v>
      </c>
      <c r="F59" s="7">
        <f t="shared" si="9"/>
        <v>2.7</v>
      </c>
      <c r="G59" s="7">
        <f t="shared" si="9"/>
        <v>1.35</v>
      </c>
      <c r="H59" s="7">
        <f t="shared" si="9"/>
        <v>1.8</v>
      </c>
      <c r="I59" s="7">
        <f t="shared" si="10"/>
        <v>58.879791679558132</v>
      </c>
      <c r="M59">
        <v>3300</v>
      </c>
      <c r="N59" t="e">
        <f t="shared" si="11"/>
        <v>#N/A</v>
      </c>
      <c r="O59">
        <f t="shared" si="12"/>
        <v>242807.17875058379</v>
      </c>
      <c r="P59">
        <f t="shared" si="13"/>
        <v>229185.64891442494</v>
      </c>
      <c r="Q59">
        <f t="shared" si="14"/>
        <v>49113.867432207924</v>
      </c>
      <c r="R59">
        <f t="shared" si="15"/>
        <v>249695.94912758347</v>
      </c>
      <c r="S59">
        <f t="shared" si="16"/>
        <v>143029.7950776217</v>
      </c>
      <c r="T59">
        <f t="shared" si="17"/>
        <v>39838.533435403006</v>
      </c>
      <c r="U59">
        <f t="shared" si="18"/>
        <v>257468.41044570325</v>
      </c>
    </row>
    <row r="60" spans="1:21">
      <c r="A60" s="7">
        <f t="shared" si="19"/>
        <v>2032</v>
      </c>
      <c r="B60" s="7" t="e">
        <f t="shared" si="7"/>
        <v>#N/A</v>
      </c>
      <c r="C60" s="7">
        <f t="shared" ref="C60:D60" si="31">C$43+($G19+C$45*$V$34)/C$44</f>
        <v>56.892824464752678</v>
      </c>
      <c r="D60" s="7">
        <f t="shared" si="31"/>
        <v>79.250285868602631</v>
      </c>
      <c r="E60" s="7">
        <f t="shared" si="9"/>
        <v>0</v>
      </c>
      <c r="F60" s="7">
        <f t="shared" si="9"/>
        <v>2.7</v>
      </c>
      <c r="G60" s="7">
        <f t="shared" si="9"/>
        <v>1.35</v>
      </c>
      <c r="H60" s="7">
        <f t="shared" si="9"/>
        <v>1.8</v>
      </c>
      <c r="I60" s="7">
        <f t="shared" si="10"/>
        <v>60.646458346224776</v>
      </c>
      <c r="M60">
        <v>3600</v>
      </c>
      <c r="N60" t="e">
        <f t="shared" si="11"/>
        <v>#N/A</v>
      </c>
      <c r="O60">
        <f t="shared" si="12"/>
        <v>254349.12445066537</v>
      </c>
      <c r="P60">
        <f t="shared" si="13"/>
        <v>245121.66490756397</v>
      </c>
      <c r="Q60">
        <f t="shared" si="14"/>
        <v>49113.867432207924</v>
      </c>
      <c r="R60">
        <f t="shared" si="15"/>
        <v>250505.94912758347</v>
      </c>
      <c r="S60">
        <f t="shared" si="16"/>
        <v>143434.7950776217</v>
      </c>
      <c r="T60">
        <f t="shared" si="17"/>
        <v>40378.533435403006</v>
      </c>
      <c r="U60">
        <f t="shared" si="18"/>
        <v>269302.34794957074</v>
      </c>
    </row>
    <row r="61" spans="1:21">
      <c r="A61" s="7">
        <f t="shared" si="19"/>
        <v>2033</v>
      </c>
      <c r="B61" s="7" t="e">
        <f t="shared" si="7"/>
        <v>#N/A</v>
      </c>
      <c r="C61" s="7">
        <f t="shared" ref="C61:D61" si="32">C$43+($G20+C$45*$V$34)/C$44</f>
        <v>58.42779714234829</v>
      </c>
      <c r="D61" s="7">
        <f t="shared" si="32"/>
        <v>81.427805248447569</v>
      </c>
      <c r="E61" s="7">
        <f t="shared" si="9"/>
        <v>0</v>
      </c>
      <c r="F61" s="7">
        <f t="shared" si="9"/>
        <v>2.7</v>
      </c>
      <c r="G61" s="7">
        <f t="shared" si="9"/>
        <v>1.35</v>
      </c>
      <c r="H61" s="7">
        <f t="shared" si="9"/>
        <v>1.8</v>
      </c>
      <c r="I61" s="7">
        <f t="shared" si="10"/>
        <v>62.41312501289142</v>
      </c>
      <c r="M61">
        <v>3900</v>
      </c>
      <c r="N61" t="e">
        <f t="shared" si="11"/>
        <v>#N/A</v>
      </c>
      <c r="O61">
        <f t="shared" si="12"/>
        <v>265891.07015074696</v>
      </c>
      <c r="P61">
        <f t="shared" si="13"/>
        <v>261057.68090070298</v>
      </c>
      <c r="Q61">
        <f t="shared" si="14"/>
        <v>49113.867432207924</v>
      </c>
      <c r="R61">
        <f t="shared" si="15"/>
        <v>251315.94912758347</v>
      </c>
      <c r="S61">
        <f t="shared" si="16"/>
        <v>143839.7950776217</v>
      </c>
      <c r="T61">
        <f t="shared" si="17"/>
        <v>40918.533435403006</v>
      </c>
      <c r="U61">
        <f t="shared" si="18"/>
        <v>281136.28545343823</v>
      </c>
    </row>
    <row r="62" spans="1:21">
      <c r="A62" s="7">
        <f t="shared" si="19"/>
        <v>2034</v>
      </c>
      <c r="B62" s="7" t="e">
        <f t="shared" si="7"/>
        <v>#N/A</v>
      </c>
      <c r="C62" s="7">
        <f t="shared" ref="C62:D62" si="33">C$43+($G21+C$45*$V$34)/C$44</f>
        <v>59.962769819943901</v>
      </c>
      <c r="D62" s="7">
        <f t="shared" si="33"/>
        <v>83.605324628292507</v>
      </c>
      <c r="E62" s="7">
        <f t="shared" si="9"/>
        <v>0</v>
      </c>
      <c r="F62" s="7">
        <f t="shared" si="9"/>
        <v>2.7</v>
      </c>
      <c r="G62" s="7">
        <f t="shared" si="9"/>
        <v>1.35</v>
      </c>
      <c r="H62" s="7">
        <f t="shared" si="9"/>
        <v>1.8</v>
      </c>
      <c r="I62" s="7">
        <f t="shared" si="10"/>
        <v>64.179791679558065</v>
      </c>
      <c r="M62">
        <v>4200</v>
      </c>
      <c r="N62" t="e">
        <f t="shared" si="11"/>
        <v>#N/A</v>
      </c>
      <c r="O62">
        <f t="shared" si="12"/>
        <v>277433.01585082861</v>
      </c>
      <c r="P62">
        <f t="shared" si="13"/>
        <v>276993.69689384196</v>
      </c>
      <c r="Q62">
        <f t="shared" si="14"/>
        <v>49113.867432207924</v>
      </c>
      <c r="R62">
        <f t="shared" si="15"/>
        <v>252125.94912758347</v>
      </c>
      <c r="S62">
        <f t="shared" si="16"/>
        <v>144244.7950776217</v>
      </c>
      <c r="T62">
        <f t="shared" si="17"/>
        <v>41458.533435403006</v>
      </c>
      <c r="U62">
        <f t="shared" si="18"/>
        <v>292970.22295730573</v>
      </c>
    </row>
    <row r="63" spans="1:21">
      <c r="A63" s="7">
        <f t="shared" si="19"/>
        <v>2035</v>
      </c>
      <c r="B63" s="7" t="e">
        <f t="shared" si="7"/>
        <v>#N/A</v>
      </c>
      <c r="C63" s="7">
        <f t="shared" ref="C63:D63" si="34">C$43+($G22+C$45*$V$34)/C$44</f>
        <v>61.497742497539512</v>
      </c>
      <c r="D63" s="7">
        <f t="shared" si="34"/>
        <v>85.782844008137445</v>
      </c>
      <c r="E63" s="7">
        <f t="shared" si="9"/>
        <v>0</v>
      </c>
      <c r="F63" s="7">
        <f t="shared" si="9"/>
        <v>2.7</v>
      </c>
      <c r="G63" s="7">
        <f t="shared" si="9"/>
        <v>1.35</v>
      </c>
      <c r="H63" s="7">
        <f t="shared" si="9"/>
        <v>1.8</v>
      </c>
      <c r="I63" s="7">
        <f t="shared" si="10"/>
        <v>65.946458346224716</v>
      </c>
      <c r="M63">
        <v>4500</v>
      </c>
      <c r="N63" t="e">
        <f t="shared" si="11"/>
        <v>#N/A</v>
      </c>
      <c r="O63">
        <f t="shared" si="12"/>
        <v>288974.9615509102</v>
      </c>
      <c r="P63">
        <f t="shared" si="13"/>
        <v>292929.71288698103</v>
      </c>
      <c r="Q63">
        <f t="shared" si="14"/>
        <v>49113.867432207924</v>
      </c>
      <c r="R63">
        <f t="shared" si="15"/>
        <v>252935.94912758347</v>
      </c>
      <c r="S63">
        <f t="shared" si="16"/>
        <v>144649.7950776217</v>
      </c>
      <c r="T63">
        <f t="shared" si="17"/>
        <v>41998.533435403006</v>
      </c>
      <c r="U63">
        <f t="shared" si="18"/>
        <v>304804.16046117322</v>
      </c>
    </row>
    <row r="64" spans="1:21">
      <c r="A64" s="7">
        <f t="shared" si="19"/>
        <v>2036</v>
      </c>
      <c r="B64" s="7" t="e">
        <f t="shared" si="7"/>
        <v>#N/A</v>
      </c>
      <c r="C64" s="7">
        <f t="shared" ref="C64:D64" si="35">C$43+($G23+C$45*$V$34)/C$44</f>
        <v>63.0327151751355</v>
      </c>
      <c r="D64" s="7">
        <f t="shared" si="35"/>
        <v>87.960363387982909</v>
      </c>
      <c r="E64" s="7">
        <f t="shared" si="9"/>
        <v>0</v>
      </c>
      <c r="F64" s="7">
        <f t="shared" si="9"/>
        <v>2.7</v>
      </c>
      <c r="G64" s="7">
        <f t="shared" si="9"/>
        <v>1.35</v>
      </c>
      <c r="H64" s="7">
        <f t="shared" si="9"/>
        <v>1.8</v>
      </c>
      <c r="I64" s="7">
        <f t="shared" si="10"/>
        <v>67.713125012891794</v>
      </c>
      <c r="M64">
        <v>4800</v>
      </c>
      <c r="N64" t="e">
        <f t="shared" si="11"/>
        <v>#N/A</v>
      </c>
      <c r="O64">
        <f t="shared" si="12"/>
        <v>300516.90725099179</v>
      </c>
      <c r="P64">
        <f t="shared" si="13"/>
        <v>308865.72888011998</v>
      </c>
      <c r="Q64">
        <f t="shared" si="14"/>
        <v>49113.867432207924</v>
      </c>
      <c r="R64">
        <f t="shared" si="15"/>
        <v>253745.94912758347</v>
      </c>
      <c r="S64">
        <f t="shared" si="16"/>
        <v>145054.7950776217</v>
      </c>
      <c r="T64">
        <f t="shared" si="17"/>
        <v>42538.533435403006</v>
      </c>
      <c r="U64">
        <f t="shared" si="18"/>
        <v>316638.09796504077</v>
      </c>
    </row>
    <row r="65" spans="1:21">
      <c r="A65" s="7">
        <f t="shared" si="19"/>
        <v>2037</v>
      </c>
      <c r="B65" s="7" t="e">
        <f t="shared" si="7"/>
        <v>#N/A</v>
      </c>
      <c r="C65" s="7">
        <f t="shared" ref="C65:D65" si="36">C$43+($G24+C$45*$V$34)/C$44</f>
        <v>64.567687852731112</v>
      </c>
      <c r="D65" s="7">
        <f t="shared" si="36"/>
        <v>90.137882767827847</v>
      </c>
      <c r="E65" s="7">
        <f t="shared" si="9"/>
        <v>0</v>
      </c>
      <c r="F65" s="7">
        <f t="shared" si="9"/>
        <v>2.7</v>
      </c>
      <c r="G65" s="7">
        <f t="shared" si="9"/>
        <v>1.35</v>
      </c>
      <c r="H65" s="7">
        <f t="shared" si="9"/>
        <v>1.8</v>
      </c>
      <c r="I65" s="7">
        <f t="shared" si="10"/>
        <v>69.479791679558446</v>
      </c>
      <c r="M65">
        <v>5100</v>
      </c>
      <c r="N65" t="e">
        <f t="shared" si="11"/>
        <v>#N/A</v>
      </c>
      <c r="O65">
        <f t="shared" si="12"/>
        <v>312058.85295107344</v>
      </c>
      <c r="P65">
        <f t="shared" si="13"/>
        <v>324801.7448732591</v>
      </c>
      <c r="Q65">
        <f t="shared" si="14"/>
        <v>49113.867432207924</v>
      </c>
      <c r="R65">
        <f t="shared" si="15"/>
        <v>254555.94912758347</v>
      </c>
      <c r="S65">
        <f t="shared" si="16"/>
        <v>145459.7950776217</v>
      </c>
      <c r="T65">
        <f t="shared" si="17"/>
        <v>43078.533435403006</v>
      </c>
      <c r="U65">
        <f t="shared" si="18"/>
        <v>328472.03546890826</v>
      </c>
    </row>
    <row r="66" spans="1:21">
      <c r="A66" s="7">
        <f t="shared" si="19"/>
        <v>2038</v>
      </c>
      <c r="B66" s="7" t="e">
        <f t="shared" si="7"/>
        <v>#N/A</v>
      </c>
      <c r="C66" s="7">
        <f t="shared" ref="C66:D66" si="37">C$43+($G25+C$45*$V$34)/C$44</f>
        <v>66.102660530326716</v>
      </c>
      <c r="D66" s="7">
        <f t="shared" si="37"/>
        <v>92.315402147672785</v>
      </c>
      <c r="E66" s="7">
        <f t="shared" si="9"/>
        <v>0</v>
      </c>
      <c r="F66" s="7">
        <f t="shared" si="9"/>
        <v>2.7</v>
      </c>
      <c r="G66" s="7">
        <f t="shared" si="9"/>
        <v>1.35</v>
      </c>
      <c r="H66" s="7">
        <f t="shared" si="9"/>
        <v>1.8</v>
      </c>
      <c r="I66" s="7">
        <f t="shared" si="10"/>
        <v>71.246458346225083</v>
      </c>
      <c r="M66">
        <v>5400</v>
      </c>
      <c r="N66" t="e">
        <f t="shared" si="11"/>
        <v>#N/A</v>
      </c>
      <c r="O66">
        <f t="shared" si="12"/>
        <v>323600.79865115497</v>
      </c>
      <c r="P66">
        <f t="shared" si="13"/>
        <v>340737.76086639811</v>
      </c>
      <c r="Q66">
        <f t="shared" si="14"/>
        <v>49113.867432207924</v>
      </c>
      <c r="R66">
        <f t="shared" si="15"/>
        <v>255365.94912758347</v>
      </c>
      <c r="S66">
        <f t="shared" si="16"/>
        <v>145864.7950776217</v>
      </c>
      <c r="T66">
        <f t="shared" si="17"/>
        <v>43618.533435403006</v>
      </c>
      <c r="U66">
        <f t="shared" si="18"/>
        <v>340305.97297277575</v>
      </c>
    </row>
    <row r="67" spans="1:21">
      <c r="A67" s="7">
        <f t="shared" si="19"/>
        <v>2039</v>
      </c>
      <c r="B67" s="7" t="e">
        <f t="shared" si="7"/>
        <v>#N/A</v>
      </c>
      <c r="C67" s="7">
        <f t="shared" ref="C67:D67" si="38">C$43+($G26+C$45*$V$34)/C$44</f>
        <v>67.637633207922335</v>
      </c>
      <c r="D67" s="7">
        <f t="shared" si="38"/>
        <v>94.492921527517723</v>
      </c>
      <c r="E67" s="7">
        <f t="shared" si="9"/>
        <v>0</v>
      </c>
      <c r="F67" s="7">
        <f t="shared" si="9"/>
        <v>2.7</v>
      </c>
      <c r="G67" s="7">
        <f t="shared" si="9"/>
        <v>1.35</v>
      </c>
      <c r="H67" s="7">
        <f t="shared" si="9"/>
        <v>1.8</v>
      </c>
      <c r="I67" s="7">
        <f t="shared" si="10"/>
        <v>73.013125012891734</v>
      </c>
      <c r="M67">
        <v>5700</v>
      </c>
      <c r="N67" t="e">
        <f t="shared" si="11"/>
        <v>#N/A</v>
      </c>
      <c r="O67">
        <f t="shared" si="12"/>
        <v>335142.74435123662</v>
      </c>
      <c r="P67">
        <f t="shared" si="13"/>
        <v>356673.77685953712</v>
      </c>
      <c r="Q67">
        <f t="shared" si="14"/>
        <v>49113.867432207924</v>
      </c>
      <c r="R67">
        <f t="shared" si="15"/>
        <v>256175.94912758347</v>
      </c>
      <c r="S67">
        <f t="shared" si="16"/>
        <v>146269.7950776217</v>
      </c>
      <c r="T67">
        <f t="shared" si="17"/>
        <v>44158.533435403006</v>
      </c>
      <c r="U67">
        <f t="shared" si="18"/>
        <v>352139.91047664324</v>
      </c>
    </row>
    <row r="68" spans="1:21">
      <c r="A68" s="7">
        <f t="shared" si="19"/>
        <v>2040</v>
      </c>
      <c r="B68" s="7" t="e">
        <f t="shared" si="7"/>
        <v>#N/A</v>
      </c>
      <c r="C68" s="7">
        <f t="shared" ref="C68:D68" si="39">C$43+($G27+C$45*$V$34)/C$44</f>
        <v>69.172605885517939</v>
      </c>
      <c r="D68" s="7">
        <f t="shared" si="39"/>
        <v>96.670440907362661</v>
      </c>
      <c r="E68" s="7">
        <f t="shared" si="9"/>
        <v>0</v>
      </c>
      <c r="F68" s="7">
        <f t="shared" si="9"/>
        <v>2.7</v>
      </c>
      <c r="G68" s="7">
        <f t="shared" si="9"/>
        <v>1.35</v>
      </c>
      <c r="H68" s="7">
        <f t="shared" si="9"/>
        <v>1.8</v>
      </c>
      <c r="I68" s="7">
        <f t="shared" si="10"/>
        <v>74.779791679558386</v>
      </c>
      <c r="M68">
        <v>6000</v>
      </c>
      <c r="N68" t="e">
        <f t="shared" si="11"/>
        <v>#N/A</v>
      </c>
      <c r="O68">
        <f t="shared" si="12"/>
        <v>346684.6900513182</v>
      </c>
      <c r="P68">
        <f t="shared" si="13"/>
        <v>372609.79285267612</v>
      </c>
      <c r="Q68">
        <f t="shared" si="14"/>
        <v>49113.867432207924</v>
      </c>
      <c r="R68">
        <f t="shared" si="15"/>
        <v>256985.94912758347</v>
      </c>
      <c r="S68">
        <f t="shared" si="16"/>
        <v>146674.7950776217</v>
      </c>
      <c r="T68">
        <f t="shared" si="17"/>
        <v>44698.533435403006</v>
      </c>
      <c r="U68">
        <f t="shared" si="18"/>
        <v>363973.84798051073</v>
      </c>
    </row>
    <row r="69" spans="1:21">
      <c r="A69" s="7">
        <f t="shared" si="19"/>
        <v>2041</v>
      </c>
      <c r="B69" s="7" t="e">
        <f t="shared" si="7"/>
        <v>#N/A</v>
      </c>
      <c r="C69" s="7">
        <f t="shared" ref="C69:D69" si="40">C$43+($G28+C$45*$V$34)/C$44</f>
        <v>70.707578563113557</v>
      </c>
      <c r="D69" s="7">
        <f t="shared" si="40"/>
        <v>98.847960287207599</v>
      </c>
      <c r="E69" s="7">
        <f t="shared" si="9"/>
        <v>0</v>
      </c>
      <c r="F69" s="7">
        <f t="shared" si="9"/>
        <v>2.7</v>
      </c>
      <c r="G69" s="7">
        <f t="shared" si="9"/>
        <v>1.35</v>
      </c>
      <c r="H69" s="7">
        <f t="shared" si="9"/>
        <v>1.8</v>
      </c>
      <c r="I69" s="7">
        <f t="shared" si="10"/>
        <v>76.546458346225023</v>
      </c>
      <c r="M69">
        <v>6300</v>
      </c>
      <c r="N69" t="e">
        <f t="shared" si="11"/>
        <v>#N/A</v>
      </c>
      <c r="O69">
        <f t="shared" si="12"/>
        <v>358226.63575139979</v>
      </c>
      <c r="P69">
        <f t="shared" si="13"/>
        <v>388545.80884581513</v>
      </c>
      <c r="Q69">
        <f t="shared" si="14"/>
        <v>49113.867432207924</v>
      </c>
      <c r="R69">
        <f t="shared" si="15"/>
        <v>257795.94912758347</v>
      </c>
      <c r="S69">
        <f t="shared" si="16"/>
        <v>147079.7950776217</v>
      </c>
      <c r="T69">
        <f t="shared" si="17"/>
        <v>45238.533435403006</v>
      </c>
      <c r="U69">
        <f t="shared" si="18"/>
        <v>375807.78548437828</v>
      </c>
    </row>
    <row r="70" spans="1:21">
      <c r="A70" s="7">
        <f t="shared" si="19"/>
        <v>2042</v>
      </c>
      <c r="B70" s="7" t="e">
        <f t="shared" si="7"/>
        <v>#N/A</v>
      </c>
      <c r="C70" s="7">
        <f t="shared" ref="C70:D70" si="41">C$43+($G29+C$45*$V$34)/C$44</f>
        <v>72.242551240709162</v>
      </c>
      <c r="D70" s="7">
        <f t="shared" si="41"/>
        <v>101.02547966705254</v>
      </c>
      <c r="E70" s="7">
        <f t="shared" si="9"/>
        <v>0</v>
      </c>
      <c r="F70" s="7">
        <f t="shared" si="9"/>
        <v>2.7</v>
      </c>
      <c r="G70" s="7">
        <f t="shared" si="9"/>
        <v>1.35</v>
      </c>
      <c r="H70" s="7">
        <f t="shared" si="9"/>
        <v>1.8</v>
      </c>
      <c r="I70" s="7">
        <f t="shared" si="10"/>
        <v>78.313125012891675</v>
      </c>
      <c r="M70">
        <v>6600</v>
      </c>
      <c r="N70" t="e">
        <f t="shared" si="11"/>
        <v>#N/A</v>
      </c>
      <c r="O70">
        <f t="shared" si="12"/>
        <v>369768.58145148144</v>
      </c>
      <c r="P70">
        <f t="shared" si="13"/>
        <v>404481.82483895414</v>
      </c>
      <c r="Q70">
        <f t="shared" si="14"/>
        <v>49113.867432207924</v>
      </c>
      <c r="R70">
        <f t="shared" si="15"/>
        <v>258605.94912758347</v>
      </c>
      <c r="S70">
        <f t="shared" si="16"/>
        <v>147484.7950776217</v>
      </c>
      <c r="T70">
        <f t="shared" si="17"/>
        <v>45778.533435403006</v>
      </c>
      <c r="U70">
        <f t="shared" si="18"/>
        <v>387641.72298824578</v>
      </c>
    </row>
    <row r="71" spans="1:21">
      <c r="A71" s="7">
        <f t="shared" si="19"/>
        <v>2043</v>
      </c>
      <c r="B71" s="7" t="e">
        <f t="shared" si="7"/>
        <v>#N/A</v>
      </c>
      <c r="C71" s="7">
        <f t="shared" ref="C71:D71" si="42">C$43+($G30+C$45*$V$34)/C$44</f>
        <v>73.77752391830478</v>
      </c>
      <c r="D71" s="7">
        <f t="shared" si="42"/>
        <v>103.20299904689747</v>
      </c>
      <c r="E71" s="7">
        <f t="shared" si="9"/>
        <v>0</v>
      </c>
      <c r="F71" s="7">
        <f t="shared" si="9"/>
        <v>2.7</v>
      </c>
      <c r="G71" s="7">
        <f t="shared" si="9"/>
        <v>1.35</v>
      </c>
      <c r="H71" s="7">
        <f t="shared" si="9"/>
        <v>1.8</v>
      </c>
      <c r="I71" s="7">
        <f t="shared" si="10"/>
        <v>80.079791679558326</v>
      </c>
      <c r="M71">
        <v>6900</v>
      </c>
      <c r="N71" t="e">
        <f t="shared" si="11"/>
        <v>#N/A</v>
      </c>
      <c r="O71">
        <f t="shared" si="12"/>
        <v>381310.52715156297</v>
      </c>
      <c r="P71">
        <f t="shared" si="13"/>
        <v>420417.84083209315</v>
      </c>
      <c r="Q71">
        <f t="shared" si="14"/>
        <v>49113.867432207924</v>
      </c>
      <c r="R71">
        <f t="shared" si="15"/>
        <v>259415.94912758347</v>
      </c>
      <c r="S71">
        <f t="shared" si="16"/>
        <v>147889.7950776217</v>
      </c>
      <c r="T71">
        <f t="shared" si="17"/>
        <v>46318.533435403006</v>
      </c>
      <c r="U71">
        <f t="shared" si="18"/>
        <v>399475.66049211327</v>
      </c>
    </row>
    <row r="72" spans="1:21">
      <c r="A72" s="7">
        <f t="shared" si="19"/>
        <v>2044</v>
      </c>
      <c r="B72" s="7" t="e">
        <f t="shared" si="7"/>
        <v>#N/A</v>
      </c>
      <c r="C72" s="7">
        <f t="shared" ref="C72:D72" si="43">C$43+($G31+C$45*$V$34)/C$44</f>
        <v>75.312496595900399</v>
      </c>
      <c r="D72" s="7">
        <f t="shared" si="43"/>
        <v>105.38051842674241</v>
      </c>
      <c r="E72" s="7">
        <f t="shared" si="9"/>
        <v>0</v>
      </c>
      <c r="F72" s="7">
        <f t="shared" si="9"/>
        <v>2.7</v>
      </c>
      <c r="G72" s="7">
        <f t="shared" si="9"/>
        <v>1.35</v>
      </c>
      <c r="H72" s="7">
        <f t="shared" si="9"/>
        <v>1.8</v>
      </c>
      <c r="I72" s="7">
        <f t="shared" si="10"/>
        <v>81.846458346224964</v>
      </c>
      <c r="M72">
        <v>7200</v>
      </c>
      <c r="N72" t="e">
        <f t="shared" si="11"/>
        <v>#N/A</v>
      </c>
      <c r="O72">
        <f t="shared" si="12"/>
        <v>392852.47285164462</v>
      </c>
      <c r="P72">
        <f t="shared" si="13"/>
        <v>436353.85682523216</v>
      </c>
      <c r="Q72">
        <f t="shared" si="14"/>
        <v>49113.867432207924</v>
      </c>
      <c r="R72">
        <f t="shared" si="15"/>
        <v>260225.94912758347</v>
      </c>
      <c r="S72">
        <f t="shared" si="16"/>
        <v>148294.7950776217</v>
      </c>
      <c r="T72">
        <f t="shared" si="17"/>
        <v>46858.533435403006</v>
      </c>
      <c r="U72">
        <f t="shared" si="18"/>
        <v>411309.59799598076</v>
      </c>
    </row>
    <row r="73" spans="1:21">
      <c r="A73" s="7">
        <f t="shared" si="19"/>
        <v>2045</v>
      </c>
      <c r="B73" s="7" t="e">
        <f t="shared" si="7"/>
        <v>#N/A</v>
      </c>
      <c r="C73" s="7">
        <f t="shared" ref="C73:D73" si="44">C$43+($G32+C$45*$V$34)/C$44</f>
        <v>76.847469273496003</v>
      </c>
      <c r="D73" s="7">
        <f t="shared" si="44"/>
        <v>107.55803780658735</v>
      </c>
      <c r="E73" s="7">
        <f t="shared" si="9"/>
        <v>0</v>
      </c>
      <c r="F73" s="7">
        <f t="shared" si="9"/>
        <v>2.7</v>
      </c>
      <c r="G73" s="7">
        <f t="shared" si="9"/>
        <v>1.35</v>
      </c>
      <c r="H73" s="7">
        <f t="shared" si="9"/>
        <v>1.8</v>
      </c>
      <c r="I73" s="7">
        <f t="shared" si="10"/>
        <v>83.613125012891615</v>
      </c>
      <c r="M73">
        <v>7500</v>
      </c>
      <c r="N73" t="e">
        <f t="shared" si="11"/>
        <v>#N/A</v>
      </c>
      <c r="O73">
        <f t="shared" si="12"/>
        <v>404394.41855172627</v>
      </c>
      <c r="P73">
        <f t="shared" si="13"/>
        <v>452289.87281837116</v>
      </c>
      <c r="Q73">
        <f t="shared" si="14"/>
        <v>49113.867432207924</v>
      </c>
      <c r="R73">
        <f t="shared" si="15"/>
        <v>261035.94912758347</v>
      </c>
      <c r="S73">
        <f t="shared" si="16"/>
        <v>148699.7950776217</v>
      </c>
      <c r="T73">
        <f t="shared" si="17"/>
        <v>47398.533435403006</v>
      </c>
      <c r="U73">
        <f t="shared" si="18"/>
        <v>423143.53549984831</v>
      </c>
    </row>
    <row r="74" spans="1:21">
      <c r="A74" s="7">
        <f t="shared" si="19"/>
        <v>2046</v>
      </c>
      <c r="B74" s="7" t="e">
        <f t="shared" si="7"/>
        <v>#N/A</v>
      </c>
      <c r="C74" s="7">
        <f t="shared" ref="C74:D74" si="45">C$43+($G33+C$45*$V$34)/C$44</f>
        <v>78.382441951091621</v>
      </c>
      <c r="D74" s="7">
        <f t="shared" si="45"/>
        <v>109.73555718643229</v>
      </c>
      <c r="E74" s="7">
        <f t="shared" si="9"/>
        <v>0</v>
      </c>
      <c r="F74" s="7">
        <f t="shared" si="9"/>
        <v>2.7</v>
      </c>
      <c r="G74" s="7">
        <f t="shared" si="9"/>
        <v>1.35</v>
      </c>
      <c r="H74" s="7">
        <f t="shared" si="9"/>
        <v>1.8</v>
      </c>
      <c r="I74" s="7">
        <f t="shared" si="10"/>
        <v>85.379791679558267</v>
      </c>
      <c r="M74">
        <v>7800</v>
      </c>
      <c r="N74" t="e">
        <f t="shared" si="11"/>
        <v>#N/A</v>
      </c>
      <c r="O74">
        <f t="shared" si="12"/>
        <v>415936.3642518078</v>
      </c>
      <c r="P74">
        <f t="shared" si="13"/>
        <v>468225.88881151017</v>
      </c>
      <c r="Q74">
        <f t="shared" si="14"/>
        <v>49113.867432207924</v>
      </c>
      <c r="R74">
        <f t="shared" si="15"/>
        <v>261845.94912758347</v>
      </c>
      <c r="S74">
        <f t="shared" si="16"/>
        <v>149104.7950776217</v>
      </c>
      <c r="T74">
        <f t="shared" si="17"/>
        <v>47938.533435403006</v>
      </c>
      <c r="U74">
        <f t="shared" si="18"/>
        <v>434977.4730037158</v>
      </c>
    </row>
    <row r="75" spans="1:21">
      <c r="A75" s="7">
        <f t="shared" si="19"/>
        <v>2047</v>
      </c>
      <c r="B75" s="7" t="e">
        <f t="shared" si="7"/>
        <v>#N/A</v>
      </c>
      <c r="C75" s="7">
        <f t="shared" ref="C75:D75" si="46">C$43+($G34+C$45*$V$34)/C$44</f>
        <v>79.917414628687226</v>
      </c>
      <c r="D75" s="7">
        <f t="shared" si="46"/>
        <v>111.91307656627723</v>
      </c>
      <c r="E75" s="7">
        <f t="shared" si="9"/>
        <v>0</v>
      </c>
      <c r="F75" s="7">
        <f t="shared" si="9"/>
        <v>2.7</v>
      </c>
      <c r="G75" s="7">
        <f t="shared" si="9"/>
        <v>1.35</v>
      </c>
      <c r="H75" s="7">
        <f t="shared" si="9"/>
        <v>1.8</v>
      </c>
      <c r="I75" s="7">
        <f t="shared" si="10"/>
        <v>87.146458346224918</v>
      </c>
      <c r="M75">
        <v>8100</v>
      </c>
      <c r="N75" t="e">
        <f t="shared" si="11"/>
        <v>#N/A</v>
      </c>
      <c r="O75">
        <f t="shared" si="12"/>
        <v>427478.30995188945</v>
      </c>
      <c r="P75">
        <f t="shared" si="13"/>
        <v>484161.90480464918</v>
      </c>
      <c r="Q75">
        <f t="shared" si="14"/>
        <v>49113.867432207924</v>
      </c>
      <c r="R75">
        <f t="shared" si="15"/>
        <v>262655.94912758347</v>
      </c>
      <c r="S75">
        <f t="shared" si="16"/>
        <v>149509.7950776217</v>
      </c>
      <c r="T75">
        <f t="shared" si="17"/>
        <v>48478.533435403006</v>
      </c>
      <c r="U75">
        <f t="shared" si="18"/>
        <v>446811.41050758329</v>
      </c>
    </row>
    <row r="76" spans="1:21">
      <c r="A76" s="7">
        <f t="shared" si="19"/>
        <v>2048</v>
      </c>
      <c r="B76" s="7" t="e">
        <f t="shared" si="7"/>
        <v>#N/A</v>
      </c>
      <c r="C76" s="7">
        <f t="shared" ref="C76:D76" si="47">C$43+($G35+C$45*$V$34)/C$44</f>
        <v>81.452387306282844</v>
      </c>
      <c r="D76" s="7">
        <f t="shared" si="47"/>
        <v>114.09059594612216</v>
      </c>
      <c r="E76" s="7">
        <f t="shared" si="9"/>
        <v>0</v>
      </c>
      <c r="F76" s="7">
        <f t="shared" si="9"/>
        <v>2.7</v>
      </c>
      <c r="G76" s="7">
        <f t="shared" si="9"/>
        <v>1.35</v>
      </c>
      <c r="H76" s="7">
        <f t="shared" si="9"/>
        <v>1.8</v>
      </c>
      <c r="I76" s="7">
        <f t="shared" si="10"/>
        <v>88.913125012891555</v>
      </c>
      <c r="M76">
        <v>8400</v>
      </c>
      <c r="N76" t="e">
        <f t="shared" si="11"/>
        <v>#N/A</v>
      </c>
      <c r="O76">
        <f t="shared" si="12"/>
        <v>439020.25565197098</v>
      </c>
      <c r="P76">
        <f t="shared" si="13"/>
        <v>500097.92079778819</v>
      </c>
      <c r="Q76">
        <f t="shared" si="14"/>
        <v>49113.867432207924</v>
      </c>
      <c r="R76">
        <f t="shared" si="15"/>
        <v>263465.94912758347</v>
      </c>
      <c r="S76">
        <f t="shared" si="16"/>
        <v>149914.7950776217</v>
      </c>
      <c r="T76">
        <f t="shared" si="17"/>
        <v>49018.533435403006</v>
      </c>
      <c r="U76">
        <f t="shared" si="18"/>
        <v>458645.34801145078</v>
      </c>
    </row>
    <row r="77" spans="1:21">
      <c r="A77" s="7">
        <f t="shared" si="19"/>
        <v>2049</v>
      </c>
      <c r="B77" s="7">
        <f t="shared" si="7"/>
        <v>147.53106796116506</v>
      </c>
      <c r="C77" s="7">
        <f t="shared" ref="C77:D77" si="48">C$43+($G36+C$45*$V$34)/C$44</f>
        <v>82.987359983878434</v>
      </c>
      <c r="D77" s="7">
        <f t="shared" si="48"/>
        <v>116.26811532596709</v>
      </c>
      <c r="E77" s="7">
        <f t="shared" si="9"/>
        <v>0</v>
      </c>
      <c r="F77" s="7">
        <f t="shared" si="9"/>
        <v>2.7</v>
      </c>
      <c r="G77" s="7">
        <f t="shared" si="9"/>
        <v>1.35</v>
      </c>
      <c r="H77" s="7">
        <f t="shared" si="9"/>
        <v>1.8</v>
      </c>
      <c r="I77" s="7">
        <f t="shared" si="10"/>
        <v>90.679791679558193</v>
      </c>
      <c r="M77">
        <v>8700</v>
      </c>
      <c r="N77" t="e">
        <f t="shared" si="11"/>
        <v>#N/A</v>
      </c>
      <c r="O77">
        <f t="shared" si="12"/>
        <v>450562.20135205262</v>
      </c>
      <c r="P77">
        <f t="shared" si="13"/>
        <v>516033.93679092731</v>
      </c>
      <c r="Q77">
        <f t="shared" si="14"/>
        <v>49113.867432207924</v>
      </c>
      <c r="R77">
        <f t="shared" si="15"/>
        <v>264275.94912758347</v>
      </c>
      <c r="S77">
        <f t="shared" si="16"/>
        <v>150319.7950776217</v>
      </c>
      <c r="T77">
        <f t="shared" si="17"/>
        <v>49558.533435403006</v>
      </c>
      <c r="U77">
        <f t="shared" si="18"/>
        <v>470479.28551531828</v>
      </c>
    </row>
    <row r="78" spans="1:21">
      <c r="A78" s="7">
        <f t="shared" si="19"/>
        <v>2050</v>
      </c>
      <c r="B78" s="7">
        <f t="shared" si="7"/>
        <v>1.9</v>
      </c>
      <c r="C78" s="7">
        <f t="shared" ref="C78:D78" si="49">C$43+($G37+C$45*$V$34)/C$44</f>
        <v>12.921786213386628</v>
      </c>
      <c r="D78" s="7">
        <f t="shared" si="49"/>
        <v>16.872766488757772</v>
      </c>
      <c r="E78" s="7">
        <f t="shared" si="9"/>
        <v>0</v>
      </c>
      <c r="F78" s="7">
        <f t="shared" si="9"/>
        <v>2.7</v>
      </c>
      <c r="G78" s="7">
        <f t="shared" si="9"/>
        <v>1.35</v>
      </c>
      <c r="H78" s="7">
        <f t="shared" si="9"/>
        <v>1.8</v>
      </c>
      <c r="I78" s="7">
        <f t="shared" si="10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F36" sqref="F36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169</v>
      </c>
      <c r="J1" s="9" t="s">
        <v>170</v>
      </c>
      <c r="K1" s="9" t="s">
        <v>171</v>
      </c>
      <c r="L1" s="9" t="s">
        <v>172</v>
      </c>
      <c r="P1" t="s">
        <v>173</v>
      </c>
    </row>
    <row r="2" spans="1:16">
      <c r="A2" t="s">
        <v>174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1" t="s">
        <v>176</v>
      </c>
    </row>
    <row r="3" spans="1:16">
      <c r="A3" t="s">
        <v>177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176</v>
      </c>
    </row>
    <row r="4" spans="1:16">
      <c r="A4" t="s">
        <v>178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1" t="s">
        <v>176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205</v>
      </c>
      <c r="O9" t="s">
        <v>204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180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168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2023-01-11T15:31:42Z</dcterms:modified>
</cp:coreProperties>
</file>