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30811D9-E738-4101-AF6F-C7D0A4837B0C}" xr6:coauthVersionLast="47" xr6:coauthVersionMax="47" xr10:uidLastSave="{00000000-0000-0000-0000-000000000000}"/>
  <bookViews>
    <workbookView xWindow="-120" yWindow="-16320" windowWidth="27645" windowHeight="16440" tabRatio="977" activeTab="6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externalReferences>
    <externalReference r:id="rId18"/>
  </externalReferences>
  <calcPr calcId="191029"/>
  <pivotCaches>
    <pivotCache cacheId="8" r:id="rId19"/>
    <pivotCache cacheId="9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8" i="18" l="1"/>
  <c r="AW19" i="18"/>
  <c r="AW20" i="18"/>
  <c r="AW21" i="18"/>
  <c r="AW7" i="18"/>
  <c r="AW8" i="18"/>
  <c r="AW9" i="18"/>
  <c r="AW10" i="18"/>
  <c r="AW11" i="18"/>
  <c r="AW12" i="18"/>
  <c r="AW13" i="18"/>
  <c r="AW14" i="18"/>
  <c r="AW15" i="18"/>
  <c r="AW16" i="18"/>
  <c r="AW17" i="18"/>
  <c r="V33" i="18" l="1"/>
  <c r="S31" i="18" s="1"/>
  <c r="G4" i="18"/>
  <c r="G36" i="18" s="1"/>
  <c r="R19" i="18"/>
  <c r="W19" i="18" s="1"/>
  <c r="W20" i="18"/>
  <c r="W21" i="18"/>
  <c r="W22" i="18"/>
  <c r="W23" i="18"/>
  <c r="W24" i="18"/>
  <c r="W25" i="18"/>
  <c r="W26" i="18"/>
  <c r="W27" i="18"/>
  <c r="W28" i="18"/>
  <c r="O46" i="18"/>
  <c r="P46" i="18"/>
  <c r="Q46" i="18"/>
  <c r="R46" i="18"/>
  <c r="S46" i="18"/>
  <c r="T46" i="18"/>
  <c r="U46" i="18"/>
  <c r="N46" i="18"/>
  <c r="V28" i="18"/>
  <c r="E8" i="11"/>
  <c r="V20" i="18" s="1"/>
  <c r="E9" i="11"/>
  <c r="V21" i="18" s="1"/>
  <c r="E10" i="11"/>
  <c r="V22" i="18" s="1"/>
  <c r="E11" i="11"/>
  <c r="V23" i="18" s="1"/>
  <c r="E12" i="11"/>
  <c r="V24" i="18" s="1"/>
  <c r="E13" i="11"/>
  <c r="V25" i="18" s="1"/>
  <c r="E14" i="11"/>
  <c r="V26" i="18" s="1"/>
  <c r="E15" i="11"/>
  <c r="V27" i="18" s="1"/>
  <c r="E16" i="11"/>
  <c r="E7" i="11"/>
  <c r="V19" i="18" s="1"/>
  <c r="U27" i="18"/>
  <c r="U28" i="18"/>
  <c r="R28" i="18"/>
  <c r="T28" i="18"/>
  <c r="T25" i="18"/>
  <c r="T27" i="18"/>
  <c r="R20" i="18"/>
  <c r="R21" i="18"/>
  <c r="R22" i="18"/>
  <c r="R23" i="18"/>
  <c r="R24" i="18"/>
  <c r="R25" i="18"/>
  <c r="R26" i="18"/>
  <c r="R27" i="18"/>
  <c r="S9" i="18"/>
  <c r="A36" i="18"/>
  <c r="A6" i="18"/>
  <c r="C4" i="18"/>
  <c r="C36" i="18" s="1"/>
  <c r="D4" i="18"/>
  <c r="D36" i="18" s="1"/>
  <c r="E4" i="18"/>
  <c r="E36" i="18" s="1"/>
  <c r="F4" i="18"/>
  <c r="F36" i="18" s="1"/>
  <c r="H4" i="18"/>
  <c r="H36" i="18" s="1"/>
  <c r="I4" i="18"/>
  <c r="I36" i="18" s="1"/>
  <c r="J4" i="18"/>
  <c r="J36" i="18" s="1"/>
  <c r="K4" i="18"/>
  <c r="K36" i="18" s="1"/>
  <c r="L4" i="18"/>
  <c r="L36" i="18" s="1"/>
  <c r="M4" i="18"/>
  <c r="M36" i="18" s="1"/>
  <c r="N4" i="18"/>
  <c r="N36" i="18" s="1"/>
  <c r="O4" i="18"/>
  <c r="O36" i="18" s="1"/>
  <c r="B4" i="18"/>
  <c r="B36" i="18" s="1"/>
  <c r="B3" i="18"/>
  <c r="B6" i="18" s="1"/>
  <c r="C3" i="18"/>
  <c r="D3" i="18"/>
  <c r="E3" i="18"/>
  <c r="F3" i="18"/>
  <c r="G3" i="18"/>
  <c r="H3" i="18"/>
  <c r="H6" i="18" s="1"/>
  <c r="I3" i="18"/>
  <c r="J3" i="18"/>
  <c r="K3" i="18"/>
  <c r="L3" i="18"/>
  <c r="L6" i="18" s="1"/>
  <c r="M3" i="18"/>
  <c r="N3" i="18"/>
  <c r="O3" i="18"/>
  <c r="G8" i="18" l="1"/>
  <c r="C22" i="18"/>
  <c r="O12" i="18"/>
  <c r="M27" i="18"/>
  <c r="E31" i="18"/>
  <c r="N35" i="18"/>
  <c r="I17" i="18"/>
  <c r="K26" i="18"/>
  <c r="H72" i="18"/>
  <c r="H74" i="18"/>
  <c r="H76" i="18"/>
  <c r="H48" i="18"/>
  <c r="H50" i="18"/>
  <c r="H52" i="18"/>
  <c r="H54" i="18"/>
  <c r="H56" i="18"/>
  <c r="H58" i="18"/>
  <c r="H60" i="18"/>
  <c r="E51" i="18"/>
  <c r="E59" i="18"/>
  <c r="E63" i="18"/>
  <c r="E69" i="18"/>
  <c r="E76" i="18"/>
  <c r="E56" i="18"/>
  <c r="E64" i="18"/>
  <c r="F73" i="18"/>
  <c r="F75" i="18"/>
  <c r="F77" i="18"/>
  <c r="F49" i="18"/>
  <c r="F51" i="18"/>
  <c r="F53" i="18"/>
  <c r="F55" i="18"/>
  <c r="F57" i="18"/>
  <c r="F59" i="18"/>
  <c r="F61" i="18"/>
  <c r="F63" i="18"/>
  <c r="F65" i="18"/>
  <c r="F67" i="18"/>
  <c r="F69" i="18"/>
  <c r="F71" i="18"/>
  <c r="H73" i="18"/>
  <c r="H75" i="18"/>
  <c r="H77" i="18"/>
  <c r="H49" i="18"/>
  <c r="H53" i="18"/>
  <c r="H55" i="18"/>
  <c r="H57" i="18"/>
  <c r="H61" i="18"/>
  <c r="H65" i="18"/>
  <c r="H69" i="18"/>
  <c r="E50" i="18"/>
  <c r="E62" i="18"/>
  <c r="E70" i="18"/>
  <c r="B47" i="18"/>
  <c r="N65" i="18" s="1"/>
  <c r="G73" i="18"/>
  <c r="G75" i="18"/>
  <c r="G77" i="18"/>
  <c r="G49" i="18"/>
  <c r="G51" i="18"/>
  <c r="G53" i="18"/>
  <c r="G55" i="18"/>
  <c r="G57" i="18"/>
  <c r="G59" i="18"/>
  <c r="G61" i="18"/>
  <c r="G63" i="18"/>
  <c r="G65" i="18"/>
  <c r="G67" i="18"/>
  <c r="G69" i="18"/>
  <c r="G71" i="18"/>
  <c r="H51" i="18"/>
  <c r="H59" i="18"/>
  <c r="H63" i="18"/>
  <c r="H67" i="18"/>
  <c r="H71" i="18"/>
  <c r="E48" i="18"/>
  <c r="E60" i="18"/>
  <c r="H47" i="18"/>
  <c r="T47" i="18" s="1"/>
  <c r="F72" i="18"/>
  <c r="F74" i="18"/>
  <c r="F76" i="18"/>
  <c r="F48" i="18"/>
  <c r="F50" i="18"/>
  <c r="F52" i="18"/>
  <c r="F54" i="18"/>
  <c r="F56" i="18"/>
  <c r="F58" i="18"/>
  <c r="F60" i="18"/>
  <c r="F62" i="18"/>
  <c r="F64" i="18"/>
  <c r="F66" i="18"/>
  <c r="F68" i="18"/>
  <c r="F70" i="18"/>
  <c r="F47" i="18"/>
  <c r="R48" i="18" s="1"/>
  <c r="H64" i="18"/>
  <c r="H66" i="18"/>
  <c r="H70" i="18"/>
  <c r="E47" i="18"/>
  <c r="Q48" i="18" s="1"/>
  <c r="E77" i="18"/>
  <c r="E55" i="18"/>
  <c r="E61" i="18"/>
  <c r="E65" i="18"/>
  <c r="E71" i="18"/>
  <c r="E74" i="18"/>
  <c r="E54" i="18"/>
  <c r="E66" i="18"/>
  <c r="G72" i="18"/>
  <c r="G74" i="18"/>
  <c r="G76" i="18"/>
  <c r="G48" i="18"/>
  <c r="G50" i="18"/>
  <c r="G52" i="18"/>
  <c r="G54" i="18"/>
  <c r="G56" i="18"/>
  <c r="G58" i="18"/>
  <c r="G60" i="18"/>
  <c r="G62" i="18"/>
  <c r="G64" i="18"/>
  <c r="G66" i="18"/>
  <c r="G68" i="18"/>
  <c r="G70" i="18"/>
  <c r="G47" i="18"/>
  <c r="S47" i="18" s="1"/>
  <c r="H62" i="18"/>
  <c r="H68" i="18"/>
  <c r="E73" i="18"/>
  <c r="E75" i="18"/>
  <c r="E49" i="18"/>
  <c r="E53" i="18"/>
  <c r="E57" i="18"/>
  <c r="E67" i="18"/>
  <c r="E72" i="18"/>
  <c r="E52" i="18"/>
  <c r="E58" i="18"/>
  <c r="E68" i="18"/>
  <c r="B77" i="18"/>
  <c r="Q71" i="18"/>
  <c r="Q70" i="18"/>
  <c r="Q63" i="18"/>
  <c r="Q54" i="18"/>
  <c r="Q47" i="18"/>
  <c r="Q69" i="18"/>
  <c r="Q53" i="18"/>
  <c r="Q76" i="18"/>
  <c r="Q68" i="18"/>
  <c r="Q60" i="18"/>
  <c r="Q52" i="18"/>
  <c r="Q75" i="18"/>
  <c r="Q67" i="18"/>
  <c r="Q59" i="18"/>
  <c r="Q51" i="18"/>
  <c r="Q74" i="18"/>
  <c r="Q66" i="18"/>
  <c r="Q58" i="18"/>
  <c r="Q50" i="18"/>
  <c r="Q73" i="18"/>
  <c r="Q65" i="18"/>
  <c r="Q57" i="18"/>
  <c r="Q49" i="18"/>
  <c r="Q72" i="18"/>
  <c r="Q64" i="18"/>
  <c r="Q56" i="18"/>
  <c r="T75" i="18"/>
  <c r="T67" i="18"/>
  <c r="T59" i="18"/>
  <c r="T51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R59" i="18"/>
  <c r="I49" i="18"/>
  <c r="C49" i="18"/>
  <c r="D49" i="18"/>
  <c r="H32" i="18"/>
  <c r="E23" i="18"/>
  <c r="K18" i="18"/>
  <c r="C14" i="18"/>
  <c r="I9" i="18"/>
  <c r="K6" i="18"/>
  <c r="I7" i="18"/>
  <c r="N31" i="18"/>
  <c r="E27" i="18"/>
  <c r="K22" i="18"/>
  <c r="C18" i="18"/>
  <c r="I13" i="18"/>
  <c r="O8" i="18"/>
  <c r="K33" i="18"/>
  <c r="K9" i="18"/>
  <c r="K13" i="18"/>
  <c r="K17" i="18"/>
  <c r="K21" i="18"/>
  <c r="K25" i="18"/>
  <c r="K29" i="18"/>
  <c r="K7" i="18"/>
  <c r="K32" i="18"/>
  <c r="K8" i="18"/>
  <c r="K12" i="18"/>
  <c r="K16" i="18"/>
  <c r="K20" i="18"/>
  <c r="K24" i="18"/>
  <c r="K28" i="18"/>
  <c r="K31" i="18"/>
  <c r="K35" i="18"/>
  <c r="K11" i="18"/>
  <c r="K15" i="18"/>
  <c r="K19" i="18"/>
  <c r="K23" i="18"/>
  <c r="K27" i="18"/>
  <c r="K34" i="18"/>
  <c r="C33" i="18"/>
  <c r="C9" i="18"/>
  <c r="C13" i="18"/>
  <c r="C17" i="18"/>
  <c r="C21" i="18"/>
  <c r="C25" i="18"/>
  <c r="C29" i="18"/>
  <c r="C7" i="18"/>
  <c r="C32" i="18"/>
  <c r="C8" i="18"/>
  <c r="C12" i="18"/>
  <c r="C16" i="18"/>
  <c r="C20" i="18"/>
  <c r="C24" i="18"/>
  <c r="C28" i="18"/>
  <c r="C35" i="18"/>
  <c r="C11" i="18"/>
  <c r="C15" i="18"/>
  <c r="C19" i="18"/>
  <c r="C23" i="18"/>
  <c r="C27" i="18"/>
  <c r="C31" i="18"/>
  <c r="C34" i="18"/>
  <c r="J9" i="18"/>
  <c r="J13" i="18"/>
  <c r="J17" i="18"/>
  <c r="J21" i="18"/>
  <c r="J25" i="18"/>
  <c r="J29" i="18"/>
  <c r="J7" i="18"/>
  <c r="J32" i="18"/>
  <c r="J8" i="18"/>
  <c r="J12" i="18"/>
  <c r="J16" i="18"/>
  <c r="J20" i="18"/>
  <c r="J24" i="18"/>
  <c r="J28" i="18"/>
  <c r="J31" i="18"/>
  <c r="J35" i="18"/>
  <c r="J11" i="18"/>
  <c r="J15" i="18"/>
  <c r="J19" i="18"/>
  <c r="J23" i="18"/>
  <c r="J27" i="18"/>
  <c r="J34" i="18"/>
  <c r="J10" i="18"/>
  <c r="J14" i="18"/>
  <c r="J18" i="18"/>
  <c r="J22" i="18"/>
  <c r="J26" i="18"/>
  <c r="J30" i="18"/>
  <c r="J6" i="18"/>
  <c r="B9" i="18"/>
  <c r="B13" i="18"/>
  <c r="B17" i="18"/>
  <c r="B21" i="18"/>
  <c r="B25" i="18"/>
  <c r="B29" i="18"/>
  <c r="B32" i="18"/>
  <c r="B8" i="18"/>
  <c r="B12" i="18"/>
  <c r="B16" i="18"/>
  <c r="B20" i="18"/>
  <c r="B24" i="18"/>
  <c r="B28" i="18"/>
  <c r="B35" i="18"/>
  <c r="B11" i="18"/>
  <c r="B15" i="18"/>
  <c r="B19" i="18"/>
  <c r="B23" i="18"/>
  <c r="B27" i="18"/>
  <c r="B31" i="18"/>
  <c r="B34" i="18"/>
  <c r="B10" i="18"/>
  <c r="B14" i="18"/>
  <c r="B18" i="18"/>
  <c r="B22" i="18"/>
  <c r="B26" i="18"/>
  <c r="B30" i="18"/>
  <c r="B7" i="18"/>
  <c r="I32" i="18"/>
  <c r="I8" i="18"/>
  <c r="I12" i="18"/>
  <c r="I16" i="18"/>
  <c r="I20" i="18"/>
  <c r="I24" i="18"/>
  <c r="I28" i="18"/>
  <c r="I31" i="18"/>
  <c r="I35" i="18"/>
  <c r="I11" i="18"/>
  <c r="I15" i="18"/>
  <c r="I19" i="18"/>
  <c r="I23" i="18"/>
  <c r="I27" i="18"/>
  <c r="I34" i="18"/>
  <c r="I10" i="18"/>
  <c r="I14" i="18"/>
  <c r="I18" i="18"/>
  <c r="I22" i="18"/>
  <c r="I26" i="18"/>
  <c r="I30" i="18"/>
  <c r="I6" i="18"/>
  <c r="I33" i="18"/>
  <c r="H8" i="18"/>
  <c r="H12" i="18"/>
  <c r="H16" i="18"/>
  <c r="H20" i="18"/>
  <c r="H24" i="18"/>
  <c r="H28" i="18"/>
  <c r="H31" i="18"/>
  <c r="H35" i="18"/>
  <c r="H11" i="18"/>
  <c r="H15" i="18"/>
  <c r="H19" i="18"/>
  <c r="H23" i="18"/>
  <c r="H27" i="18"/>
  <c r="H34" i="18"/>
  <c r="H10" i="18"/>
  <c r="H14" i="18"/>
  <c r="H18" i="18"/>
  <c r="H22" i="18"/>
  <c r="H26" i="18"/>
  <c r="H30" i="18"/>
  <c r="H33" i="18"/>
  <c r="H9" i="18"/>
  <c r="H13" i="18"/>
  <c r="H17" i="18"/>
  <c r="H21" i="18"/>
  <c r="H25" i="18"/>
  <c r="H29" i="18"/>
  <c r="H7" i="18"/>
  <c r="O31" i="18"/>
  <c r="O35" i="18"/>
  <c r="O11" i="18"/>
  <c r="O15" i="18"/>
  <c r="O19" i="18"/>
  <c r="O23" i="18"/>
  <c r="O27" i="18"/>
  <c r="O34" i="18"/>
  <c r="O10" i="18"/>
  <c r="O14" i="18"/>
  <c r="O18" i="18"/>
  <c r="O22" i="18"/>
  <c r="O26" i="18"/>
  <c r="O30" i="18"/>
  <c r="O33" i="18"/>
  <c r="O9" i="18"/>
  <c r="O13" i="18"/>
  <c r="O17" i="18"/>
  <c r="O21" i="18"/>
  <c r="O25" i="18"/>
  <c r="O29" i="18"/>
  <c r="O7" i="18"/>
  <c r="O32" i="18"/>
  <c r="G31" i="18"/>
  <c r="G35" i="18"/>
  <c r="G11" i="18"/>
  <c r="G15" i="18"/>
  <c r="G19" i="18"/>
  <c r="G23" i="18"/>
  <c r="G27" i="18"/>
  <c r="G34" i="18"/>
  <c r="G10" i="18"/>
  <c r="G14" i="18"/>
  <c r="G18" i="18"/>
  <c r="G22" i="18"/>
  <c r="G26" i="18"/>
  <c r="G30" i="18"/>
  <c r="G6" i="18"/>
  <c r="G33" i="18"/>
  <c r="G9" i="18"/>
  <c r="G13" i="18"/>
  <c r="G17" i="18"/>
  <c r="G21" i="18"/>
  <c r="G25" i="18"/>
  <c r="G29" i="18"/>
  <c r="G7" i="18"/>
  <c r="G32" i="18"/>
  <c r="N11" i="18"/>
  <c r="N15" i="18"/>
  <c r="N19" i="18"/>
  <c r="N23" i="18"/>
  <c r="N27" i="18"/>
  <c r="N34" i="18"/>
  <c r="N10" i="18"/>
  <c r="N14" i="18"/>
  <c r="N18" i="18"/>
  <c r="N22" i="18"/>
  <c r="N26" i="18"/>
  <c r="N30" i="18"/>
  <c r="N33" i="18"/>
  <c r="N9" i="18"/>
  <c r="N13" i="18"/>
  <c r="N17" i="18"/>
  <c r="N21" i="18"/>
  <c r="N25" i="18"/>
  <c r="N29" i="18"/>
  <c r="N7" i="18"/>
  <c r="N32" i="18"/>
  <c r="N8" i="18"/>
  <c r="N12" i="18"/>
  <c r="N16" i="18"/>
  <c r="N20" i="18"/>
  <c r="N24" i="18"/>
  <c r="N28" i="18"/>
  <c r="F11" i="18"/>
  <c r="F15" i="18"/>
  <c r="F19" i="18"/>
  <c r="F23" i="18"/>
  <c r="F27" i="18"/>
  <c r="F31" i="18"/>
  <c r="F34" i="18"/>
  <c r="F10" i="18"/>
  <c r="F14" i="18"/>
  <c r="F18" i="18"/>
  <c r="F22" i="18"/>
  <c r="F26" i="18"/>
  <c r="F30" i="18"/>
  <c r="F6" i="18"/>
  <c r="F33" i="18"/>
  <c r="F9" i="18"/>
  <c r="F13" i="18"/>
  <c r="F17" i="18"/>
  <c r="F21" i="18"/>
  <c r="F25" i="18"/>
  <c r="F29" i="18"/>
  <c r="F7" i="18"/>
  <c r="F32" i="18"/>
  <c r="F8" i="18"/>
  <c r="F12" i="18"/>
  <c r="F16" i="18"/>
  <c r="F20" i="18"/>
  <c r="F24" i="18"/>
  <c r="F28" i="18"/>
  <c r="M34" i="18"/>
  <c r="M10" i="18"/>
  <c r="M14" i="18"/>
  <c r="M18" i="18"/>
  <c r="M22" i="18"/>
  <c r="M26" i="18"/>
  <c r="M30" i="18"/>
  <c r="M33" i="18"/>
  <c r="M9" i="18"/>
  <c r="M13" i="18"/>
  <c r="M17" i="18"/>
  <c r="M21" i="18"/>
  <c r="M25" i="18"/>
  <c r="M29" i="18"/>
  <c r="M7" i="18"/>
  <c r="M32" i="18"/>
  <c r="M8" i="18"/>
  <c r="M12" i="18"/>
  <c r="M16" i="18"/>
  <c r="M20" i="18"/>
  <c r="M24" i="18"/>
  <c r="M28" i="18"/>
  <c r="M31" i="18"/>
  <c r="M35" i="18"/>
  <c r="E34" i="18"/>
  <c r="E10" i="18"/>
  <c r="E14" i="18"/>
  <c r="E18" i="18"/>
  <c r="E22" i="18"/>
  <c r="E26" i="18"/>
  <c r="E30" i="18"/>
  <c r="E6" i="18"/>
  <c r="E33" i="18"/>
  <c r="E9" i="18"/>
  <c r="E13" i="18"/>
  <c r="E17" i="18"/>
  <c r="E21" i="18"/>
  <c r="E25" i="18"/>
  <c r="E29" i="18"/>
  <c r="E7" i="18"/>
  <c r="E32" i="18"/>
  <c r="E8" i="18"/>
  <c r="E12" i="18"/>
  <c r="E16" i="18"/>
  <c r="E20" i="18"/>
  <c r="E24" i="18"/>
  <c r="E28" i="18"/>
  <c r="E35" i="18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7" i="18"/>
  <c r="B48" i="18" s="1"/>
  <c r="L32" i="18"/>
  <c r="B73" i="18" s="1"/>
  <c r="L8" i="18"/>
  <c r="B49" i="18" s="1"/>
  <c r="L12" i="18"/>
  <c r="B53" i="18" s="1"/>
  <c r="L16" i="18"/>
  <c r="B57" i="18" s="1"/>
  <c r="L20" i="18"/>
  <c r="B61" i="18" s="1"/>
  <c r="L24" i="18"/>
  <c r="B65" i="18" s="1"/>
  <c r="L28" i="18"/>
  <c r="B69" i="18" s="1"/>
  <c r="L31" i="18"/>
  <c r="B72" i="18" s="1"/>
  <c r="L35" i="18"/>
  <c r="B76" i="18" s="1"/>
  <c r="L11" i="18"/>
  <c r="B52" i="18" s="1"/>
  <c r="L15" i="18"/>
  <c r="B56" i="18" s="1"/>
  <c r="L19" i="18"/>
  <c r="B60" i="18" s="1"/>
  <c r="L23" i="18"/>
  <c r="B64" i="18" s="1"/>
  <c r="L27" i="18"/>
  <c r="B68" i="18" s="1"/>
  <c r="D10" i="18"/>
  <c r="D14" i="18"/>
  <c r="D18" i="18"/>
  <c r="D22" i="18"/>
  <c r="D26" i="18"/>
  <c r="D30" i="18"/>
  <c r="D6" i="18"/>
  <c r="D33" i="18"/>
  <c r="D9" i="18"/>
  <c r="D13" i="18"/>
  <c r="D17" i="18"/>
  <c r="D21" i="18"/>
  <c r="D25" i="18"/>
  <c r="D29" i="18"/>
  <c r="D7" i="18"/>
  <c r="D32" i="18"/>
  <c r="D8" i="18"/>
  <c r="D12" i="18"/>
  <c r="D16" i="18"/>
  <c r="D20" i="18"/>
  <c r="D24" i="18"/>
  <c r="D28" i="18"/>
  <c r="D35" i="18"/>
  <c r="D11" i="18"/>
  <c r="D15" i="18"/>
  <c r="D19" i="18"/>
  <c r="D23" i="18"/>
  <c r="D27" i="18"/>
  <c r="D31" i="18"/>
  <c r="C6" i="18"/>
  <c r="F35" i="18"/>
  <c r="K30" i="18"/>
  <c r="C26" i="18"/>
  <c r="I21" i="18"/>
  <c r="O16" i="18"/>
  <c r="G12" i="18"/>
  <c r="L34" i="18"/>
  <c r="B75" i="18" s="1"/>
  <c r="C30" i="18"/>
  <c r="I25" i="18"/>
  <c r="O20" i="18"/>
  <c r="G16" i="18"/>
  <c r="M11" i="18"/>
  <c r="O6" i="18"/>
  <c r="D34" i="18"/>
  <c r="I29" i="18"/>
  <c r="O24" i="18"/>
  <c r="G20" i="18"/>
  <c r="M15" i="18"/>
  <c r="E11" i="18"/>
  <c r="N6" i="18"/>
  <c r="J33" i="18"/>
  <c r="O28" i="18"/>
  <c r="G24" i="18"/>
  <c r="M19" i="18"/>
  <c r="E15" i="18"/>
  <c r="K10" i="18"/>
  <c r="I77" i="18"/>
  <c r="C77" i="18"/>
  <c r="D77" i="18"/>
  <c r="M6" i="18"/>
  <c r="B33" i="18"/>
  <c r="G28" i="18"/>
  <c r="M23" i="18"/>
  <c r="E19" i="18"/>
  <c r="K14" i="18"/>
  <c r="C10" i="18"/>
  <c r="R61" i="18" l="1"/>
  <c r="R67" i="18"/>
  <c r="R75" i="18"/>
  <c r="R51" i="18"/>
  <c r="T55" i="18"/>
  <c r="N48" i="18"/>
  <c r="T50" i="18"/>
  <c r="T58" i="18"/>
  <c r="T66" i="18"/>
  <c r="T74" i="18"/>
  <c r="N52" i="18"/>
  <c r="N60" i="18"/>
  <c r="N70" i="18"/>
  <c r="T68" i="18"/>
  <c r="N54" i="18"/>
  <c r="N72" i="18"/>
  <c r="N67" i="18"/>
  <c r="T53" i="18"/>
  <c r="T61" i="18"/>
  <c r="T69" i="18"/>
  <c r="N49" i="18"/>
  <c r="N55" i="18"/>
  <c r="N63" i="18"/>
  <c r="N73" i="18"/>
  <c r="N61" i="18"/>
  <c r="T52" i="18"/>
  <c r="T60" i="18"/>
  <c r="T76" i="18"/>
  <c r="N62" i="18"/>
  <c r="N74" i="18"/>
  <c r="T54" i="18"/>
  <c r="T62" i="18"/>
  <c r="T70" i="18"/>
  <c r="N47" i="18"/>
  <c r="N56" i="18"/>
  <c r="N64" i="18"/>
  <c r="N75" i="18"/>
  <c r="N71" i="18"/>
  <c r="T71" i="18"/>
  <c r="N57" i="18"/>
  <c r="T48" i="18"/>
  <c r="T56" i="18"/>
  <c r="T64" i="18"/>
  <c r="T72" i="18"/>
  <c r="N50" i="18"/>
  <c r="N58" i="18"/>
  <c r="N68" i="18"/>
  <c r="N53" i="18"/>
  <c r="N76" i="18"/>
  <c r="T63" i="18"/>
  <c r="N66" i="18"/>
  <c r="T49" i="18"/>
  <c r="T57" i="18"/>
  <c r="T65" i="18"/>
  <c r="T73" i="18"/>
  <c r="N51" i="18"/>
  <c r="N59" i="18"/>
  <c r="N69" i="18"/>
  <c r="R52" i="18"/>
  <c r="R60" i="18"/>
  <c r="R68" i="18"/>
  <c r="R76" i="18"/>
  <c r="Q55" i="18"/>
  <c r="R54" i="18"/>
  <c r="R62" i="18"/>
  <c r="R70" i="18"/>
  <c r="R69" i="18"/>
  <c r="R55" i="18"/>
  <c r="R63" i="18"/>
  <c r="R71" i="18"/>
  <c r="R53" i="18"/>
  <c r="R56" i="18"/>
  <c r="R64" i="18"/>
  <c r="R72" i="18"/>
  <c r="Q61" i="18"/>
  <c r="R47" i="18"/>
  <c r="R49" i="18"/>
  <c r="R57" i="18"/>
  <c r="R65" i="18"/>
  <c r="R73" i="18"/>
  <c r="Q62" i="18"/>
  <c r="R50" i="18"/>
  <c r="R58" i="18"/>
  <c r="R66" i="18"/>
  <c r="R74" i="18"/>
  <c r="I48" i="18"/>
  <c r="C48" i="18"/>
  <c r="D48" i="18"/>
  <c r="C47" i="18"/>
  <c r="I47" i="18"/>
  <c r="D47" i="18"/>
  <c r="I68" i="18"/>
  <c r="C68" i="18"/>
  <c r="D68" i="18"/>
  <c r="I70" i="18"/>
  <c r="C70" i="18"/>
  <c r="D70" i="18"/>
  <c r="I71" i="18"/>
  <c r="C71" i="18"/>
  <c r="D71" i="18"/>
  <c r="I64" i="18"/>
  <c r="C64" i="18"/>
  <c r="D64" i="18"/>
  <c r="I56" i="18"/>
  <c r="C56" i="18"/>
  <c r="D56" i="18"/>
  <c r="I60" i="18"/>
  <c r="C60" i="18"/>
  <c r="D60" i="18"/>
  <c r="I61" i="18"/>
  <c r="C61" i="18"/>
  <c r="D61" i="18"/>
  <c r="I58" i="18"/>
  <c r="C58" i="18"/>
  <c r="D58" i="18"/>
  <c r="I59" i="18"/>
  <c r="C59" i="18"/>
  <c r="D59" i="18"/>
  <c r="I52" i="18"/>
  <c r="C52" i="18"/>
  <c r="D52" i="18"/>
  <c r="I67" i="18"/>
  <c r="C67" i="18"/>
  <c r="D67" i="18"/>
  <c r="I63" i="18"/>
  <c r="C63" i="18"/>
  <c r="D63" i="18"/>
  <c r="I69" i="18"/>
  <c r="C69" i="18"/>
  <c r="D69" i="18"/>
  <c r="I54" i="18"/>
  <c r="C54" i="18"/>
  <c r="D54" i="18"/>
  <c r="I55" i="18"/>
  <c r="C55" i="18"/>
  <c r="D55" i="18"/>
  <c r="I76" i="18"/>
  <c r="C76" i="18"/>
  <c r="D76" i="18"/>
  <c r="I66" i="18"/>
  <c r="C66" i="18"/>
  <c r="D66" i="18"/>
  <c r="I62" i="18"/>
  <c r="C62" i="18"/>
  <c r="D62" i="18"/>
  <c r="I65" i="18"/>
  <c r="C65" i="18"/>
  <c r="D65" i="18"/>
  <c r="I50" i="18"/>
  <c r="C50" i="18"/>
  <c r="D50" i="18"/>
  <c r="I51" i="18"/>
  <c r="C51" i="18"/>
  <c r="D51" i="18"/>
  <c r="I72" i="18"/>
  <c r="C72" i="18"/>
  <c r="D72" i="18"/>
  <c r="I57" i="18"/>
  <c r="C57" i="18"/>
  <c r="D57" i="18"/>
  <c r="I53" i="18"/>
  <c r="C53" i="18"/>
  <c r="D53" i="18"/>
  <c r="I73" i="18"/>
  <c r="C73" i="18"/>
  <c r="D73" i="18"/>
  <c r="I74" i="18"/>
  <c r="C74" i="18"/>
  <c r="D74" i="18"/>
  <c r="I75" i="18"/>
  <c r="C75" i="18"/>
  <c r="D75" i="18"/>
  <c r="O49" i="18" l="1"/>
  <c r="O59" i="18"/>
  <c r="O67" i="18"/>
  <c r="O74" i="18"/>
  <c r="O51" i="18"/>
  <c r="O53" i="18"/>
  <c r="O54" i="18"/>
  <c r="O57" i="18"/>
  <c r="O60" i="18"/>
  <c r="O62" i="18"/>
  <c r="O65" i="18"/>
  <c r="O68" i="18"/>
  <c r="O71" i="18"/>
  <c r="O73" i="18"/>
  <c r="O47" i="18"/>
  <c r="O50" i="18"/>
  <c r="O56" i="18"/>
  <c r="O63" i="18"/>
  <c r="O69" i="18"/>
  <c r="O75" i="18"/>
  <c r="O48" i="18"/>
  <c r="O52" i="18"/>
  <c r="O55" i="18"/>
  <c r="O58" i="18"/>
  <c r="O61" i="18"/>
  <c r="O64" i="18"/>
  <c r="O66" i="18"/>
  <c r="O70" i="18"/>
  <c r="O72" i="18"/>
  <c r="O76" i="18"/>
  <c r="P48" i="18"/>
  <c r="P49" i="18"/>
  <c r="P50" i="18"/>
  <c r="P51" i="18"/>
  <c r="P52" i="18"/>
  <c r="P53" i="18"/>
  <c r="P54" i="18"/>
  <c r="P55" i="18"/>
  <c r="P56" i="18"/>
  <c r="P60" i="18"/>
  <c r="P62" i="18"/>
  <c r="P63" i="18"/>
  <c r="P64" i="18"/>
  <c r="P66" i="18"/>
  <c r="P67" i="18"/>
  <c r="P68" i="18"/>
  <c r="P71" i="18"/>
  <c r="P73" i="18"/>
  <c r="P65" i="18"/>
  <c r="P59" i="18"/>
  <c r="P72" i="18"/>
  <c r="P47" i="18"/>
  <c r="P58" i="18"/>
  <c r="P69" i="18"/>
  <c r="P75" i="18"/>
  <c r="P61" i="18"/>
  <c r="P74" i="18"/>
  <c r="P57" i="18"/>
  <c r="P70" i="18"/>
  <c r="P7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B15" i="11" l="1"/>
  <c r="S27" i="18" s="1"/>
  <c r="X27" i="18" s="1"/>
  <c r="Y27" i="18" s="1"/>
  <c r="S28" i="18"/>
  <c r="X28" i="18" s="1"/>
  <c r="Y28" i="18" s="1"/>
  <c r="C3" i="11"/>
  <c r="C8" i="11"/>
  <c r="T20" i="18" s="1"/>
  <c r="B8" i="11"/>
  <c r="S20" i="18" s="1"/>
  <c r="X20" i="18" s="1"/>
  <c r="Y20" i="18" s="1"/>
  <c r="U20" i="18"/>
  <c r="T21" i="18"/>
  <c r="S21" i="18"/>
  <c r="X21" i="18" s="1"/>
  <c r="Y21" i="18" s="1"/>
  <c r="U21" i="18"/>
  <c r="C10" i="11"/>
  <c r="T22" i="18" s="1"/>
  <c r="B10" i="11"/>
  <c r="S22" i="18" s="1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S25" i="18"/>
  <c r="X25" i="18" s="1"/>
  <c r="Y25" i="18" s="1"/>
  <c r="U25" i="18"/>
  <c r="T26" i="18"/>
  <c r="S26" i="18"/>
  <c r="X26" i="18" s="1"/>
  <c r="Y26" i="18" s="1"/>
  <c r="U26" i="18"/>
  <c r="U19" i="18"/>
  <c r="S19" i="18"/>
  <c r="X19" i="18" s="1"/>
  <c r="Y19" i="18" s="1"/>
  <c r="T19" i="18"/>
  <c r="B6" i="11"/>
  <c r="C5" i="11"/>
  <c r="G5" i="11"/>
  <c r="C4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tc={489F10AE-86A4-4AC9-86C9-916F3217A790}</author>
    <author>tc={5440F79C-069D-4630-B655-D51101D93DC9}</author>
  </authors>
  <commentList>
    <comment ref="C16" authorId="0" shapeId="0" xr:uid="{489F10AE-86A4-4AC9-86C9-916F3217A79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L16" authorId="1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tc={5A380354-F1AE-4302-B180-D5D544617F12}</author>
    <author>tc={5F27A0BA-7D59-45AD-A651-D969A7E4806A}</author>
    <author>tc={469C9998-4169-403F-A81D-B4AE2C96B400}</author>
    <author>tc={0CEEEEED-0B8C-4135-ABEF-3B4052BEC1E8}</author>
    <author>tc={5EF769B7-DE3B-4FD0-84F9-E05E3BD7715D}</author>
    <author>tc={609401BD-7FC6-4845-8F1F-E247414E10FB}</author>
  </authors>
  <commentList>
    <comment ref="Z8" authorId="0" shapeId="0" xr:uid="{5A380354-F1AE-4302-B180-D5D544617F1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AO11" authorId="1" shapeId="0" xr:uid="{5F27A0BA-7D59-45AD-A651-D969A7E4806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S18" authorId="2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8" authorId="3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8" authorId="4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AV20" authorId="5" shapeId="0" xr:uid="{609401BD-7FC6-4845-8F1F-E247414E10FB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  <author>tc={D2699E04-0851-4D4C-8020-4EADA78C466D}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<sst xmlns="http://schemas.openxmlformats.org/spreadsheetml/2006/main" count="4509" uniqueCount="221">
  <si>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</si>
  <si>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</si>
  <si>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</si>
  <si>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</si>
  <si>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</si>
  <si>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</si>
  <si>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</si>
  <si>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</si>
  <si>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</si>
  <si>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</si>
  <si>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</si>
  <si>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</si>
  <si>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</si>
  <si>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</si>
  <si>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</si>
  <si>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</si>
  <si>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</si>
  <si>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</si>
  <si>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</si>
  <si>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</si>
  <si>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</si>
  <si>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</si>
  <si>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</si>
  <si>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</si>
  <si>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</si>
  <si>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</si>
  <si>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</si>
  <si>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</si>
  <si>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</si>
  <si>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</si>
  <si>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</si>
  <si>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</si>
  <si>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</si>
  <si>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</si>
  <si>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</si>
  <si>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</si>
  <si>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</si>
  <si>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</si>
  <si>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</si>
  <si>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</si>
  <si>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</si>
  <si>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</si>
  <si>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</si>
  <si>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</si>
  <si>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</si>
  <si>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</si>
  <si>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</si>
  <si>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</si>
  <si>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</si>
  <si>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</si>
  <si>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</si>
  <si>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</si>
  <si>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</si>
  <si>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</si>
  <si>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</si>
  <si>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</si>
  <si>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</si>
  <si>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</si>
  <si>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</si>
  <si>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</si>
  <si>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</si>
  <si>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</si>
  <si>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</si>
  <si>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</si>
  <si>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</si>
  <si>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</si>
  <si>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</si>
  <si>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</si>
  <si>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</si>
  <si>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</si>
  <si>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</si>
  <si>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</si>
  <si>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</si>
  <si>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</si>
  <si>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</si>
  <si>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</si>
  <si>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</si>
  <si>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</si>
  <si>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</si>
  <si>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</si>
  <si>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</si>
  <si>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</si>
  <si>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</si>
  <si>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</si>
  <si>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</si>
  <si>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</si>
  <si>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</si>
  <si>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</si>
  <si>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</si>
  <si>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</si>
  <si>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</si>
  <si>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</si>
  <si>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</si>
  <si>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</si>
  <si>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</si>
  <si>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</si>
  <si>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</si>
  <si>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</si>
  <si>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</si>
  <si>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</si>
  <si>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</si>
  <si>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</si>
  <si>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</si>
  <si>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</si>
  <si>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</si>
  <si>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</si>
  <si>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</si>
  <si>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</si>
  <si>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</si>
  <si>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</si>
  <si>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</si>
  <si>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</si>
  <si>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</si>
  <si>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</si>
  <si>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</si>
  <si>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</si>
  <si>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</si>
  <si>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</si>
  <si>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</si>
  <si>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</si>
  <si>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</si>
  <si>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</si>
  <si>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</si>
  <si>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</si>
  <si>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</si>
  <si>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</si>
  <si>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</si>
  <si>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</si>
  <si>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</si>
  <si>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</si>
  <si>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</si>
  <si>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</si>
  <si>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</si>
  <si>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</si>
  <si>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</si>
  <si>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</si>
  <si>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</si>
  <si>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</si>
  <si>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</si>
  <si>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</si>
  <si>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</si>
  <si>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</si>
  <si>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</si>
  <si>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</si>
  <si>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</si>
  <si>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</si>
  <si>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</si>
  <si>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</si>
  <si>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</si>
  <si>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</si>
  <si>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</si>
  <si>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</si>
  <si>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</si>
  <si>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</si>
  <si>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</si>
  <si>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</si>
  <si>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</si>
  <si>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</si>
  <si>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</si>
  <si>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</si>
  <si>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</si>
  <si>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</si>
  <si>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</si>
  <si>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</si>
  <si>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</si>
  <si>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</si>
  <si>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</si>
  <si>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</si>
  <si>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</si>
  <si>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</si>
  <si>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</si>
  <si>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</si>
  <si>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</si>
  <si>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</si>
  <si>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</si>
  <si>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</si>
  <si>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</si>
  <si>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</si>
  <si>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</si>
  <si>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</si>
  <si>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</si>
  <si>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</si>
  <si>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</si>
  <si>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</si>
  <si>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</si>
  <si>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</si>
  <si>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</si>
  <si>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</si>
  <si>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</si>
  <si>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</si>
  <si>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</si>
  <si>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</si>
  <si>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</si>
  <si>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</si>
  <si>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</si>
  <si>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</si>
  <si>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</si>
  <si>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</si>
  <si>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</si>
  <si>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</si>
  <si>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</si>
  <si>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</si>
  <si>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</si>
  <si>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</si>
  <si>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</si>
  <si>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</si>
  <si>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</si>
  <si>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</si>
  <si>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</si>
  <si>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</si>
  <si>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</si>
  <si>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</si>
  <si>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CO2 price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</si>
  <si>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</si>
  <si>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</si>
  <si>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</si>
  <si>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</si>
  <si>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price2030</t>
  </si>
  <si>
    <t>S0 data</t>
  </si>
  <si>
    <t>from Ni</t>
  </si>
  <si>
    <t xml:space="preserve">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</si>
</sst>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3" fillId="10" borderId="0" applyNumberFormat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  <xf numFmtId="0" fontId="7" fillId="8" borderId="2" xfId="3" applyBorder="1"/>
    <xf numFmtId="0" fontId="5" fillId="0" borderId="0" xfId="0" applyFont="1" applyBorder="1" applyAlignment="1">
      <alignment horizontal="center" vertical="top"/>
    </xf>
    <xf numFmtId="0" fontId="13" fillId="10" borderId="0" xfId="4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0" fillId="0" borderId="0" xfId="0" applyNumberFormat="1"/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13" fillId="10" borderId="0" xfId="4" applyAlignment="1">
      <alignment vertical="center"/>
    </xf>
    <xf numFmtId="0" fontId="0" fillId="11" borderId="0" xfId="0" applyFill="1"/>
    <xf numFmtId="0" fontId="7" fillId="12" borderId="0" xfId="3" applyFill="1"/>
    <xf numFmtId="0" fontId="7" fillId="11" borderId="0" xfId="3" applyFill="1"/>
    <xf numFmtId="0" fontId="3" fillId="0" borderId="0" xfId="1"/>
    <xf numFmtId="0" fontId="7" fillId="11" borderId="2" xfId="3" applyFill="1" applyBorder="1"/>
    <xf numFmtId="1" fontId="7" fillId="11" borderId="0" xfId="3" applyNumberFormat="1" applyFill="1"/>
    <xf numFmtId="0" fontId="7" fillId="13" borderId="0" xfId="0" applyFont="1" applyFill="1"/>
    <xf numFmtId="0" fontId="7" fillId="6" borderId="0" xfId="3" applyFill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curve'!$N$47:$N$55</c:f>
              <c:numCache>
                <c:formatCode>General</c:formatCode>
                <c:ptCount val="9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curve'!$O$46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curve'!$O$47:$O$55</c:f>
              <c:numCache>
                <c:formatCode>General</c:formatCode>
                <c:ptCount val="9"/>
                <c:pt idx="0">
                  <c:v>115845.77604968616</c:v>
                </c:pt>
                <c:pt idx="1">
                  <c:v>150844.63957230936</c:v>
                </c:pt>
                <c:pt idx="2">
                  <c:v>185843.50309493256</c:v>
                </c:pt>
                <c:pt idx="3">
                  <c:v>220842.36661755576</c:v>
                </c:pt>
                <c:pt idx="4">
                  <c:v>255841.23014017896</c:v>
                </c:pt>
                <c:pt idx="5">
                  <c:v>290840.09366280213</c:v>
                </c:pt>
                <c:pt idx="6">
                  <c:v>325838.95718542533</c:v>
                </c:pt>
                <c:pt idx="7">
                  <c:v>360837.82070804853</c:v>
                </c:pt>
                <c:pt idx="8">
                  <c:v>395836.68423067173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curve'!$P$47:$P$55</c:f>
              <c:numCache>
                <c:formatCode>General</c:formatCode>
                <c:ptCount val="9"/>
                <c:pt idx="0">
                  <c:v>53889.472989895759</c:v>
                </c:pt>
                <c:pt idx="1">
                  <c:v>103101.58170803564</c:v>
                </c:pt>
                <c:pt idx="2">
                  <c:v>152313.69042617551</c:v>
                </c:pt>
                <c:pt idx="3">
                  <c:v>201525.79914431539</c:v>
                </c:pt>
                <c:pt idx="4">
                  <c:v>250737.90786245526</c:v>
                </c:pt>
                <c:pt idx="5">
                  <c:v>299950.01658059517</c:v>
                </c:pt>
                <c:pt idx="6">
                  <c:v>349162.12529873499</c:v>
                </c:pt>
                <c:pt idx="7">
                  <c:v>398374.23401687492</c:v>
                </c:pt>
                <c:pt idx="8">
                  <c:v>447586.34273501474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3"/>
          <c:order val="3"/>
          <c:tx>
            <c:strRef>
              <c:f>'screening curve'!$Q$46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curve'!$Q$47:$Q$55</c:f>
              <c:numCache>
                <c:formatCode>General</c:formatCode>
                <c:ptCount val="9"/>
                <c:pt idx="0">
                  <c:v>49113.867432207924</c:v>
                </c:pt>
                <c:pt idx="1">
                  <c:v>49113.867432207924</c:v>
                </c:pt>
                <c:pt idx="2">
                  <c:v>49113.867432207924</c:v>
                </c:pt>
                <c:pt idx="3">
                  <c:v>49113.867432207924</c:v>
                </c:pt>
                <c:pt idx="4">
                  <c:v>49113.867432207924</c:v>
                </c:pt>
                <c:pt idx="5">
                  <c:v>49113.867432207924</c:v>
                </c:pt>
                <c:pt idx="6">
                  <c:v>49113.867432207924</c:v>
                </c:pt>
                <c:pt idx="7">
                  <c:v>49113.867432207924</c:v>
                </c:pt>
                <c:pt idx="8">
                  <c:v>49113.867432207924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F4-435D-BFD9-F336B33AB706}"/>
            </c:ext>
          </c:extLst>
        </c:ser>
        <c:ser>
          <c:idx val="4"/>
          <c:order val="4"/>
          <c:tx>
            <c:strRef>
              <c:f>'screening curve'!$R$46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curve'!$R$47:$R$55</c:f>
              <c:numCache>
                <c:formatCode>General</c:formatCode>
                <c:ptCount val="9"/>
                <c:pt idx="0">
                  <c:v>240785.94912758347</c:v>
                </c:pt>
                <c:pt idx="1">
                  <c:v>241595.94912758347</c:v>
                </c:pt>
                <c:pt idx="2">
                  <c:v>242405.94912758347</c:v>
                </c:pt>
                <c:pt idx="3">
                  <c:v>243215.94912758347</c:v>
                </c:pt>
                <c:pt idx="4">
                  <c:v>244025.94912758347</c:v>
                </c:pt>
                <c:pt idx="5">
                  <c:v>244835.94912758347</c:v>
                </c:pt>
                <c:pt idx="6">
                  <c:v>245645.94912758347</c:v>
                </c:pt>
                <c:pt idx="7">
                  <c:v>246455.94912758347</c:v>
                </c:pt>
                <c:pt idx="8">
                  <c:v>247265.94912758347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F4-435D-BFD9-F336B33AB706}"/>
            </c:ext>
          </c:extLst>
        </c:ser>
        <c:ser>
          <c:idx val="5"/>
          <c:order val="5"/>
          <c:tx>
            <c:strRef>
              <c:f>'screening curve'!$S$46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curve'!$S$47:$S$55</c:f>
              <c:numCache>
                <c:formatCode>General</c:formatCode>
                <c:ptCount val="9"/>
                <c:pt idx="0">
                  <c:v>138574.7950776217</c:v>
                </c:pt>
                <c:pt idx="1">
                  <c:v>138979.7950776217</c:v>
                </c:pt>
                <c:pt idx="2">
                  <c:v>139384.7950776217</c:v>
                </c:pt>
                <c:pt idx="3">
                  <c:v>139789.7950776217</c:v>
                </c:pt>
                <c:pt idx="4">
                  <c:v>140194.7950776217</c:v>
                </c:pt>
                <c:pt idx="5">
                  <c:v>140599.7950776217</c:v>
                </c:pt>
                <c:pt idx="6">
                  <c:v>141004.7950776217</c:v>
                </c:pt>
                <c:pt idx="7">
                  <c:v>141409.7950776217</c:v>
                </c:pt>
                <c:pt idx="8">
                  <c:v>141814.7950776217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F4-435D-BFD9-F336B33AB706}"/>
            </c:ext>
          </c:extLst>
        </c:ser>
        <c:ser>
          <c:idx val="6"/>
          <c:order val="6"/>
          <c:tx>
            <c:strRef>
              <c:f>'screening curve'!$T$46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curve'!$T$47:$T$55</c:f>
              <c:numCache>
                <c:formatCode>General</c:formatCode>
                <c:ptCount val="9"/>
                <c:pt idx="0">
                  <c:v>33898.533435403006</c:v>
                </c:pt>
                <c:pt idx="1">
                  <c:v>34438.533435403006</c:v>
                </c:pt>
                <c:pt idx="2">
                  <c:v>34978.533435403006</c:v>
                </c:pt>
                <c:pt idx="3">
                  <c:v>35518.533435403006</c:v>
                </c:pt>
                <c:pt idx="4">
                  <c:v>36058.533435403006</c:v>
                </c:pt>
                <c:pt idx="5">
                  <c:v>36598.533435403006</c:v>
                </c:pt>
                <c:pt idx="6">
                  <c:v>37138.533435403006</c:v>
                </c:pt>
                <c:pt idx="7">
                  <c:v>37678.533435403006</c:v>
                </c:pt>
                <c:pt idx="8">
                  <c:v>38218.533435403006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F4-435D-BFD9-F336B33AB706}"/>
            </c:ext>
          </c:extLst>
        </c:ser>
        <c:ser>
          <c:idx val="7"/>
          <c:order val="7"/>
          <c:tx>
            <c:strRef>
              <c:f>'screening curve'!$U$46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curve'!$U$47:$U$55</c:f>
              <c:numCache>
                <c:formatCode>General</c:formatCode>
                <c:ptCount val="9"/>
                <c:pt idx="0">
                  <c:v>127295.09790316071</c:v>
                </c:pt>
                <c:pt idx="1">
                  <c:v>166126.62007070816</c:v>
                </c:pt>
                <c:pt idx="2">
                  <c:v>204958.14223825559</c:v>
                </c:pt>
                <c:pt idx="3">
                  <c:v>243789.66440580305</c:v>
                </c:pt>
                <c:pt idx="4">
                  <c:v>282621.18657335051</c:v>
                </c:pt>
                <c:pt idx="5">
                  <c:v>321452.70874089794</c:v>
                </c:pt>
                <c:pt idx="6">
                  <c:v>360284.23090844537</c:v>
                </c:pt>
                <c:pt idx="7">
                  <c:v>399115.75307599286</c:v>
                </c:pt>
                <c:pt idx="8">
                  <c:v>437947.27524354029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8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curve'!$N$47:$N$76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curve'!$P$47:$P$76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103101.58170803564</c:v>
                </c:pt>
                <c:pt idx="2">
                  <c:v>152313.69042617551</c:v>
                </c:pt>
                <c:pt idx="3">
                  <c:v>201525.79914431539</c:v>
                </c:pt>
                <c:pt idx="4">
                  <c:v>250737.90786245526</c:v>
                </c:pt>
                <c:pt idx="5">
                  <c:v>299950.01658059517</c:v>
                </c:pt>
                <c:pt idx="6">
                  <c:v>349162.12529873499</c:v>
                </c:pt>
                <c:pt idx="7">
                  <c:v>398374.23401687492</c:v>
                </c:pt>
                <c:pt idx="8">
                  <c:v>447586.34273501474</c:v>
                </c:pt>
                <c:pt idx="9">
                  <c:v>496798.45145315467</c:v>
                </c:pt>
                <c:pt idx="10">
                  <c:v>546010.56017129461</c:v>
                </c:pt>
                <c:pt idx="11">
                  <c:v>595222.66888943443</c:v>
                </c:pt>
                <c:pt idx="12">
                  <c:v>644434.77760757424</c:v>
                </c:pt>
                <c:pt idx="13">
                  <c:v>693646.88632571418</c:v>
                </c:pt>
                <c:pt idx="14">
                  <c:v>742858.995043854</c:v>
                </c:pt>
                <c:pt idx="15">
                  <c:v>792071.10376199393</c:v>
                </c:pt>
                <c:pt idx="16">
                  <c:v>841283.21248013375</c:v>
                </c:pt>
                <c:pt idx="17">
                  <c:v>890495.32119827368</c:v>
                </c:pt>
                <c:pt idx="18">
                  <c:v>939707.4299164135</c:v>
                </c:pt>
                <c:pt idx="19">
                  <c:v>988919.53863455344</c:v>
                </c:pt>
                <c:pt idx="20">
                  <c:v>1038131.6473526934</c:v>
                </c:pt>
                <c:pt idx="21">
                  <c:v>1087343.7560708332</c:v>
                </c:pt>
                <c:pt idx="22">
                  <c:v>1136555.8647889732</c:v>
                </c:pt>
                <c:pt idx="23">
                  <c:v>1185767.9735071131</c:v>
                </c:pt>
                <c:pt idx="24">
                  <c:v>1234980.0822252529</c:v>
                </c:pt>
                <c:pt idx="25">
                  <c:v>1284192.1909433929</c:v>
                </c:pt>
                <c:pt idx="26">
                  <c:v>1333404.2996615327</c:v>
                </c:pt>
                <c:pt idx="27">
                  <c:v>1382616.4083796726</c:v>
                </c:pt>
                <c:pt idx="28">
                  <c:v>1431828.5170978124</c:v>
                </c:pt>
                <c:pt idx="29">
                  <c:v>1481040.6258159524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from 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curve'!$AE$7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curve'!$AF$7:$AH$7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4-4291-BD6D-CB489D5B00F0}"/>
            </c:ext>
          </c:extLst>
        </c:ser>
        <c:ser>
          <c:idx val="1"/>
          <c:order val="1"/>
          <c:tx>
            <c:strRef>
              <c:f>'screening curve'!$AE$8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curve'!$AF$8:$AH$8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4-4291-BD6D-CB489D5B00F0}"/>
            </c:ext>
          </c:extLst>
        </c:ser>
        <c:ser>
          <c:idx val="2"/>
          <c:order val="2"/>
          <c:tx>
            <c:strRef>
              <c:f>'screening curve'!$AE$9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curve'!$AF$9:$AH$9</c:f>
              <c:numCache>
                <c:formatCode>General</c:formatCode>
                <c:ptCount val="3"/>
                <c:pt idx="0">
                  <c:v>46.44</c:v>
                </c:pt>
                <c:pt idx="1">
                  <c:v>36.32</c:v>
                </c:pt>
                <c:pt idx="2">
                  <c:v>104.96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4-4291-BD6D-CB489D5B00F0}"/>
            </c:ext>
          </c:extLst>
        </c:ser>
        <c:ser>
          <c:idx val="3"/>
          <c:order val="3"/>
          <c:tx>
            <c:strRef>
              <c:f>'screening curve'!$AE$10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curve'!$AF$10:$AH$10</c:f>
              <c:numCache>
                <c:formatCode>General</c:formatCode>
                <c:ptCount val="3"/>
                <c:pt idx="0">
                  <c:v>3.96</c:v>
                </c:pt>
                <c:pt idx="1">
                  <c:v>6.48</c:v>
                </c:pt>
                <c:pt idx="2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4-4291-BD6D-CB489D5B00F0}"/>
            </c:ext>
          </c:extLst>
        </c:ser>
        <c:ser>
          <c:idx val="4"/>
          <c:order val="4"/>
          <c:tx>
            <c:strRef>
              <c:f>'screening curve'!$AE$11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curve'!$AF$11:$AH$11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94-4291-BD6D-CB489D5B00F0}"/>
            </c:ext>
          </c:extLst>
        </c:ser>
        <c:ser>
          <c:idx val="5"/>
          <c:order val="5"/>
          <c:tx>
            <c:strRef>
              <c:f>'screening curve'!$AE$12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curve'!$AF$12:$AH$12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94-4291-BD6D-CB489D5B00F0}"/>
            </c:ext>
          </c:extLst>
        </c:ser>
        <c:ser>
          <c:idx val="6"/>
          <c:order val="6"/>
          <c:tx>
            <c:strRef>
              <c:f>'screening curve'!$AE$13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curve'!$AF$13:$AH$13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94-4291-BD6D-CB489D5B00F0}"/>
            </c:ext>
          </c:extLst>
        </c:ser>
        <c:ser>
          <c:idx val="7"/>
          <c:order val="7"/>
          <c:tx>
            <c:strRef>
              <c:f>'screening curve'!$AE$14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curve'!$AF$14:$AH$14</c:f>
              <c:numCache>
                <c:formatCode>General</c:formatCode>
                <c:ptCount val="3"/>
                <c:pt idx="0">
                  <c:v>8.2799999999999994</c:v>
                </c:pt>
                <c:pt idx="1">
                  <c:v>6.7</c:v>
                </c:pt>
                <c:pt idx="2">
                  <c:v>8.2799999999999994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94-4291-BD6D-CB489D5B00F0}"/>
            </c:ext>
          </c:extLst>
        </c:ser>
        <c:ser>
          <c:idx val="8"/>
          <c:order val="8"/>
          <c:tx>
            <c:strRef>
              <c:f>'screening curve'!$AE$15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curve'!$AF$15:$AH$15</c:f>
              <c:numCache>
                <c:formatCode>General</c:formatCode>
                <c:ptCount val="3"/>
                <c:pt idx="0">
                  <c:v>10.8</c:v>
                </c:pt>
                <c:pt idx="1">
                  <c:v>8.9</c:v>
                </c:pt>
                <c:pt idx="2">
                  <c:v>11.37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94-4291-BD6D-CB489D5B00F0}"/>
            </c:ext>
          </c:extLst>
        </c:ser>
        <c:ser>
          <c:idx val="9"/>
          <c:order val="9"/>
          <c:tx>
            <c:strRef>
              <c:f>'screening curve'!$AE$16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curve'!$AF$16:$AH$16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94-4291-BD6D-CB489D5B00F0}"/>
            </c:ext>
          </c:extLst>
        </c:ser>
        <c:ser>
          <c:idx val="10"/>
          <c:order val="10"/>
          <c:tx>
            <c:strRef>
              <c:f>'screening curve'!$AE$17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curve'!$AF$17:$AH$17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94-4291-BD6D-CB489D5B00F0}"/>
            </c:ext>
          </c:extLst>
        </c:ser>
        <c:ser>
          <c:idx val="11"/>
          <c:order val="11"/>
          <c:tx>
            <c:strRef>
              <c:f>'screening curve'!$AE$18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curve'!$AF$18:$AH$18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94-4291-BD6D-CB489D5B00F0}"/>
            </c:ext>
          </c:extLst>
        </c:ser>
        <c:ser>
          <c:idx val="12"/>
          <c:order val="12"/>
          <c:tx>
            <c:strRef>
              <c:f>'screening curve'!$AE$19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curve'!$AF$19:$AH$19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94-4291-BD6D-CB489D5B00F0}"/>
            </c:ext>
          </c:extLst>
        </c:ser>
        <c:ser>
          <c:idx val="13"/>
          <c:order val="13"/>
          <c:tx>
            <c:strRef>
              <c:f>'screening curve'!$AE$20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'screening curve'!$AF$6:$AH$6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'screening curve'!$AF$20:$AH$20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94-4291-BD6D-CB489D5B0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33072"/>
        <c:axId val="494638480"/>
      </c:scatterChart>
      <c:valAx>
        <c:axId val="4946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8480"/>
        <c:crosses val="autoZero"/>
        <c:crossBetween val="midCat"/>
      </c:valAx>
      <c:valAx>
        <c:axId val="494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curve'!$AE$7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curve'!$AJ$7:$AK$7</c:f>
              <c:numCache>
                <c:formatCode>General</c:formatCode>
                <c:ptCount val="2"/>
                <c:pt idx="0">
                  <c:v>38.159999999999997</c:v>
                </c:pt>
                <c:pt idx="1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9-4E6F-A148-1F7B9586146E}"/>
            </c:ext>
          </c:extLst>
        </c:ser>
        <c:ser>
          <c:idx val="1"/>
          <c:order val="1"/>
          <c:tx>
            <c:strRef>
              <c:f>'screening curve'!$AE$8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curve'!$AJ$8:$AK$8</c:f>
              <c:numCache>
                <c:formatCode>General</c:formatCode>
                <c:ptCount val="2"/>
                <c:pt idx="0">
                  <c:v>30.24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9-4E6F-A148-1F7B9586146E}"/>
            </c:ext>
          </c:extLst>
        </c:ser>
        <c:ser>
          <c:idx val="2"/>
          <c:order val="2"/>
          <c:tx>
            <c:strRef>
              <c:f>'screening curve'!$AE$9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curve'!$AJ$9:$AK$9</c:f>
              <c:numCache>
                <c:formatCode>General</c:formatCode>
                <c:ptCount val="2"/>
                <c:pt idx="0">
                  <c:v>46.44</c:v>
                </c:pt>
                <c:pt idx="1">
                  <c:v>104.96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9-4E6F-A148-1F7B9586146E}"/>
            </c:ext>
          </c:extLst>
        </c:ser>
        <c:ser>
          <c:idx val="3"/>
          <c:order val="3"/>
          <c:tx>
            <c:strRef>
              <c:f>'screening curve'!$AE$10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curve'!$AJ$10:$AK$10</c:f>
              <c:numCache>
                <c:formatCode>General</c:formatCode>
                <c:ptCount val="2"/>
                <c:pt idx="0">
                  <c:v>3.96</c:v>
                </c:pt>
                <c:pt idx="1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9-4E6F-A148-1F7B9586146E}"/>
            </c:ext>
          </c:extLst>
        </c:ser>
        <c:ser>
          <c:idx val="4"/>
          <c:order val="4"/>
          <c:tx>
            <c:strRef>
              <c:f>'screening curve'!$AE$11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curve'!$AJ$11:$AK$11</c:f>
              <c:numCache>
                <c:formatCode>General</c:formatCode>
                <c:ptCount val="2"/>
                <c:pt idx="0">
                  <c:v>22.18</c:v>
                </c:pt>
                <c:pt idx="1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F9-4E6F-A148-1F7B9586146E}"/>
            </c:ext>
          </c:extLst>
        </c:ser>
        <c:ser>
          <c:idx val="5"/>
          <c:order val="5"/>
          <c:tx>
            <c:strRef>
              <c:f>'screening curve'!$AE$12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curve'!$AJ$12:$AK$12</c:f>
              <c:numCache>
                <c:formatCode>General</c:formatCode>
                <c:ptCount val="2"/>
                <c:pt idx="0">
                  <c:v>20.16</c:v>
                </c:pt>
                <c:pt idx="1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9-4E6F-A148-1F7B9586146E}"/>
            </c:ext>
          </c:extLst>
        </c:ser>
        <c:ser>
          <c:idx val="6"/>
          <c:order val="6"/>
          <c:tx>
            <c:strRef>
              <c:f>'screening curve'!$AE$13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curve'!$AJ$13:$AK$13</c:f>
              <c:numCache>
                <c:formatCode>General</c:formatCode>
                <c:ptCount val="2"/>
                <c:pt idx="0">
                  <c:v>1.69</c:v>
                </c:pt>
                <c:pt idx="1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F9-4E6F-A148-1F7B9586146E}"/>
            </c:ext>
          </c:extLst>
        </c:ser>
        <c:ser>
          <c:idx val="7"/>
          <c:order val="7"/>
          <c:tx>
            <c:strRef>
              <c:f>'screening curve'!$AE$14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curve'!$AJ$14:$AK$14</c:f>
              <c:numCache>
                <c:formatCode>General</c:formatCode>
                <c:ptCount val="2"/>
                <c:pt idx="0">
                  <c:v>8.2799999999999994</c:v>
                </c:pt>
                <c:pt idx="1">
                  <c:v>8.2799999999999994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F9-4E6F-A148-1F7B9586146E}"/>
            </c:ext>
          </c:extLst>
        </c:ser>
        <c:ser>
          <c:idx val="8"/>
          <c:order val="8"/>
          <c:tx>
            <c:strRef>
              <c:f>'screening curve'!$AE$15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curve'!$AJ$15:$AK$15</c:f>
              <c:numCache>
                <c:formatCode>General</c:formatCode>
                <c:ptCount val="2"/>
                <c:pt idx="0">
                  <c:v>10.8</c:v>
                </c:pt>
                <c:pt idx="1">
                  <c:v>11.37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F9-4E6F-A148-1F7B9586146E}"/>
            </c:ext>
          </c:extLst>
        </c:ser>
        <c:ser>
          <c:idx val="9"/>
          <c:order val="9"/>
          <c:tx>
            <c:strRef>
              <c:f>'screening curve'!$AE$16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curve'!$AJ$16:$AK$16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F9-4E6F-A148-1F7B9586146E}"/>
            </c:ext>
          </c:extLst>
        </c:ser>
        <c:ser>
          <c:idx val="10"/>
          <c:order val="10"/>
          <c:tx>
            <c:strRef>
              <c:f>'screening curve'!$AE$17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curve'!$AJ$17:$AK$17</c:f>
              <c:numCache>
                <c:formatCode>General</c:formatCode>
                <c:ptCount val="2"/>
                <c:pt idx="0">
                  <c:v>37.5</c:v>
                </c:pt>
                <c:pt idx="1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F9-4E6F-A148-1F7B9586146E}"/>
            </c:ext>
          </c:extLst>
        </c:ser>
        <c:ser>
          <c:idx val="11"/>
          <c:order val="11"/>
          <c:tx>
            <c:strRef>
              <c:f>'screening curve'!$AE$18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curve'!$AJ$18:$AK$18</c:f>
              <c:numCache>
                <c:formatCode>General</c:formatCode>
                <c:ptCount val="2"/>
                <c:pt idx="0">
                  <c:v>82.5</c:v>
                </c:pt>
                <c:pt idx="1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F9-4E6F-A148-1F7B9586146E}"/>
            </c:ext>
          </c:extLst>
        </c:ser>
        <c:ser>
          <c:idx val="12"/>
          <c:order val="12"/>
          <c:tx>
            <c:strRef>
              <c:f>'screening curve'!$AE$19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curve'!$AJ$19:$AK$19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F9-4E6F-A148-1F7B9586146E}"/>
            </c:ext>
          </c:extLst>
        </c:ser>
        <c:ser>
          <c:idx val="13"/>
          <c:order val="13"/>
          <c:tx>
            <c:strRef>
              <c:f>'screening curve'!$AE$20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'screening curve'!$AJ$6:$AK$6</c:f>
              <c:numCache>
                <c:formatCode>General</c:formatCode>
                <c:ptCount val="2"/>
                <c:pt idx="0">
                  <c:v>2020</c:v>
                </c:pt>
                <c:pt idx="1">
                  <c:v>2050</c:v>
                </c:pt>
              </c:numCache>
            </c:numRef>
          </c:xVal>
          <c:yVal>
            <c:numRef>
              <c:f>'screening curve'!$AJ$20:$AK$20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F9-4E6F-A148-1F7B9586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33072"/>
        <c:axId val="494638480"/>
      </c:scatterChart>
      <c:valAx>
        <c:axId val="494633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8480"/>
        <c:crosses val="autoZero"/>
        <c:crossBetween val="midCat"/>
      </c:valAx>
      <c:valAx>
        <c:axId val="494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curve'!$AU$7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curve'!$AV$7:$AW$7</c:f>
              <c:numCache>
                <c:formatCode>General</c:formatCode>
                <c:ptCount val="2"/>
                <c:pt idx="0" formatCode="0">
                  <c:v>2040000</c:v>
                </c:pt>
                <c:pt idx="1">
                  <c:v>2400000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8-4669-BCC7-1D989F204E1B}"/>
            </c:ext>
          </c:extLst>
        </c:ser>
        <c:ser>
          <c:idx val="1"/>
          <c:order val="1"/>
          <c:tx>
            <c:strRef>
              <c:f>'screening curve'!$AU$8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curve'!$AV$8:$AW$8</c:f>
              <c:numCache>
                <c:formatCode>General</c:formatCode>
                <c:ptCount val="2"/>
                <c:pt idx="0" formatCode="0">
                  <c:v>830000</c:v>
                </c:pt>
                <c:pt idx="1">
                  <c:v>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8-4669-BCC7-1D989F204E1B}"/>
            </c:ext>
          </c:extLst>
        </c:ser>
        <c:ser>
          <c:idx val="2"/>
          <c:order val="2"/>
          <c:tx>
            <c:strRef>
              <c:f>'screening curve'!$AU$9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curve'!$AV$9:$AW$9</c:f>
              <c:numCache>
                <c:formatCode>General</c:formatCode>
                <c:ptCount val="2"/>
                <c:pt idx="0" formatCode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8-4669-BCC7-1D989F204E1B}"/>
            </c:ext>
          </c:extLst>
        </c:ser>
        <c:ser>
          <c:idx val="3"/>
          <c:order val="3"/>
          <c:tx>
            <c:strRef>
              <c:f>'screening curve'!$AU$10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curve'!$AV$10:$AW$10</c:f>
              <c:numCache>
                <c:formatCode>General</c:formatCode>
                <c:ptCount val="2"/>
                <c:pt idx="0" formatCode="0">
                  <c:v>435000</c:v>
                </c:pt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88-4669-BCC7-1D989F204E1B}"/>
            </c:ext>
          </c:extLst>
        </c:ser>
        <c:ser>
          <c:idx val="4"/>
          <c:order val="4"/>
          <c:tx>
            <c:strRef>
              <c:f>'screening curve'!$AU$11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curve'!$AV$11:$AW$11</c:f>
              <c:numCache>
                <c:formatCode>General</c:formatCode>
                <c:ptCount val="2"/>
                <c:pt idx="0" formatCode="0">
                  <c:v>587000</c:v>
                </c:pt>
                <c:pt idx="1">
                  <c:v>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88-4669-BCC7-1D989F204E1B}"/>
            </c:ext>
          </c:extLst>
        </c:ser>
        <c:ser>
          <c:idx val="5"/>
          <c:order val="5"/>
          <c:tx>
            <c:strRef>
              <c:f>'screening curve'!$AU$12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curve'!$AV$12:$AW$12</c:f>
              <c:numCache>
                <c:formatCode>General</c:formatCode>
                <c:ptCount val="2"/>
                <c:pt idx="0" formatCode="0">
                  <c:v>2270000</c:v>
                </c:pt>
                <c:pt idx="1">
                  <c:v>1930000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88-4669-BCC7-1D989F204E1B}"/>
            </c:ext>
          </c:extLst>
        </c:ser>
        <c:ser>
          <c:idx val="6"/>
          <c:order val="6"/>
          <c:tx>
            <c:strRef>
              <c:f>'screening curve'!$AU$13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curve'!$AV$13:$AW$13</c:f>
              <c:numCache>
                <c:formatCode>General</c:formatCode>
                <c:ptCount val="2"/>
                <c:pt idx="0">
                  <c:v>1150000</c:v>
                </c:pt>
                <c:pt idx="1">
                  <c:v>1040000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88-4669-BCC7-1D989F204E1B}"/>
            </c:ext>
          </c:extLst>
        </c:ser>
        <c:ser>
          <c:idx val="7"/>
          <c:order val="7"/>
          <c:tx>
            <c:strRef>
              <c:f>'screening curve'!$AU$14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curve'!$AV$14:$AW$14</c:f>
              <c:numCache>
                <c:formatCode>General</c:formatCode>
                <c:ptCount val="2"/>
                <c:pt idx="0" formatCode="0">
                  <c:v>321000</c:v>
                </c:pt>
                <c:pt idx="1">
                  <c:v>284000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88-4669-BCC7-1D989F204E1B}"/>
            </c:ext>
          </c:extLst>
        </c:ser>
        <c:ser>
          <c:idx val="8"/>
          <c:order val="8"/>
          <c:tx>
            <c:strRef>
              <c:f>'screening curve'!$AU$15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curve'!$AV$15:$AW$15</c:f>
              <c:numCache>
                <c:formatCode>General</c:formatCode>
                <c:ptCount val="2"/>
                <c:pt idx="0" formatCode="0">
                  <c:v>1200000</c:v>
                </c:pt>
                <c:pt idx="1">
                  <c:v>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88-4669-BCC7-1D989F204E1B}"/>
            </c:ext>
          </c:extLst>
        </c:ser>
        <c:ser>
          <c:idx val="9"/>
          <c:order val="9"/>
          <c:tx>
            <c:strRef>
              <c:f>'screening curve'!$AU$16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curve'!$AV$6:$AW$6</c:f>
              <c:numCache>
                <c:formatCode>General</c:formatCode>
                <c:ptCount val="2"/>
                <c:pt idx="0">
                  <c:v>2020</c:v>
                </c:pt>
                <c:pt idx="1">
                  <c:v>2030</c:v>
                </c:pt>
              </c:numCache>
            </c:numRef>
          </c:xVal>
          <c:yVal>
            <c:numRef>
              <c:f>'screening curve'!$AV$16:$AW$16</c:f>
              <c:numCache>
                <c:formatCode>General</c:formatCode>
                <c:ptCount val="2"/>
                <c:pt idx="0" formatCode="0">
                  <c:v>8000000</c:v>
                </c:pt>
                <c:pt idx="1">
                  <c:v>2990000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88-4669-BCC7-1D989F20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380864"/>
        <c:axId val="654375040"/>
      </c:scatterChart>
      <c:valAx>
        <c:axId val="6543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75040"/>
        <c:crosses val="autoZero"/>
        <c:crossBetween val="midCat"/>
      </c:valAx>
      <c:valAx>
        <c:axId val="6543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70391</xdr:colOff>
      <xdr:row>48</xdr:row>
      <xdr:rowOff>170007</xdr:rowOff>
    </xdr:from>
    <xdr:to>
      <xdr:col>30</xdr:col>
      <xdr:colOff>311728</xdr:colOff>
      <xdr:row>71</xdr:row>
      <xdr:rowOff>109001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48778</xdr:colOff>
      <xdr:row>30</xdr:row>
      <xdr:rowOff>83415</xdr:rowOff>
    </xdr:from>
    <xdr:to>
      <xdr:col>29</xdr:col>
      <xdr:colOff>450272</xdr:colOff>
      <xdr:row>47</xdr:row>
      <xdr:rowOff>164602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132522</xdr:colOff>
      <xdr:row>1</xdr:row>
      <xdr:rowOff>104500</xdr:rowOff>
    </xdr:from>
    <xdr:to>
      <xdr:col>43</xdr:col>
      <xdr:colOff>588066</xdr:colOff>
      <xdr:row>16</xdr:row>
      <xdr:rowOff>100219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18A29-45AB-8546-3646-8DB426CEB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17</xdr:row>
      <xdr:rowOff>57978</xdr:rowOff>
    </xdr:from>
    <xdr:to>
      <xdr:col>43</xdr:col>
      <xdr:colOff>275259</xdr:colOff>
      <xdr:row>35</xdr:row>
      <xdr:rowOff>16289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04094-731E-4833-A8CE-9D92FA59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466724</xdr:colOff>
      <xdr:row>5</xdr:row>
      <xdr:rowOff>63500</xdr:rowOff>
    </xdr:from>
    <xdr:to>
      <xdr:col>57</xdr:col>
      <xdr:colOff>365124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39DE1-0FD0-B820-1F9D-49D63AB0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560641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ed_Tradere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Biomass_CHP_wood_pellets_DH</v>
          </cell>
          <cell r="B2">
            <v>117000</v>
          </cell>
          <cell r="C2">
            <v>2400000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</row>
        <row r="4">
          <cell r="A4" t="str">
            <v>Building_electric_heater</v>
          </cell>
        </row>
        <row r="5">
          <cell r="A5" t="str">
            <v>Building_gas_heater</v>
          </cell>
        </row>
        <row r="6">
          <cell r="A6" t="str">
            <v>Building_heat_pump_air_to_air</v>
          </cell>
        </row>
        <row r="7">
          <cell r="A7" t="str">
            <v>Building_heat_pump_air_to_water</v>
          </cell>
        </row>
        <row r="8">
          <cell r="A8" t="str">
            <v>CCGT</v>
          </cell>
          <cell r="B8">
            <v>27800</v>
          </cell>
          <cell r="C8">
            <v>830000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</row>
        <row r="11">
          <cell r="A11" t="str">
            <v>CCS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</row>
        <row r="15">
          <cell r="A15" t="str">
            <v>Gasifier_and_methanation</v>
          </cell>
        </row>
        <row r="16">
          <cell r="A16" t="str">
            <v>Hydrogen_to_Jet_Fuel</v>
          </cell>
          <cell r="C16">
            <v>900000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</row>
        <row r="41">
          <cell r="A41" t="str">
            <v>OCGT</v>
          </cell>
          <cell r="B41">
            <v>7745</v>
          </cell>
          <cell r="C41">
            <v>435000</v>
          </cell>
        </row>
        <row r="42">
          <cell r="A42" t="str">
            <v>PEM_Electrolyzer</v>
          </cell>
        </row>
        <row r="43">
          <cell r="A43" t="str">
            <v>Power_to_Jet_Fuel</v>
          </cell>
          <cell r="C43">
            <v>1600000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</row>
        <row r="49">
          <cell r="A49" t="str">
            <v>Wave_energy</v>
          </cell>
          <cell r="C49">
            <v>3350000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</row>
        <row r="52">
          <cell r="A52" t="str">
            <v>Lithium_ion_battery</v>
          </cell>
          <cell r="B52">
            <v>540</v>
          </cell>
          <cell r="C52">
            <v>284000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2-03-14T19:51:52.93" personId="{08DB7B5E-EE37-4573-9C2A-FF3EA7A96B25}" id="{489F10AE-86A4-4AC9-86C9-916F3217A790}">
    <text>changed from base to 2040</text>
  </threadedComment>
  <threadedComment ref="L16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8" dT="2022-03-14T19:51:52.93" personId="{08DB7B5E-EE37-4573-9C2A-FF3EA7A96B25}" id="{5A380354-F1AE-4302-B180-D5D544617F12}">
    <text>changed from base to 2040</text>
  </threadedComment>
  <threadedComment ref="AO11" dT="2022-03-14T19:51:52.93" personId="{08DB7B5E-EE37-4573-9C2A-FF3EA7A96B25}" id="{5F27A0BA-7D59-45AD-A651-D969A7E4806A}">
    <text>changed from base to 2040</text>
  </threadedComment>
  <threadedComment ref="S18" dT="2022-04-13T10:01:29.65" personId="{08DB7B5E-EE37-4573-9C2A-FF3EA7A96B25}" id="{469C9998-4169-403F-A81D-B4AE2C96B400}">
    <text>in emlab and Traderes Eur/MW</text>
  </threadedComment>
  <threadedComment ref="T18" dT="2022-04-13T10:02:47.94" personId="{08DB7B5E-EE37-4573-9C2A-FF3EA7A96B25}" id="{0CEEEEED-0B8C-4135-ABEF-3B4052BEC1E8}">
    <text>in traderes
€/MW(h)/year, same as emlab</text>
  </threadedComment>
  <threadedComment ref="U18" dT="2022-04-08T13:22:02.82" personId="{08DB7B5E-EE37-4573-9C2A-FF3EA7A96B25}" id="{5EF769B7-DE3B-4FD0-84F9-E05E3BD7715D}">
    <text>Eur/MWh</text>
  </threadedComment>
  <threadedComment ref="AV20" dT="2022-07-14T10:37:18.44" personId="{08DB7B5E-EE37-4573-9C2A-FF3EA7A96B25}" id="{609401BD-7FC6-4845-8F1F-E247414E10FB}">
    <text>eur/mw_el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C1" dT="2022-04-13T10:02:47.94" personId="{08DB7B5E-EE37-4573-9C2A-FF3EA7A96B25}" id="{C386BFA0-6810-4E0B-9FD5-9424CC3D4316}">
    <text>in traderes
€/MW(h)/year, same as emlab</text>
  </threadedComment>
  <threadedComment ref="D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opLeftCell="A7" zoomScale="87" zoomScaleNormal="87" workbookViewId="0">
      <selection activeCell="G57" sqref="G57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169</v>
      </c>
      <c r="K1" s="9" t="s">
        <v>170</v>
      </c>
      <c r="L1" s="9" t="s">
        <v>171</v>
      </c>
      <c r="M1" s="9" t="s">
        <v>172</v>
      </c>
      <c r="N1" s="28"/>
      <c r="O1" s="28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8" customFormat="1">
      <c r="A2" s="8" t="s">
        <v>26</v>
      </c>
      <c r="B2" s="8">
        <v>117000</v>
      </c>
      <c r="C2" s="25">
        <v>2400000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Q3">
        <v>0.15</v>
      </c>
      <c r="S3">
        <v>21</v>
      </c>
      <c r="X3">
        <v>39.369999999999997</v>
      </c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9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180</v>
      </c>
      <c r="B52" s="18">
        <v>540</v>
      </c>
      <c r="C52" s="42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2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1796875" customWidth="1"/>
    <col min="3" max="3" width="23.1796875" style="21" customWidth="1"/>
    <col min="4" max="13" width="23.1796875" customWidth="1"/>
    <col min="25" max="113" width="8.7265625" style="7"/>
  </cols>
  <sheetData>
    <row r="1" spans="1:113">
      <c r="A1" t="s">
        <v>187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169</v>
      </c>
      <c r="K1" s="9" t="s">
        <v>170</v>
      </c>
      <c r="L1" s="9" t="s">
        <v>171</v>
      </c>
      <c r="M1" s="9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173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180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453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8164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5429687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54296875" bestFit="1" customWidth="1"/>
    <col min="8" max="8" width="2.81640625" customWidth="1"/>
    <col min="9" max="9" width="2.5429687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189</v>
      </c>
      <c r="B3" s="13" t="s">
        <v>190</v>
      </c>
    </row>
    <row r="4" spans="1:12">
      <c r="A4" s="13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188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17968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185</v>
      </c>
      <c r="B1" t="s">
        <v>193</v>
      </c>
    </row>
    <row r="2" spans="1:10">
      <c r="A2" s="13" t="s">
        <v>192</v>
      </c>
      <c r="B2" t="s">
        <v>117</v>
      </c>
    </row>
    <row r="4" spans="1:10">
      <c r="A4" s="13" t="s">
        <v>194</v>
      </c>
      <c r="B4" s="13" t="s">
        <v>190</v>
      </c>
    </row>
    <row r="5" spans="1:10">
      <c r="A5" s="13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188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8164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6" t="s">
        <v>195</v>
      </c>
      <c r="B20" t="s">
        <v>197</v>
      </c>
      <c r="C20" t="s">
        <v>201</v>
      </c>
    </row>
    <row r="21" spans="1:3">
      <c r="A21" s="16" t="s">
        <v>198</v>
      </c>
      <c r="B21" t="s">
        <v>199</v>
      </c>
      <c r="C21" t="s">
        <v>202</v>
      </c>
    </row>
    <row r="22" spans="1:3">
      <c r="A22" s="17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P94"/>
  <sheetViews>
    <sheetView zoomScale="85" zoomScaleNormal="85" workbookViewId="0">
      <selection activeCell="D25" sqref="A12:D25"/>
    </sheetView>
  </sheetViews>
  <sheetFormatPr defaultRowHeight="14.5"/>
  <cols>
    <col min="1" max="1" width="28.81640625" customWidth="1"/>
    <col min="2" max="2" width="25.1796875" customWidth="1"/>
    <col min="3" max="3" width="31.54296875" customWidth="1"/>
    <col min="4" max="4" width="14.7265625" customWidth="1"/>
    <col min="5" max="5" width="34.26953125" customWidth="1"/>
    <col min="10" max="10" width="32.1796875" customWidth="1"/>
  </cols>
  <sheetData>
    <row r="1" spans="1:16">
      <c r="A1" s="7" t="s">
        <v>75</v>
      </c>
      <c r="B1" s="7" t="s">
        <v>76</v>
      </c>
      <c r="C1" s="7" t="s">
        <v>77</v>
      </c>
      <c r="D1" s="7">
        <v>102</v>
      </c>
    </row>
    <row r="2" spans="1:16">
      <c r="A2" s="7" t="s">
        <v>75</v>
      </c>
      <c r="B2" s="7" t="s">
        <v>76</v>
      </c>
      <c r="C2" s="7" t="s">
        <v>78</v>
      </c>
      <c r="D2" s="7">
        <v>36</v>
      </c>
    </row>
    <row r="3" spans="1:16">
      <c r="A3" s="7" t="s">
        <v>79</v>
      </c>
      <c r="B3" s="7" t="s">
        <v>76</v>
      </c>
      <c r="C3" s="7" t="s">
        <v>77</v>
      </c>
      <c r="D3" s="7">
        <v>30</v>
      </c>
    </row>
    <row r="4" spans="1:16">
      <c r="A4" s="7" t="s">
        <v>79</v>
      </c>
      <c r="B4" s="7" t="s">
        <v>76</v>
      </c>
      <c r="C4" s="7" t="s">
        <v>78</v>
      </c>
      <c r="D4" s="7">
        <v>15</v>
      </c>
    </row>
    <row r="5" spans="1:16">
      <c r="A5" s="7" t="s">
        <v>80</v>
      </c>
      <c r="B5" s="7" t="s">
        <v>76</v>
      </c>
      <c r="C5" s="7" t="s">
        <v>77</v>
      </c>
      <c r="D5" s="7">
        <v>125</v>
      </c>
      <c r="H5" s="40"/>
      <c r="I5" s="40"/>
      <c r="J5" s="40"/>
      <c r="K5" s="40"/>
      <c r="L5" s="40"/>
      <c r="M5" s="40"/>
      <c r="N5" s="40"/>
      <c r="O5" s="40"/>
      <c r="P5" s="40"/>
    </row>
    <row r="6" spans="1:16">
      <c r="A6" s="7" t="s">
        <v>80</v>
      </c>
      <c r="B6" s="7" t="s">
        <v>76</v>
      </c>
      <c r="C6" s="7" t="s">
        <v>78</v>
      </c>
      <c r="D6" s="7">
        <v>40</v>
      </c>
      <c r="H6" s="40"/>
      <c r="I6" s="40"/>
      <c r="J6" s="40"/>
      <c r="K6" s="40"/>
      <c r="L6" s="40"/>
      <c r="M6" s="40"/>
      <c r="N6" s="40"/>
      <c r="O6" s="40"/>
      <c r="P6" s="40"/>
    </row>
    <row r="7" spans="1:16">
      <c r="A7" s="7" t="s">
        <v>81</v>
      </c>
      <c r="B7" s="7" t="s">
        <v>76</v>
      </c>
      <c r="C7" s="7" t="s">
        <v>77</v>
      </c>
      <c r="D7" s="7">
        <v>15</v>
      </c>
      <c r="H7" s="40"/>
      <c r="I7" s="40"/>
      <c r="J7" s="40"/>
      <c r="K7" s="40"/>
      <c r="L7" s="40"/>
      <c r="M7" s="40"/>
      <c r="N7" s="40"/>
      <c r="O7" s="40"/>
      <c r="P7" s="40"/>
    </row>
    <row r="8" spans="1:16">
      <c r="A8" s="7" t="s">
        <v>81</v>
      </c>
      <c r="B8" s="7" t="s">
        <v>76</v>
      </c>
      <c r="C8" s="7" t="s">
        <v>78</v>
      </c>
      <c r="D8" s="7">
        <v>0</v>
      </c>
      <c r="H8" s="40"/>
      <c r="I8" s="40"/>
      <c r="J8" s="40"/>
      <c r="K8" s="40"/>
      <c r="L8" s="40"/>
      <c r="M8" s="40"/>
      <c r="N8" s="40"/>
      <c r="O8" s="40"/>
      <c r="P8" s="40"/>
    </row>
    <row r="9" spans="1:16">
      <c r="A9" s="7" t="s">
        <v>82</v>
      </c>
      <c r="B9" s="7" t="s">
        <v>76</v>
      </c>
      <c r="C9" s="7" t="s">
        <v>77</v>
      </c>
      <c r="D9" s="7">
        <v>45</v>
      </c>
      <c r="H9" s="40"/>
      <c r="I9" s="40"/>
      <c r="J9" s="40"/>
      <c r="K9" s="40"/>
      <c r="L9" s="40"/>
      <c r="M9" s="40"/>
      <c r="N9" s="40"/>
      <c r="O9" s="40"/>
      <c r="P9" s="40"/>
    </row>
    <row r="10" spans="1:16">
      <c r="A10" s="7" t="s">
        <v>82</v>
      </c>
      <c r="B10" s="7" t="s">
        <v>76</v>
      </c>
      <c r="C10" s="7" t="s">
        <v>78</v>
      </c>
      <c r="D10" s="7">
        <v>30</v>
      </c>
      <c r="F10" s="7"/>
      <c r="G10" s="7"/>
      <c r="H10" s="40"/>
      <c r="I10" s="40"/>
      <c r="J10" s="40"/>
      <c r="K10" s="40"/>
      <c r="L10" s="40"/>
      <c r="M10" s="40"/>
      <c r="N10" s="40"/>
      <c r="O10" s="40"/>
      <c r="P10" s="40"/>
    </row>
    <row r="11" spans="1:16">
      <c r="A11" s="8" t="s">
        <v>100</v>
      </c>
      <c r="B11" s="8" t="s">
        <v>167</v>
      </c>
      <c r="C11" s="8" t="s">
        <v>101</v>
      </c>
      <c r="D11" s="8">
        <v>1</v>
      </c>
      <c r="F11" s="7"/>
      <c r="G11" s="7"/>
      <c r="H11" s="40"/>
      <c r="I11" s="40"/>
      <c r="J11" s="40"/>
      <c r="K11" s="40"/>
      <c r="L11" s="40"/>
      <c r="M11" s="40"/>
      <c r="N11" s="40"/>
      <c r="O11" s="40"/>
      <c r="P11" s="40"/>
    </row>
    <row r="12" spans="1:16">
      <c r="A12" s="7" t="s">
        <v>85</v>
      </c>
      <c r="B12" s="8" t="s">
        <v>167</v>
      </c>
      <c r="C12" s="7" t="s">
        <v>83</v>
      </c>
      <c r="D12" s="7">
        <v>79.69</v>
      </c>
      <c r="F12" s="7"/>
      <c r="G12" s="7"/>
      <c r="H12" s="40"/>
      <c r="I12" s="40"/>
      <c r="J12" s="40"/>
      <c r="K12" s="40"/>
      <c r="L12" s="40"/>
      <c r="M12" s="40"/>
      <c r="N12" s="40"/>
      <c r="O12" s="40"/>
      <c r="P12" s="40"/>
    </row>
    <row r="13" spans="1:16">
      <c r="A13" s="37" t="s">
        <v>86</v>
      </c>
      <c r="B13" s="37" t="s">
        <v>167</v>
      </c>
      <c r="C13" s="37" t="s">
        <v>83</v>
      </c>
      <c r="D13" s="37">
        <v>45.07</v>
      </c>
      <c r="F13" s="7"/>
      <c r="G13" s="7"/>
      <c r="H13" s="40"/>
      <c r="I13" s="40"/>
      <c r="J13" s="40"/>
      <c r="K13" s="40"/>
      <c r="L13" s="40"/>
      <c r="M13" s="40"/>
      <c r="N13" s="40"/>
      <c r="O13" s="40"/>
      <c r="P13" s="40"/>
    </row>
    <row r="14" spans="1:16">
      <c r="A14" s="7" t="s">
        <v>87</v>
      </c>
      <c r="B14" s="8" t="s">
        <v>167</v>
      </c>
      <c r="C14" s="7" t="s">
        <v>83</v>
      </c>
      <c r="D14" s="7">
        <v>104.96</v>
      </c>
      <c r="F14" s="7"/>
      <c r="G14" s="7"/>
      <c r="H14" s="40"/>
      <c r="I14" s="40"/>
      <c r="J14" s="40"/>
      <c r="K14" s="40"/>
      <c r="L14" s="40"/>
      <c r="M14" s="40"/>
      <c r="N14" s="40"/>
      <c r="O14" s="40"/>
      <c r="P14" s="40"/>
    </row>
    <row r="15" spans="1:16">
      <c r="A15" s="7" t="s">
        <v>88</v>
      </c>
      <c r="B15" s="8" t="s">
        <v>167</v>
      </c>
      <c r="C15" s="7" t="s">
        <v>83</v>
      </c>
      <c r="D15" s="7">
        <v>3.96</v>
      </c>
      <c r="F15" s="7"/>
      <c r="G15" s="7"/>
      <c r="H15" s="40"/>
      <c r="I15" s="40"/>
      <c r="J15" s="40"/>
      <c r="K15" s="40"/>
      <c r="L15" s="40"/>
      <c r="M15" s="40"/>
      <c r="N15" s="40"/>
      <c r="O15" s="40"/>
      <c r="P15" s="40"/>
    </row>
    <row r="16" spans="1:16">
      <c r="A16" s="7" t="s">
        <v>11</v>
      </c>
      <c r="B16" s="8" t="s">
        <v>167</v>
      </c>
      <c r="C16" s="7" t="s">
        <v>83</v>
      </c>
      <c r="D16" s="7">
        <v>46.996000000000002</v>
      </c>
      <c r="F16" s="7"/>
      <c r="G16" s="7"/>
      <c r="H16" s="40"/>
      <c r="I16" s="40"/>
      <c r="J16" s="40"/>
      <c r="K16" s="40"/>
      <c r="L16" s="40"/>
      <c r="M16" s="40"/>
      <c r="N16" s="40"/>
      <c r="O16" s="40"/>
      <c r="P16" s="40"/>
    </row>
    <row r="17" spans="1:16">
      <c r="A17" s="7" t="s">
        <v>89</v>
      </c>
      <c r="B17" s="8" t="s">
        <v>167</v>
      </c>
      <c r="C17" s="7" t="s">
        <v>83</v>
      </c>
      <c r="D17" s="7">
        <v>42.74</v>
      </c>
      <c r="F17" s="7"/>
      <c r="G17" s="7"/>
      <c r="H17" s="40"/>
      <c r="I17" s="40"/>
      <c r="J17" s="40"/>
      <c r="K17" s="40"/>
      <c r="L17" s="40"/>
      <c r="M17" s="40"/>
      <c r="N17" s="40"/>
      <c r="O17" s="40"/>
      <c r="P17" s="40"/>
    </row>
    <row r="18" spans="1:16">
      <c r="A18" s="7" t="s">
        <v>90</v>
      </c>
      <c r="B18" s="8" t="s">
        <v>167</v>
      </c>
      <c r="C18" s="7" t="s">
        <v>83</v>
      </c>
      <c r="D18" s="7">
        <v>1.69</v>
      </c>
      <c r="F18" s="7"/>
      <c r="G18" s="7"/>
      <c r="H18" s="40"/>
      <c r="I18" s="40"/>
      <c r="J18" s="40"/>
      <c r="K18" s="40"/>
      <c r="L18" s="40"/>
      <c r="M18" s="40"/>
      <c r="N18" s="40"/>
      <c r="O18" s="40"/>
      <c r="P18" s="40"/>
    </row>
    <row r="19" spans="1:16">
      <c r="A19" s="7" t="s">
        <v>91</v>
      </c>
      <c r="B19" s="8" t="s">
        <v>167</v>
      </c>
      <c r="C19" s="7" t="s">
        <v>83</v>
      </c>
      <c r="D19" s="7">
        <v>8.2799999999999994</v>
      </c>
      <c r="F19" s="7"/>
      <c r="G19" s="7"/>
      <c r="H19" s="40"/>
      <c r="I19" s="40"/>
      <c r="J19" s="40"/>
      <c r="K19" s="40"/>
      <c r="L19" s="40"/>
      <c r="M19" s="40"/>
      <c r="N19" s="40"/>
      <c r="O19" s="40"/>
      <c r="P19" s="40"/>
    </row>
    <row r="20" spans="1:16">
      <c r="A20" s="7" t="s">
        <v>84</v>
      </c>
      <c r="B20" s="8" t="s">
        <v>167</v>
      </c>
      <c r="C20" s="7" t="s">
        <v>83</v>
      </c>
      <c r="D20" s="7">
        <v>11.37</v>
      </c>
      <c r="F20" s="7"/>
      <c r="G20" s="7"/>
      <c r="H20" s="40"/>
      <c r="I20" s="40"/>
      <c r="J20" s="40"/>
      <c r="K20" s="40"/>
      <c r="L20" s="40"/>
      <c r="M20" s="40"/>
      <c r="N20" s="40"/>
      <c r="O20" s="40"/>
      <c r="P20" s="40"/>
    </row>
    <row r="21" spans="1:16">
      <c r="A21" s="7" t="s">
        <v>81</v>
      </c>
      <c r="B21" s="8" t="s">
        <v>167</v>
      </c>
      <c r="C21" s="7" t="s">
        <v>83</v>
      </c>
      <c r="D21" s="7">
        <v>7.5</v>
      </c>
      <c r="F21" s="7"/>
      <c r="G21" s="7"/>
      <c r="H21" s="40"/>
      <c r="I21" s="40"/>
      <c r="J21" s="40"/>
      <c r="K21" s="40"/>
      <c r="L21" s="40"/>
      <c r="M21" s="40"/>
      <c r="N21" s="40"/>
      <c r="O21" s="40"/>
      <c r="P21" s="40"/>
    </row>
    <row r="22" spans="1:16">
      <c r="A22" s="37" t="s">
        <v>82</v>
      </c>
      <c r="B22" s="37" t="s">
        <v>167</v>
      </c>
      <c r="C22" s="37" t="s">
        <v>83</v>
      </c>
      <c r="D22" s="37">
        <v>45</v>
      </c>
      <c r="F22" s="7"/>
      <c r="G22" s="7"/>
      <c r="H22" s="40"/>
      <c r="I22" s="40"/>
      <c r="J22" s="40"/>
      <c r="K22" s="40"/>
      <c r="L22" s="40"/>
      <c r="M22" s="40"/>
      <c r="N22" s="40"/>
      <c r="O22" s="40"/>
      <c r="P22" s="40"/>
    </row>
    <row r="23" spans="1:16">
      <c r="A23" s="7" t="s">
        <v>80</v>
      </c>
      <c r="B23" s="8" t="s">
        <v>167</v>
      </c>
      <c r="C23" s="7" t="s">
        <v>83</v>
      </c>
      <c r="D23" s="7">
        <v>82.5</v>
      </c>
      <c r="F23" s="7"/>
      <c r="G23" s="7"/>
      <c r="H23" s="40"/>
      <c r="I23" s="40"/>
      <c r="J23" s="40"/>
      <c r="K23" s="40"/>
      <c r="L23" s="40"/>
      <c r="M23" s="40"/>
      <c r="N23" s="40"/>
      <c r="O23" s="40"/>
      <c r="P23" s="40"/>
    </row>
    <row r="24" spans="1:16">
      <c r="A24" s="37" t="s">
        <v>75</v>
      </c>
      <c r="B24" s="37" t="s">
        <v>167</v>
      </c>
      <c r="C24" s="37" t="s">
        <v>83</v>
      </c>
      <c r="D24" s="37">
        <v>50.29</v>
      </c>
      <c r="F24" s="7"/>
      <c r="G24" s="7"/>
      <c r="H24" s="40"/>
      <c r="I24" s="40"/>
      <c r="J24" s="40"/>
      <c r="K24" s="40"/>
      <c r="L24" s="40"/>
      <c r="M24" s="40"/>
      <c r="N24" s="40"/>
      <c r="O24" s="40"/>
      <c r="P24" s="40"/>
    </row>
    <row r="25" spans="1:16">
      <c r="A25" s="37" t="s">
        <v>79</v>
      </c>
      <c r="B25" s="37" t="s">
        <v>167</v>
      </c>
      <c r="C25" s="37" t="s">
        <v>83</v>
      </c>
      <c r="D25" s="37">
        <v>15</v>
      </c>
      <c r="H25" s="40"/>
      <c r="I25" s="40"/>
      <c r="J25" s="40"/>
      <c r="K25" s="40"/>
      <c r="L25" s="40"/>
      <c r="M25" s="40"/>
      <c r="N25" s="40"/>
      <c r="O25" s="40"/>
      <c r="P25" s="40"/>
    </row>
    <row r="26" spans="1:16">
      <c r="A26" s="37" t="s">
        <v>84</v>
      </c>
      <c r="B26" s="37" t="s">
        <v>92</v>
      </c>
      <c r="C26" s="37">
        <v>2030</v>
      </c>
      <c r="D26" s="37">
        <v>100</v>
      </c>
      <c r="H26" s="40"/>
      <c r="I26" s="40"/>
      <c r="J26" s="40"/>
      <c r="K26" s="40"/>
      <c r="L26" s="40"/>
      <c r="M26" s="40"/>
      <c r="N26" s="40"/>
      <c r="O26" s="40"/>
      <c r="P26" s="40"/>
    </row>
    <row r="27" spans="1:16">
      <c r="A27" s="37" t="s">
        <v>85</v>
      </c>
      <c r="B27" s="37" t="s">
        <v>92</v>
      </c>
      <c r="C27" s="37">
        <v>2030</v>
      </c>
      <c r="D27" s="37">
        <v>100</v>
      </c>
      <c r="H27" s="40"/>
      <c r="I27" s="40"/>
      <c r="J27" s="40"/>
      <c r="K27" s="40"/>
      <c r="L27" s="40"/>
      <c r="M27" s="40"/>
      <c r="N27" s="40"/>
      <c r="O27" s="40"/>
      <c r="P27" s="40"/>
    </row>
    <row r="28" spans="1:16">
      <c r="A28" s="37" t="s">
        <v>87</v>
      </c>
      <c r="B28" s="37" t="s">
        <v>92</v>
      </c>
      <c r="C28" s="37">
        <v>2030</v>
      </c>
      <c r="D28" s="37">
        <v>100</v>
      </c>
      <c r="H28" s="40"/>
      <c r="I28" s="40"/>
      <c r="J28" s="40"/>
      <c r="K28" s="40"/>
      <c r="L28" s="40"/>
      <c r="M28" s="40"/>
      <c r="N28" s="40"/>
      <c r="O28" s="40"/>
      <c r="P28" s="40"/>
    </row>
    <row r="29" spans="1:16">
      <c r="A29" s="37" t="s">
        <v>88</v>
      </c>
      <c r="B29" s="37" t="s">
        <v>92</v>
      </c>
      <c r="C29" s="37">
        <v>2030</v>
      </c>
      <c r="D29" s="37">
        <v>100</v>
      </c>
      <c r="H29" s="40"/>
      <c r="I29" s="40"/>
      <c r="J29" s="40"/>
      <c r="K29" s="40"/>
      <c r="L29" s="40"/>
      <c r="M29" s="40"/>
      <c r="N29" s="40"/>
      <c r="O29" s="40"/>
      <c r="P29" s="40"/>
    </row>
    <row r="30" spans="1:16">
      <c r="A30" s="37" t="s">
        <v>11</v>
      </c>
      <c r="B30" s="37" t="s">
        <v>92</v>
      </c>
      <c r="C30" s="37">
        <v>2030</v>
      </c>
      <c r="D30" s="37">
        <v>100</v>
      </c>
      <c r="H30" s="40"/>
      <c r="I30" s="40"/>
      <c r="J30" s="40"/>
      <c r="K30" s="40"/>
      <c r="L30" s="40"/>
      <c r="M30" s="40"/>
      <c r="N30" s="40"/>
      <c r="O30" s="40"/>
      <c r="P30" s="40"/>
    </row>
    <row r="31" spans="1:16">
      <c r="A31" s="37" t="s">
        <v>89</v>
      </c>
      <c r="B31" s="37" t="s">
        <v>92</v>
      </c>
      <c r="C31" s="37">
        <v>2030</v>
      </c>
      <c r="D31" s="37">
        <v>100</v>
      </c>
      <c r="H31" s="40"/>
      <c r="I31" s="40"/>
      <c r="J31" s="40"/>
      <c r="K31" s="40"/>
      <c r="L31" s="40"/>
      <c r="M31" s="40"/>
      <c r="N31" s="40"/>
      <c r="O31" s="40"/>
      <c r="P31" s="40"/>
    </row>
    <row r="32" spans="1:16">
      <c r="A32" s="37" t="s">
        <v>91</v>
      </c>
      <c r="B32" s="37" t="s">
        <v>92</v>
      </c>
      <c r="C32" s="37">
        <v>2030</v>
      </c>
      <c r="D32" s="37">
        <v>100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>
      <c r="A33" s="7" t="s">
        <v>84</v>
      </c>
      <c r="B33" s="7" t="s">
        <v>92</v>
      </c>
      <c r="C33" s="7">
        <v>2050</v>
      </c>
      <c r="D33" s="7">
        <v>120</v>
      </c>
      <c r="H33" s="40"/>
      <c r="I33" s="40"/>
      <c r="J33" s="40"/>
      <c r="K33" s="40"/>
      <c r="L33" s="40"/>
      <c r="M33" s="40"/>
      <c r="N33" s="40"/>
      <c r="O33" s="40"/>
      <c r="P33" s="40"/>
    </row>
    <row r="34" spans="1:16">
      <c r="A34" s="7" t="s">
        <v>85</v>
      </c>
      <c r="B34" s="7" t="s">
        <v>92</v>
      </c>
      <c r="C34" s="7">
        <v>2050</v>
      </c>
      <c r="D34" s="7">
        <v>120</v>
      </c>
      <c r="H34" s="40"/>
      <c r="I34" s="40"/>
      <c r="J34" s="40"/>
      <c r="K34" s="40"/>
      <c r="L34" s="40"/>
      <c r="M34" s="40"/>
      <c r="N34" s="40"/>
      <c r="O34" s="40"/>
      <c r="P34" s="40"/>
    </row>
    <row r="35" spans="1:16">
      <c r="A35" s="7" t="s">
        <v>87</v>
      </c>
      <c r="B35" s="7" t="s">
        <v>92</v>
      </c>
      <c r="C35" s="7">
        <v>2050</v>
      </c>
      <c r="D35" s="7">
        <v>120</v>
      </c>
      <c r="H35" s="40"/>
      <c r="I35" s="40"/>
      <c r="J35" s="40"/>
      <c r="K35" s="40"/>
      <c r="L35" s="40"/>
      <c r="M35" s="40"/>
      <c r="N35" s="40"/>
      <c r="O35" s="40"/>
      <c r="P35" s="40"/>
    </row>
    <row r="36" spans="1:16">
      <c r="A36" s="7" t="s">
        <v>88</v>
      </c>
      <c r="B36" s="7" t="s">
        <v>92</v>
      </c>
      <c r="C36" s="7">
        <v>2050</v>
      </c>
      <c r="D36" s="7">
        <v>120</v>
      </c>
    </row>
    <row r="37" spans="1:16">
      <c r="A37" s="7" t="s">
        <v>11</v>
      </c>
      <c r="B37" s="7" t="s">
        <v>92</v>
      </c>
      <c r="C37" s="7">
        <v>2050</v>
      </c>
      <c r="D37" s="7">
        <v>120</v>
      </c>
    </row>
    <row r="38" spans="1:16">
      <c r="A38" s="7" t="s">
        <v>89</v>
      </c>
      <c r="B38" s="7" t="s">
        <v>92</v>
      </c>
      <c r="C38" s="7">
        <v>2050</v>
      </c>
      <c r="D38" s="7">
        <v>120</v>
      </c>
    </row>
    <row r="39" spans="1:16">
      <c r="A39" s="7" t="s">
        <v>91</v>
      </c>
      <c r="B39" s="7" t="s">
        <v>92</v>
      </c>
      <c r="C39" s="7">
        <v>2050</v>
      </c>
      <c r="D39" s="7">
        <v>120</v>
      </c>
    </row>
    <row r="40" spans="1:16">
      <c r="A40" s="7" t="s">
        <v>84</v>
      </c>
      <c r="B40" s="7" t="s">
        <v>92</v>
      </c>
      <c r="C40" s="7" t="s">
        <v>93</v>
      </c>
      <c r="D40" s="7">
        <v>200</v>
      </c>
    </row>
    <row r="41" spans="1:16">
      <c r="A41" s="7" t="s">
        <v>85</v>
      </c>
      <c r="B41" s="7" t="s">
        <v>92</v>
      </c>
      <c r="C41" s="7" t="s">
        <v>93</v>
      </c>
      <c r="D41" s="7">
        <v>200</v>
      </c>
    </row>
    <row r="42" spans="1:16">
      <c r="A42" s="7" t="s">
        <v>87</v>
      </c>
      <c r="B42" s="7" t="s">
        <v>92</v>
      </c>
      <c r="C42" s="7" t="s">
        <v>93</v>
      </c>
      <c r="D42" s="7">
        <v>200</v>
      </c>
    </row>
    <row r="43" spans="1:16">
      <c r="A43" s="7" t="s">
        <v>88</v>
      </c>
      <c r="B43" s="7" t="s">
        <v>92</v>
      </c>
      <c r="C43" s="7" t="s">
        <v>93</v>
      </c>
      <c r="D43" s="7">
        <v>200</v>
      </c>
    </row>
    <row r="44" spans="1:16">
      <c r="A44" s="7" t="s">
        <v>11</v>
      </c>
      <c r="B44" s="7" t="s">
        <v>92</v>
      </c>
      <c r="C44" s="7" t="s">
        <v>93</v>
      </c>
      <c r="D44" s="7">
        <v>200</v>
      </c>
    </row>
    <row r="45" spans="1:16">
      <c r="A45" s="7" t="s">
        <v>89</v>
      </c>
      <c r="B45" s="7" t="s">
        <v>92</v>
      </c>
      <c r="C45" s="7" t="s">
        <v>93</v>
      </c>
      <c r="D45" s="7">
        <v>200</v>
      </c>
    </row>
    <row r="46" spans="1:16">
      <c r="A46" s="7" t="s">
        <v>91</v>
      </c>
      <c r="B46" s="7" t="s">
        <v>92</v>
      </c>
      <c r="C46" s="7" t="s">
        <v>93</v>
      </c>
      <c r="D46" s="7">
        <v>200</v>
      </c>
    </row>
    <row r="47" spans="1:16">
      <c r="A47" s="7" t="s">
        <v>84</v>
      </c>
      <c r="B47" s="7" t="s">
        <v>92</v>
      </c>
      <c r="C47" s="7" t="s">
        <v>94</v>
      </c>
      <c r="D47" s="7">
        <v>70</v>
      </c>
    </row>
    <row r="48" spans="1:16">
      <c r="A48" s="7" t="s">
        <v>85</v>
      </c>
      <c r="B48" s="7" t="s">
        <v>92</v>
      </c>
      <c r="C48" s="7" t="s">
        <v>94</v>
      </c>
      <c r="D48" s="7">
        <v>70</v>
      </c>
    </row>
    <row r="49" spans="1:4">
      <c r="A49" s="7" t="s">
        <v>87</v>
      </c>
      <c r="B49" s="7" t="s">
        <v>92</v>
      </c>
      <c r="C49" s="7" t="s">
        <v>94</v>
      </c>
      <c r="D49" s="7">
        <v>70</v>
      </c>
    </row>
    <row r="50" spans="1:4">
      <c r="A50" s="7" t="s">
        <v>88</v>
      </c>
      <c r="B50" s="7" t="s">
        <v>92</v>
      </c>
      <c r="C50" s="7" t="s">
        <v>94</v>
      </c>
      <c r="D50" s="7">
        <v>70</v>
      </c>
    </row>
    <row r="51" spans="1:4">
      <c r="A51" s="7" t="s">
        <v>11</v>
      </c>
      <c r="B51" s="7" t="s">
        <v>92</v>
      </c>
      <c r="C51" s="7" t="s">
        <v>94</v>
      </c>
      <c r="D51" s="7">
        <v>70</v>
      </c>
    </row>
    <row r="52" spans="1:4">
      <c r="A52" s="7" t="s">
        <v>89</v>
      </c>
      <c r="B52" s="7" t="s">
        <v>92</v>
      </c>
      <c r="C52" s="7" t="s">
        <v>94</v>
      </c>
      <c r="D52" s="7">
        <v>70</v>
      </c>
    </row>
    <row r="53" spans="1:4">
      <c r="A53" s="7" t="s">
        <v>91</v>
      </c>
      <c r="B53" s="7" t="s">
        <v>92</v>
      </c>
      <c r="C53" s="7" t="s">
        <v>94</v>
      </c>
      <c r="D53" s="7">
        <v>70</v>
      </c>
    </row>
    <row r="54" spans="1:4">
      <c r="A54" s="7" t="s">
        <v>75</v>
      </c>
      <c r="B54" s="7" t="s">
        <v>95</v>
      </c>
      <c r="C54" s="7" t="s">
        <v>96</v>
      </c>
      <c r="D54" s="7">
        <v>113000000</v>
      </c>
    </row>
    <row r="55" spans="1:4">
      <c r="A55" s="7" t="s">
        <v>75</v>
      </c>
      <c r="B55" s="7" t="s">
        <v>95</v>
      </c>
      <c r="C55" s="7" t="s">
        <v>97</v>
      </c>
      <c r="D55" s="7">
        <v>116000000</v>
      </c>
    </row>
    <row r="56" spans="1:4">
      <c r="A56" s="7" t="s">
        <v>75</v>
      </c>
      <c r="B56" s="7" t="s">
        <v>95</v>
      </c>
      <c r="C56" s="7" t="s">
        <v>98</v>
      </c>
      <c r="D56" s="7">
        <v>109000000</v>
      </c>
    </row>
    <row r="57" spans="1:4">
      <c r="A57" s="7" t="s">
        <v>75</v>
      </c>
      <c r="B57" s="7" t="s">
        <v>95</v>
      </c>
      <c r="C57" s="7" t="s">
        <v>99</v>
      </c>
      <c r="D57" s="7">
        <v>111000000</v>
      </c>
    </row>
    <row r="58" spans="1:4">
      <c r="A58" s="7" t="s">
        <v>79</v>
      </c>
      <c r="B58" s="7" t="s">
        <v>95</v>
      </c>
      <c r="C58" s="7" t="s">
        <v>99</v>
      </c>
      <c r="D58" s="7">
        <v>309000000</v>
      </c>
    </row>
    <row r="59" spans="1:4">
      <c r="A59" s="7" t="s">
        <v>79</v>
      </c>
      <c r="B59" s="7" t="s">
        <v>95</v>
      </c>
      <c r="C59" s="7" t="s">
        <v>96</v>
      </c>
      <c r="D59" s="7">
        <v>299000000</v>
      </c>
    </row>
    <row r="60" spans="1:4">
      <c r="A60" s="7" t="s">
        <v>79</v>
      </c>
      <c r="B60" s="7" t="s">
        <v>95</v>
      </c>
      <c r="C60" s="7" t="s">
        <v>97</v>
      </c>
      <c r="D60" s="7">
        <v>321000000</v>
      </c>
    </row>
    <row r="61" spans="1:4">
      <c r="A61" s="7" t="s">
        <v>79</v>
      </c>
      <c r="B61" s="7" t="s">
        <v>95</v>
      </c>
      <c r="C61" s="7" t="s">
        <v>98</v>
      </c>
      <c r="D61" s="7">
        <v>335000000</v>
      </c>
    </row>
    <row r="62" spans="1:4">
      <c r="A62" s="37" t="s">
        <v>85</v>
      </c>
      <c r="B62" s="39" t="s">
        <v>217</v>
      </c>
      <c r="C62" s="37" t="s">
        <v>218</v>
      </c>
      <c r="D62" s="37">
        <v>40.68</v>
      </c>
    </row>
    <row r="63" spans="1:4">
      <c r="A63" s="37" t="s">
        <v>86</v>
      </c>
      <c r="B63" s="39" t="s">
        <v>217</v>
      </c>
      <c r="C63" s="37" t="s">
        <v>218</v>
      </c>
      <c r="D63" s="37">
        <v>65</v>
      </c>
    </row>
    <row r="64" spans="1:4">
      <c r="A64" s="37" t="s">
        <v>87</v>
      </c>
      <c r="B64" s="39" t="s">
        <v>217</v>
      </c>
      <c r="C64" s="37" t="s">
        <v>218</v>
      </c>
      <c r="D64" s="37">
        <v>36.32</v>
      </c>
    </row>
    <row r="65" spans="1:7">
      <c r="A65" s="37" t="s">
        <v>88</v>
      </c>
      <c r="B65" s="39" t="s">
        <v>217</v>
      </c>
      <c r="C65" s="37" t="s">
        <v>218</v>
      </c>
      <c r="D65" s="37">
        <v>6.48</v>
      </c>
    </row>
    <row r="66" spans="1:7">
      <c r="A66" s="37" t="s">
        <v>11</v>
      </c>
      <c r="B66" s="39" t="s">
        <v>217</v>
      </c>
      <c r="C66" s="37" t="s">
        <v>218</v>
      </c>
      <c r="D66" s="37">
        <v>26.81</v>
      </c>
    </row>
    <row r="67" spans="1:7">
      <c r="A67" s="37" t="s">
        <v>89</v>
      </c>
      <c r="B67" s="39" t="s">
        <v>217</v>
      </c>
      <c r="C67" s="37" t="s">
        <v>218</v>
      </c>
      <c r="D67" s="37">
        <v>14.65</v>
      </c>
    </row>
    <row r="68" spans="1:7">
      <c r="A68" s="37" t="s">
        <v>90</v>
      </c>
      <c r="B68" s="39" t="s">
        <v>217</v>
      </c>
      <c r="C68" s="37" t="s">
        <v>218</v>
      </c>
      <c r="D68" s="37">
        <v>1.69</v>
      </c>
    </row>
    <row r="69" spans="1:7">
      <c r="A69" s="37" t="s">
        <v>91</v>
      </c>
      <c r="B69" s="39" t="s">
        <v>217</v>
      </c>
      <c r="C69" s="37" t="s">
        <v>218</v>
      </c>
      <c r="D69" s="37">
        <v>6.7</v>
      </c>
    </row>
    <row r="70" spans="1:7">
      <c r="A70" s="37" t="s">
        <v>84</v>
      </c>
      <c r="B70" s="39" t="s">
        <v>217</v>
      </c>
      <c r="C70" s="37" t="s">
        <v>218</v>
      </c>
      <c r="D70" s="37">
        <v>8.9</v>
      </c>
    </row>
    <row r="71" spans="1:7">
      <c r="A71" s="37" t="s">
        <v>81</v>
      </c>
      <c r="B71" s="39" t="s">
        <v>217</v>
      </c>
      <c r="C71" s="37" t="s">
        <v>218</v>
      </c>
      <c r="D71" s="37">
        <v>7.5</v>
      </c>
    </row>
    <row r="72" spans="1:7">
      <c r="A72" s="37" t="s">
        <v>82</v>
      </c>
      <c r="B72" s="39" t="s">
        <v>217</v>
      </c>
      <c r="C72" s="37" t="s">
        <v>218</v>
      </c>
      <c r="D72" s="37">
        <v>45</v>
      </c>
      <c r="E72" s="40"/>
      <c r="F72" s="40"/>
      <c r="G72" s="40"/>
    </row>
    <row r="73" spans="1:7">
      <c r="A73" s="37" t="s">
        <v>80</v>
      </c>
      <c r="B73" s="39" t="s">
        <v>217</v>
      </c>
      <c r="C73" s="37" t="s">
        <v>218</v>
      </c>
      <c r="D73" s="37">
        <v>82.5</v>
      </c>
      <c r="E73" s="40"/>
      <c r="F73" s="40"/>
      <c r="G73" s="40"/>
    </row>
    <row r="74" spans="1:7">
      <c r="A74" s="37" t="s">
        <v>75</v>
      </c>
      <c r="B74" s="39" t="s">
        <v>217</v>
      </c>
      <c r="C74" s="37" t="s">
        <v>218</v>
      </c>
      <c r="D74" s="37">
        <v>74.66</v>
      </c>
      <c r="E74" s="40"/>
      <c r="F74" s="40"/>
      <c r="G74" s="40"/>
    </row>
    <row r="75" spans="1:7">
      <c r="A75" s="37" t="s">
        <v>79</v>
      </c>
      <c r="B75" s="39" t="s">
        <v>217</v>
      </c>
      <c r="C75" s="37" t="s">
        <v>218</v>
      </c>
      <c r="D75" s="37">
        <v>15</v>
      </c>
      <c r="E75" s="40"/>
      <c r="F75" s="40"/>
      <c r="G75" s="40"/>
    </row>
    <row r="76" spans="1:7">
      <c r="A76" s="7"/>
      <c r="B76" s="38"/>
      <c r="C76" s="7"/>
      <c r="D76" s="7"/>
      <c r="E76" s="40"/>
      <c r="F76" s="40"/>
      <c r="G76" s="40"/>
    </row>
    <row r="77" spans="1:7">
      <c r="A77" s="8" t="s">
        <v>100</v>
      </c>
      <c r="B77" s="19" t="s">
        <v>166</v>
      </c>
      <c r="C77" s="8" t="s">
        <v>101</v>
      </c>
      <c r="D77" s="8">
        <v>1</v>
      </c>
      <c r="E77" s="40"/>
      <c r="F77" s="40"/>
      <c r="G77" s="40"/>
    </row>
    <row r="78" spans="1:7">
      <c r="A78" s="37" t="s">
        <v>85</v>
      </c>
      <c r="B78" s="39" t="s">
        <v>166</v>
      </c>
      <c r="C78" s="37" t="s">
        <v>83</v>
      </c>
      <c r="D78" s="37">
        <v>21.175000000000001</v>
      </c>
      <c r="E78" s="40"/>
      <c r="F78" s="40"/>
      <c r="G78" s="40"/>
    </row>
    <row r="79" spans="1:7">
      <c r="A79" s="37" t="s">
        <v>86</v>
      </c>
      <c r="B79" s="39" t="s">
        <v>166</v>
      </c>
      <c r="C79" s="37" t="s">
        <v>83</v>
      </c>
      <c r="D79" s="37">
        <v>74.965000000000003</v>
      </c>
      <c r="E79" s="40"/>
      <c r="F79" s="40"/>
      <c r="G79" s="40"/>
    </row>
    <row r="80" spans="1:7">
      <c r="A80" s="37" t="s">
        <v>87</v>
      </c>
      <c r="B80" s="39" t="s">
        <v>166</v>
      </c>
      <c r="C80" s="37" t="s">
        <v>83</v>
      </c>
      <c r="D80" s="37">
        <v>46.44</v>
      </c>
      <c r="E80" s="40"/>
      <c r="F80" s="40"/>
      <c r="G80" s="40"/>
    </row>
    <row r="81" spans="1:7">
      <c r="A81" s="37" t="s">
        <v>88</v>
      </c>
      <c r="B81" s="39" t="s">
        <v>166</v>
      </c>
      <c r="C81" s="37" t="s">
        <v>83</v>
      </c>
      <c r="D81" s="37">
        <v>3.96</v>
      </c>
      <c r="E81" s="40"/>
      <c r="F81" s="40"/>
      <c r="G81" s="40"/>
    </row>
    <row r="82" spans="1:7">
      <c r="A82" s="37" t="s">
        <v>11</v>
      </c>
      <c r="B82" s="39" t="s">
        <v>166</v>
      </c>
      <c r="C82" s="37" t="s">
        <v>83</v>
      </c>
      <c r="D82" s="37">
        <v>16.716999999999999</v>
      </c>
      <c r="E82" s="40"/>
      <c r="F82" s="40"/>
      <c r="G82" s="40"/>
    </row>
    <row r="83" spans="1:7">
      <c r="A83" s="37" t="s">
        <v>89</v>
      </c>
      <c r="B83" s="39" t="s">
        <v>166</v>
      </c>
      <c r="C83" s="37" t="s">
        <v>83</v>
      </c>
      <c r="D83" s="37">
        <v>13.4</v>
      </c>
      <c r="E83" s="40"/>
      <c r="F83" s="40"/>
      <c r="G83" s="40"/>
    </row>
    <row r="84" spans="1:7">
      <c r="A84" s="37" t="s">
        <v>90</v>
      </c>
      <c r="B84" s="39" t="s">
        <v>166</v>
      </c>
      <c r="C84" s="37" t="s">
        <v>83</v>
      </c>
      <c r="D84" s="37">
        <v>1.69</v>
      </c>
      <c r="E84" s="40"/>
      <c r="F84" s="40"/>
      <c r="G84" s="40"/>
    </row>
    <row r="85" spans="1:7">
      <c r="A85" s="37" t="s">
        <v>91</v>
      </c>
      <c r="B85" s="39" t="s">
        <v>166</v>
      </c>
      <c r="C85" s="37" t="s">
        <v>83</v>
      </c>
      <c r="D85" s="37">
        <v>8.2799999999999994</v>
      </c>
      <c r="E85" s="40"/>
      <c r="F85" s="40"/>
      <c r="G85" s="40"/>
    </row>
    <row r="86" spans="1:7">
      <c r="A86" s="37" t="s">
        <v>84</v>
      </c>
      <c r="B86" s="39" t="s">
        <v>166</v>
      </c>
      <c r="C86" s="37" t="s">
        <v>83</v>
      </c>
      <c r="D86" s="37">
        <v>10.8</v>
      </c>
      <c r="E86" s="40"/>
      <c r="F86" s="40"/>
      <c r="G86" s="40"/>
    </row>
    <row r="87" spans="1:7">
      <c r="A87" s="37" t="s">
        <v>81</v>
      </c>
      <c r="B87" s="39" t="s">
        <v>166</v>
      </c>
      <c r="C87" s="37" t="s">
        <v>83</v>
      </c>
      <c r="D87" s="37">
        <v>7.5</v>
      </c>
      <c r="E87" s="40"/>
      <c r="F87" s="40"/>
      <c r="G87" s="40"/>
    </row>
    <row r="88" spans="1:7">
      <c r="A88" s="37" t="s">
        <v>82</v>
      </c>
      <c r="B88" s="39" t="s">
        <v>166</v>
      </c>
      <c r="C88" s="37" t="s">
        <v>83</v>
      </c>
      <c r="D88" s="37">
        <v>45</v>
      </c>
      <c r="E88" s="40"/>
      <c r="F88" s="40"/>
      <c r="G88" s="40"/>
    </row>
    <row r="89" spans="1:7">
      <c r="A89" s="37" t="s">
        <v>80</v>
      </c>
      <c r="B89" s="39" t="s">
        <v>166</v>
      </c>
      <c r="C89" s="37" t="s">
        <v>83</v>
      </c>
      <c r="D89" s="37">
        <v>82.5</v>
      </c>
      <c r="E89" s="40"/>
      <c r="F89" s="40"/>
      <c r="G89" s="40"/>
    </row>
    <row r="90" spans="1:7">
      <c r="A90" s="37" t="s">
        <v>75</v>
      </c>
      <c r="B90" s="39" t="s">
        <v>166</v>
      </c>
      <c r="C90" s="37" t="s">
        <v>83</v>
      </c>
      <c r="D90" s="37">
        <v>86.844999999999999</v>
      </c>
      <c r="E90" s="40"/>
      <c r="F90" s="40"/>
      <c r="G90" s="40"/>
    </row>
    <row r="91" spans="1:7">
      <c r="A91" s="37" t="s">
        <v>79</v>
      </c>
      <c r="B91" s="39" t="s">
        <v>166</v>
      </c>
      <c r="C91" s="37" t="s">
        <v>83</v>
      </c>
      <c r="D91" s="37">
        <v>15</v>
      </c>
      <c r="E91" s="40"/>
      <c r="F91" s="40"/>
      <c r="G91" s="40"/>
    </row>
    <row r="92" spans="1:7">
      <c r="E92" s="40"/>
      <c r="F92" s="40"/>
      <c r="G92" s="40"/>
    </row>
    <row r="93" spans="1:7">
      <c r="E93" s="40"/>
      <c r="F93" s="40"/>
      <c r="G93" s="40"/>
    </row>
    <row r="94" spans="1:7">
      <c r="E94" s="40"/>
      <c r="F94" s="40"/>
      <c r="G94" s="40"/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sheetPr>
    <tabColor rgb="FFFFFF00"/>
  </sheetPr>
  <dimension ref="A1:AW77"/>
  <sheetViews>
    <sheetView tabSelected="1" topLeftCell="AK1" zoomScaleNormal="100" workbookViewId="0">
      <selection activeCell="AW29" sqref="AW29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81640625" bestFit="1" customWidth="1"/>
    <col min="25" max="25" width="11.26953125" bestFit="1" customWidth="1"/>
    <col min="47" max="47" width="19.26953125" customWidth="1"/>
  </cols>
  <sheetData>
    <row r="1" spans="1:49">
      <c r="B1" t="s">
        <v>207</v>
      </c>
      <c r="S1" t="s">
        <v>208</v>
      </c>
    </row>
    <row r="2" spans="1:49">
      <c r="A2" t="s">
        <v>206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30">
        <v>0.26676</v>
      </c>
    </row>
    <row r="3" spans="1:49">
      <c r="A3" s="29">
        <v>2020</v>
      </c>
      <c r="B3" s="29">
        <f>VLOOKUP(B2,node!$A$77:$D$91,4,0)</f>
        <v>21.175000000000001</v>
      </c>
      <c r="C3" s="29">
        <f>VLOOKUP(C2,node!$A$77:$D$91,4,0)</f>
        <v>74.965000000000003</v>
      </c>
      <c r="D3" s="29">
        <f>VLOOKUP(D2,node!$A$77:$D$91,4,0)</f>
        <v>46.44</v>
      </c>
      <c r="E3" s="29">
        <f>VLOOKUP(E2,node!$A$77:$D$91,4,0)</f>
        <v>3.96</v>
      </c>
      <c r="F3" s="29">
        <f>VLOOKUP(F2,node!$A$77:$D$91,4,0)</f>
        <v>16.716999999999999</v>
      </c>
      <c r="G3" s="29">
        <f>VLOOKUP(G2,node!$A$77:$D$91,4,0)</f>
        <v>13.4</v>
      </c>
      <c r="H3" s="29">
        <f>VLOOKUP(H2,node!$A$77:$D$91,4,0)</f>
        <v>1.69</v>
      </c>
      <c r="I3" s="29">
        <f>VLOOKUP(I2,node!$A$77:$D$91,4,0)</f>
        <v>8.2799999999999994</v>
      </c>
      <c r="J3" s="29">
        <f>VLOOKUP(J2,node!$A$77:$D$91,4,0)</f>
        <v>10.8</v>
      </c>
      <c r="K3" s="29">
        <f>VLOOKUP(K2,node!$A$77:$D$91,4,0)</f>
        <v>7.5</v>
      </c>
      <c r="L3" s="29">
        <f>VLOOKUP(L2,node!$A$77:$D$91,4,0)</f>
        <v>45</v>
      </c>
      <c r="M3" s="29">
        <f>VLOOKUP(M2,node!$A$77:$D$91,4,0)</f>
        <v>82.5</v>
      </c>
      <c r="N3" s="29">
        <f>VLOOKUP(N2,node!$A$77:$D$91,4,0)</f>
        <v>86.844999999999999</v>
      </c>
      <c r="O3" s="29">
        <f>VLOOKUP(O2,node!$A$77:$D$91,4,0)</f>
        <v>15</v>
      </c>
      <c r="R3" s="7" t="s">
        <v>86</v>
      </c>
      <c r="S3">
        <v>0</v>
      </c>
    </row>
    <row r="4" spans="1:49">
      <c r="A4" s="29">
        <v>2050</v>
      </c>
      <c r="B4" s="29">
        <f>VLOOKUP(B2,node!$A$11:$D$25,4,0)</f>
        <v>79.69</v>
      </c>
      <c r="C4" s="29">
        <f>VLOOKUP(C2,node!$A$11:$D$25,4,0)</f>
        <v>45.07</v>
      </c>
      <c r="D4" s="29">
        <f>VLOOKUP(D2,node!$A$11:$D$25,4,0)</f>
        <v>104.96</v>
      </c>
      <c r="E4" s="29">
        <f>VLOOKUP(E2,node!$A$11:$D$25,4,0)</f>
        <v>3.96</v>
      </c>
      <c r="F4" s="29">
        <f>VLOOKUP(F2,node!$A$11:$D$25,4,0)</f>
        <v>46.996000000000002</v>
      </c>
      <c r="G4" s="29">
        <f>VLOOKUP(G2,node!$A$11:$D$25,4,0)</f>
        <v>42.74</v>
      </c>
      <c r="H4" s="29">
        <f>VLOOKUP(H2,node!$A$11:$D$25,4,0)</f>
        <v>1.69</v>
      </c>
      <c r="I4" s="29">
        <f>VLOOKUP(I2,node!$A$11:$D$25,4,0)</f>
        <v>8.2799999999999994</v>
      </c>
      <c r="J4" s="29">
        <f>VLOOKUP(J2,node!$A$11:$D$25,4,0)</f>
        <v>11.37</v>
      </c>
      <c r="K4" s="29">
        <f>VLOOKUP(K2,node!$A$11:$D$25,4,0)</f>
        <v>7.5</v>
      </c>
      <c r="L4" s="29">
        <f>VLOOKUP(L2,node!$A$11:$D$25,4,0)</f>
        <v>45</v>
      </c>
      <c r="M4" s="29">
        <f>VLOOKUP(M2,node!$A$11:$D$25,4,0)</f>
        <v>82.5</v>
      </c>
      <c r="N4" s="29">
        <f>VLOOKUP(N2,node!$A$11:$D$25,4,0)</f>
        <v>50.29</v>
      </c>
      <c r="O4" s="29">
        <f>VLOOKUP(O2,node!$A$11:$D$25,4,0)</f>
        <v>15</v>
      </c>
      <c r="R4" s="7" t="s">
        <v>87</v>
      </c>
      <c r="S4">
        <v>0</v>
      </c>
    </row>
    <row r="5" spans="1:49">
      <c r="R5" s="7" t="s">
        <v>88</v>
      </c>
      <c r="S5" s="30">
        <v>0.36399999999999999</v>
      </c>
      <c r="AF5" t="s">
        <v>219</v>
      </c>
      <c r="AI5" s="16"/>
      <c r="AJ5" s="16" t="s">
        <v>220</v>
      </c>
      <c r="AK5" s="16"/>
    </row>
    <row r="6" spans="1:49">
      <c r="A6">
        <f>A3</f>
        <v>2020</v>
      </c>
      <c r="B6">
        <f>B3</f>
        <v>21.175000000000001</v>
      </c>
      <c r="C6">
        <f t="shared" ref="C6:O6" si="0">C3</f>
        <v>74.965000000000003</v>
      </c>
      <c r="D6">
        <f t="shared" si="0"/>
        <v>46.44</v>
      </c>
      <c r="E6">
        <f t="shared" si="0"/>
        <v>3.96</v>
      </c>
      <c r="F6">
        <f t="shared" si="0"/>
        <v>16.716999999999999</v>
      </c>
      <c r="G6">
        <f t="shared" si="0"/>
        <v>13.4</v>
      </c>
      <c r="H6">
        <f t="shared" si="0"/>
        <v>1.69</v>
      </c>
      <c r="I6">
        <f t="shared" si="0"/>
        <v>8.2799999999999994</v>
      </c>
      <c r="J6">
        <f t="shared" si="0"/>
        <v>10.8</v>
      </c>
      <c r="K6">
        <f t="shared" si="0"/>
        <v>7.5</v>
      </c>
      <c r="L6">
        <f t="shared" si="0"/>
        <v>45</v>
      </c>
      <c r="M6">
        <f t="shared" si="0"/>
        <v>82.5</v>
      </c>
      <c r="N6">
        <f t="shared" si="0"/>
        <v>86.844999999999999</v>
      </c>
      <c r="O6">
        <f t="shared" si="0"/>
        <v>15</v>
      </c>
      <c r="R6" s="7" t="s">
        <v>11</v>
      </c>
      <c r="S6">
        <v>0</v>
      </c>
      <c r="AE6" s="7"/>
      <c r="AF6" s="39">
        <v>2020</v>
      </c>
      <c r="AG6" s="39">
        <v>2030</v>
      </c>
      <c r="AH6" s="39">
        <v>2050</v>
      </c>
      <c r="AI6" s="16"/>
      <c r="AJ6" s="44">
        <v>2020</v>
      </c>
      <c r="AK6" s="44">
        <v>2050</v>
      </c>
      <c r="AV6">
        <v>2020</v>
      </c>
      <c r="AW6">
        <v>2030</v>
      </c>
    </row>
    <row r="7" spans="1:49">
      <c r="A7">
        <v>2021</v>
      </c>
      <c r="B7">
        <f>_xlfn.FORECAST.LINEAR($A7,B$3:B$4,$A$3:$A$4)</f>
        <v>23.125499999999647</v>
      </c>
      <c r="C7">
        <f t="shared" ref="C7:O22" si="1">_xlfn.FORECAST.LINEAR($A7,C$3:C$4,$A$3:$A$4)</f>
        <v>73.968500000000176</v>
      </c>
      <c r="D7">
        <f t="shared" si="1"/>
        <v>48.39066666666622</v>
      </c>
      <c r="E7">
        <f t="shared" si="1"/>
        <v>3.96</v>
      </c>
      <c r="F7">
        <f t="shared" si="1"/>
        <v>17.726300000000037</v>
      </c>
      <c r="G7">
        <f t="shared" si="1"/>
        <v>14.377999999999929</v>
      </c>
      <c r="H7">
        <f t="shared" si="1"/>
        <v>1.69</v>
      </c>
      <c r="I7">
        <f t="shared" si="1"/>
        <v>8.2799999999999994</v>
      </c>
      <c r="J7">
        <f t="shared" si="1"/>
        <v>10.819000000000003</v>
      </c>
      <c r="K7">
        <f t="shared" si="1"/>
        <v>7.5</v>
      </c>
      <c r="L7">
        <f t="shared" si="1"/>
        <v>45</v>
      </c>
      <c r="M7">
        <f t="shared" si="1"/>
        <v>82.5</v>
      </c>
      <c r="N7">
        <f t="shared" si="1"/>
        <v>85.626500000000306</v>
      </c>
      <c r="O7">
        <f t="shared" si="1"/>
        <v>15</v>
      </c>
      <c r="R7" s="7" t="s">
        <v>89</v>
      </c>
      <c r="S7" s="30">
        <v>0.20195983840000001</v>
      </c>
      <c r="AE7" s="37" t="s">
        <v>85</v>
      </c>
      <c r="AF7" s="37">
        <v>21.175000000000001</v>
      </c>
      <c r="AG7" s="37">
        <v>40.68</v>
      </c>
      <c r="AH7" s="39">
        <v>79.69</v>
      </c>
      <c r="AI7" s="16" t="s">
        <v>85</v>
      </c>
      <c r="AJ7" s="16">
        <v>38.159999999999997</v>
      </c>
      <c r="AK7" s="16">
        <v>79.69</v>
      </c>
      <c r="AU7" s="41" t="s">
        <v>26</v>
      </c>
      <c r="AV7" s="42">
        <v>2040000</v>
      </c>
      <c r="AW7">
        <f>VLOOKUP(AU7,'[1]unit2030-none'!$A$2:C$52,3,0)</f>
        <v>2400000</v>
      </c>
    </row>
    <row r="8" spans="1:49">
      <c r="A8">
        <v>2022</v>
      </c>
      <c r="B8">
        <f t="shared" ref="B8:O35" si="2">_xlfn.FORECAST.LINEAR($A8,B$3:B$4,$A$3:$A$4)</f>
        <v>25.075999999999567</v>
      </c>
      <c r="C8">
        <f t="shared" si="1"/>
        <v>72.972000000000207</v>
      </c>
      <c r="D8">
        <f t="shared" si="1"/>
        <v>50.341333333332841</v>
      </c>
      <c r="E8">
        <f t="shared" si="1"/>
        <v>3.96</v>
      </c>
      <c r="F8">
        <f t="shared" si="1"/>
        <v>18.735599999999977</v>
      </c>
      <c r="G8">
        <f t="shared" si="1"/>
        <v>15.355999999999767</v>
      </c>
      <c r="H8">
        <f t="shared" si="1"/>
        <v>1.69</v>
      </c>
      <c r="I8">
        <f t="shared" si="1"/>
        <v>8.2799999999999994</v>
      </c>
      <c r="J8">
        <f t="shared" si="1"/>
        <v>10.838000000000001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84.408000000000357</v>
      </c>
      <c r="O8">
        <f t="shared" si="1"/>
        <v>15</v>
      </c>
      <c r="R8" s="7" t="s">
        <v>90</v>
      </c>
      <c r="S8">
        <v>0</v>
      </c>
      <c r="AE8" s="37" t="s">
        <v>86</v>
      </c>
      <c r="AF8" s="37">
        <v>74.965000000000003</v>
      </c>
      <c r="AG8" s="37">
        <v>65</v>
      </c>
      <c r="AH8" s="39">
        <v>45.07</v>
      </c>
      <c r="AI8" s="16" t="s">
        <v>86</v>
      </c>
      <c r="AJ8" s="16">
        <v>30.24</v>
      </c>
      <c r="AK8" s="16">
        <v>15</v>
      </c>
      <c r="AU8" s="27" t="s">
        <v>32</v>
      </c>
      <c r="AV8" s="26">
        <v>830000</v>
      </c>
      <c r="AW8">
        <f>VLOOKUP(AU8,'[1]unit2030-none'!$A$2:C$52,3,0)</f>
        <v>830000</v>
      </c>
    </row>
    <row r="9" spans="1:49">
      <c r="A9">
        <v>2023</v>
      </c>
      <c r="B9">
        <f t="shared" si="2"/>
        <v>27.026499999999942</v>
      </c>
      <c r="C9">
        <f t="shared" si="1"/>
        <v>71.975500000000011</v>
      </c>
      <c r="D9">
        <f t="shared" si="1"/>
        <v>52.291999999999462</v>
      </c>
      <c r="E9">
        <f t="shared" si="1"/>
        <v>3.96</v>
      </c>
      <c r="F9">
        <f t="shared" si="1"/>
        <v>19.744899999999916</v>
      </c>
      <c r="G9">
        <f t="shared" si="1"/>
        <v>16.333999999999833</v>
      </c>
      <c r="H9">
        <f t="shared" si="1"/>
        <v>1.69</v>
      </c>
      <c r="I9">
        <f t="shared" si="1"/>
        <v>8.2799999999999994</v>
      </c>
      <c r="J9">
        <f t="shared" si="1"/>
        <v>10.856999999999999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83.189500000000407</v>
      </c>
      <c r="O9">
        <f t="shared" si="1"/>
        <v>15</v>
      </c>
      <c r="R9" s="7" t="s">
        <v>91</v>
      </c>
      <c r="S9">
        <f>S7</f>
        <v>0.20195983840000001</v>
      </c>
      <c r="AE9" s="37" t="s">
        <v>87</v>
      </c>
      <c r="AF9" s="37">
        <v>46.44</v>
      </c>
      <c r="AG9" s="37">
        <v>36.32</v>
      </c>
      <c r="AH9" s="39">
        <v>104.96</v>
      </c>
      <c r="AI9" s="16" t="s">
        <v>87</v>
      </c>
      <c r="AJ9" s="16">
        <v>46.44</v>
      </c>
      <c r="AK9" s="16">
        <v>104.96</v>
      </c>
      <c r="AU9" s="41" t="s">
        <v>42</v>
      </c>
      <c r="AV9" s="42">
        <v>8000000</v>
      </c>
      <c r="AW9">
        <f>VLOOKUP(AU9,'[1]unit2030-none'!$A$2:C$52,3,0)</f>
        <v>2690000</v>
      </c>
    </row>
    <row r="10" spans="1:49">
      <c r="A10">
        <v>2024</v>
      </c>
      <c r="B10">
        <f t="shared" si="2"/>
        <v>28.976999999999862</v>
      </c>
      <c r="C10">
        <f t="shared" si="1"/>
        <v>70.979000000000042</v>
      </c>
      <c r="D10">
        <f t="shared" si="1"/>
        <v>54.242666666666537</v>
      </c>
      <c r="E10">
        <f t="shared" si="1"/>
        <v>3.96</v>
      </c>
      <c r="F10">
        <f t="shared" si="1"/>
        <v>20.754200000000083</v>
      </c>
      <c r="G10">
        <f t="shared" si="1"/>
        <v>17.311999999999898</v>
      </c>
      <c r="H10">
        <f t="shared" si="1"/>
        <v>1.69</v>
      </c>
      <c r="I10">
        <f t="shared" si="1"/>
        <v>8.2799999999999994</v>
      </c>
      <c r="J10">
        <f t="shared" si="1"/>
        <v>10.876000000000005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81.971000000000458</v>
      </c>
      <c r="O10">
        <f t="shared" si="1"/>
        <v>15</v>
      </c>
      <c r="R10" s="7" t="s">
        <v>84</v>
      </c>
      <c r="S10" s="30">
        <v>0.34055972755000002</v>
      </c>
      <c r="AE10" s="37" t="s">
        <v>88</v>
      </c>
      <c r="AF10" s="37">
        <v>3.96</v>
      </c>
      <c r="AG10" s="37">
        <v>6.48</v>
      </c>
      <c r="AH10" s="39">
        <v>3.96</v>
      </c>
      <c r="AI10" s="16" t="s">
        <v>88</v>
      </c>
      <c r="AJ10" s="16">
        <v>3.96</v>
      </c>
      <c r="AK10" s="16">
        <v>3.96</v>
      </c>
      <c r="AU10" s="27" t="s">
        <v>64</v>
      </c>
      <c r="AV10" s="26">
        <v>435000</v>
      </c>
      <c r="AW10">
        <f>VLOOKUP(AU10,'[1]unit2030-none'!$A$2:C$52,3,0)</f>
        <v>435000</v>
      </c>
    </row>
    <row r="11" spans="1:49">
      <c r="A11">
        <v>2025</v>
      </c>
      <c r="B11">
        <f t="shared" si="2"/>
        <v>30.927499999999782</v>
      </c>
      <c r="C11">
        <f t="shared" si="1"/>
        <v>69.982500000000073</v>
      </c>
      <c r="D11">
        <f t="shared" si="1"/>
        <v>56.193333333333157</v>
      </c>
      <c r="E11">
        <f t="shared" si="1"/>
        <v>3.96</v>
      </c>
      <c r="F11">
        <f t="shared" si="1"/>
        <v>21.763500000000022</v>
      </c>
      <c r="G11">
        <f t="shared" si="1"/>
        <v>18.289999999999964</v>
      </c>
      <c r="H11">
        <f t="shared" si="1"/>
        <v>1.69</v>
      </c>
      <c r="I11">
        <f t="shared" si="1"/>
        <v>8.2799999999999994</v>
      </c>
      <c r="J11">
        <f t="shared" si="1"/>
        <v>10.895000000000003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80.752500000000509</v>
      </c>
      <c r="O11">
        <f t="shared" si="1"/>
        <v>15</v>
      </c>
      <c r="R11" s="7" t="s">
        <v>81</v>
      </c>
      <c r="S11">
        <v>0</v>
      </c>
      <c r="AE11" s="37" t="s">
        <v>11</v>
      </c>
      <c r="AF11" s="37">
        <v>16.716999999999999</v>
      </c>
      <c r="AG11" s="37">
        <v>26.81</v>
      </c>
      <c r="AH11" s="39">
        <v>46.996000000000002</v>
      </c>
      <c r="AI11" s="16" t="s">
        <v>11</v>
      </c>
      <c r="AJ11" s="16">
        <v>22.18</v>
      </c>
      <c r="AK11" s="16">
        <v>46.996000000000002</v>
      </c>
      <c r="AU11" s="41" t="s">
        <v>69</v>
      </c>
      <c r="AV11" s="42">
        <v>587000</v>
      </c>
      <c r="AW11">
        <f>VLOOKUP(AU11,'[1]unit2030-none'!$A$2:C$52,3,0)</f>
        <v>380000</v>
      </c>
    </row>
    <row r="12" spans="1:49">
      <c r="A12">
        <v>2026</v>
      </c>
      <c r="B12">
        <f t="shared" si="2"/>
        <v>32.877999999999702</v>
      </c>
      <c r="C12">
        <f t="shared" si="1"/>
        <v>68.986000000000104</v>
      </c>
      <c r="D12">
        <f t="shared" si="1"/>
        <v>58.143999999999778</v>
      </c>
      <c r="E12">
        <f t="shared" si="1"/>
        <v>3.96</v>
      </c>
      <c r="F12">
        <f t="shared" si="1"/>
        <v>22.772799999999961</v>
      </c>
      <c r="G12">
        <f t="shared" si="1"/>
        <v>19.267999999999802</v>
      </c>
      <c r="H12">
        <f t="shared" si="1"/>
        <v>1.69</v>
      </c>
      <c r="I12">
        <f t="shared" si="1"/>
        <v>8.2799999999999994</v>
      </c>
      <c r="J12">
        <f t="shared" si="1"/>
        <v>10.914000000000001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79.534000000000106</v>
      </c>
      <c r="O12">
        <f t="shared" si="1"/>
        <v>15</v>
      </c>
      <c r="R12" s="7" t="s">
        <v>82</v>
      </c>
      <c r="S12">
        <v>0</v>
      </c>
      <c r="AE12" s="37" t="s">
        <v>89</v>
      </c>
      <c r="AF12" s="37">
        <v>13.4</v>
      </c>
      <c r="AG12" s="37">
        <v>14.65</v>
      </c>
      <c r="AH12" s="39">
        <v>42.74</v>
      </c>
      <c r="AI12" s="16" t="s">
        <v>89</v>
      </c>
      <c r="AJ12" s="16">
        <v>20.16</v>
      </c>
      <c r="AK12" s="16">
        <v>42.74</v>
      </c>
      <c r="AU12" s="41" t="s">
        <v>73</v>
      </c>
      <c r="AV12" s="42">
        <v>2270000</v>
      </c>
      <c r="AW12">
        <f>VLOOKUP(AU12,'[1]unit2030-none'!$A$2:C$52,3,0)</f>
        <v>1930000</v>
      </c>
    </row>
    <row r="13" spans="1:49">
      <c r="A13">
        <v>2027</v>
      </c>
      <c r="B13">
        <f t="shared" si="2"/>
        <v>34.828499999999622</v>
      </c>
      <c r="C13">
        <f t="shared" si="1"/>
        <v>67.989500000000135</v>
      </c>
      <c r="D13">
        <f t="shared" si="1"/>
        <v>60.094666666666399</v>
      </c>
      <c r="E13">
        <f t="shared" si="1"/>
        <v>3.96</v>
      </c>
      <c r="F13">
        <f t="shared" si="1"/>
        <v>23.7820999999999</v>
      </c>
      <c r="G13">
        <f t="shared" si="1"/>
        <v>20.245999999999867</v>
      </c>
      <c r="H13">
        <f t="shared" si="1"/>
        <v>1.69</v>
      </c>
      <c r="I13">
        <f t="shared" si="1"/>
        <v>8.2799999999999994</v>
      </c>
      <c r="J13">
        <f t="shared" si="1"/>
        <v>10.933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78.315500000000156</v>
      </c>
      <c r="O13">
        <f t="shared" si="1"/>
        <v>15</v>
      </c>
      <c r="R13" s="7" t="s">
        <v>80</v>
      </c>
      <c r="S13">
        <v>0</v>
      </c>
      <c r="AE13" s="37" t="s">
        <v>90</v>
      </c>
      <c r="AF13" s="37">
        <v>1.69</v>
      </c>
      <c r="AG13" s="37">
        <v>1.69</v>
      </c>
      <c r="AH13" s="39">
        <v>1.69</v>
      </c>
      <c r="AI13" s="16" t="s">
        <v>90</v>
      </c>
      <c r="AJ13" s="16">
        <v>1.69</v>
      </c>
      <c r="AK13" s="16">
        <v>1.69</v>
      </c>
      <c r="AU13" s="41" t="s">
        <v>74</v>
      </c>
      <c r="AV13" s="37">
        <v>1150000</v>
      </c>
      <c r="AW13">
        <f>VLOOKUP(AU13,'[1]unit2030-none'!$A$2:C$52,3,0)</f>
        <v>1040000</v>
      </c>
    </row>
    <row r="14" spans="1:49">
      <c r="A14">
        <v>2028</v>
      </c>
      <c r="B14">
        <f t="shared" si="2"/>
        <v>36.778999999999542</v>
      </c>
      <c r="C14">
        <f t="shared" si="1"/>
        <v>66.993000000000166</v>
      </c>
      <c r="D14">
        <f t="shared" si="1"/>
        <v>62.045333333333019</v>
      </c>
      <c r="E14">
        <f t="shared" si="1"/>
        <v>3.96</v>
      </c>
      <c r="F14">
        <f t="shared" si="1"/>
        <v>24.791400000000067</v>
      </c>
      <c r="G14">
        <f t="shared" si="1"/>
        <v>21.223999999999933</v>
      </c>
      <c r="H14">
        <f t="shared" si="1"/>
        <v>1.69</v>
      </c>
      <c r="I14">
        <f t="shared" si="1"/>
        <v>8.2799999999999994</v>
      </c>
      <c r="J14">
        <f t="shared" si="1"/>
        <v>10.951999999999998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77.097000000000207</v>
      </c>
      <c r="O14">
        <f t="shared" si="1"/>
        <v>15</v>
      </c>
      <c r="R14" s="7" t="s">
        <v>75</v>
      </c>
      <c r="S14">
        <v>0</v>
      </c>
      <c r="AE14" s="37" t="s">
        <v>91</v>
      </c>
      <c r="AF14" s="37">
        <v>8.2799999999999994</v>
      </c>
      <c r="AG14" s="37">
        <v>6.7</v>
      </c>
      <c r="AH14" s="39">
        <v>8.2799999999999994</v>
      </c>
      <c r="AI14" s="16" t="s">
        <v>91</v>
      </c>
      <c r="AJ14" s="16">
        <v>8.2799999999999994</v>
      </c>
      <c r="AK14" s="16">
        <v>8.2799999999999994</v>
      </c>
      <c r="AU14" s="41" t="s">
        <v>180</v>
      </c>
      <c r="AV14" s="42">
        <v>321000</v>
      </c>
      <c r="AW14">
        <f>VLOOKUP(AU14,'[1]unit2030-none'!$A$2:C$52,3,0)</f>
        <v>284000</v>
      </c>
    </row>
    <row r="15" spans="1:49">
      <c r="A15">
        <v>2029</v>
      </c>
      <c r="B15">
        <f t="shared" si="2"/>
        <v>38.729499999999916</v>
      </c>
      <c r="C15">
        <f t="shared" si="1"/>
        <v>65.996500000000196</v>
      </c>
      <c r="D15">
        <f t="shared" si="1"/>
        <v>63.99599999999964</v>
      </c>
      <c r="E15">
        <f t="shared" si="1"/>
        <v>3.96</v>
      </c>
      <c r="F15">
        <f t="shared" si="1"/>
        <v>25.800700000000006</v>
      </c>
      <c r="G15">
        <f t="shared" si="1"/>
        <v>22.201999999999771</v>
      </c>
      <c r="H15">
        <f t="shared" si="1"/>
        <v>1.69</v>
      </c>
      <c r="I15">
        <f t="shared" si="1"/>
        <v>8.2799999999999994</v>
      </c>
      <c r="J15">
        <f t="shared" si="1"/>
        <v>10.971000000000004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75.878500000000258</v>
      </c>
      <c r="O15">
        <f t="shared" si="1"/>
        <v>15</v>
      </c>
      <c r="R15" s="7" t="s">
        <v>79</v>
      </c>
      <c r="S15">
        <v>0</v>
      </c>
      <c r="AE15" s="37" t="s">
        <v>84</v>
      </c>
      <c r="AF15" s="37">
        <v>10.8</v>
      </c>
      <c r="AG15" s="37">
        <v>8.9</v>
      </c>
      <c r="AH15" s="39">
        <v>11.37</v>
      </c>
      <c r="AI15" s="16" t="s">
        <v>84</v>
      </c>
      <c r="AJ15" s="16">
        <v>10.8</v>
      </c>
      <c r="AK15" s="16">
        <v>11.37</v>
      </c>
      <c r="AU15" s="27" t="s">
        <v>33</v>
      </c>
      <c r="AV15" s="26">
        <v>1200000</v>
      </c>
      <c r="AW15">
        <f>VLOOKUP(AU15,'[1]unit2030-none'!$A$2:C$52,3,0)</f>
        <v>1200000</v>
      </c>
    </row>
    <row r="16" spans="1:49">
      <c r="A16">
        <v>2030</v>
      </c>
      <c r="B16">
        <f t="shared" si="2"/>
        <v>40.679999999999836</v>
      </c>
      <c r="C16">
        <f t="shared" si="1"/>
        <v>65</v>
      </c>
      <c r="D16">
        <f t="shared" si="1"/>
        <v>65.94666666666626</v>
      </c>
      <c r="E16">
        <f t="shared" si="1"/>
        <v>3.96</v>
      </c>
      <c r="F16">
        <f t="shared" si="1"/>
        <v>26.810000000000173</v>
      </c>
      <c r="G16">
        <f t="shared" si="1"/>
        <v>23.179999999999836</v>
      </c>
      <c r="H16">
        <f t="shared" si="1"/>
        <v>1.69</v>
      </c>
      <c r="I16">
        <f t="shared" si="1"/>
        <v>8.2799999999999994</v>
      </c>
      <c r="J16">
        <f t="shared" si="1"/>
        <v>10.990000000000002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74.660000000000309</v>
      </c>
      <c r="O16">
        <f t="shared" si="1"/>
        <v>15</v>
      </c>
      <c r="AE16" s="37" t="s">
        <v>81</v>
      </c>
      <c r="AF16" s="37">
        <v>7.5</v>
      </c>
      <c r="AG16" s="37">
        <v>7.5</v>
      </c>
      <c r="AH16" s="39">
        <v>7.5</v>
      </c>
      <c r="AI16" s="16" t="s">
        <v>81</v>
      </c>
      <c r="AJ16" s="16">
        <v>7.5</v>
      </c>
      <c r="AK16" s="16">
        <v>7.5</v>
      </c>
      <c r="AU16" s="41" t="s">
        <v>44</v>
      </c>
      <c r="AV16" s="42">
        <v>8000000</v>
      </c>
      <c r="AW16">
        <f>VLOOKUP(AU16,'[1]unit2030-none'!$A$2:C$52,3,0)</f>
        <v>2990000</v>
      </c>
    </row>
    <row r="17" spans="1:49">
      <c r="A17">
        <v>2031</v>
      </c>
      <c r="B17">
        <f t="shared" si="2"/>
        <v>42.630499999999756</v>
      </c>
      <c r="C17">
        <f t="shared" si="1"/>
        <v>64.003500000000031</v>
      </c>
      <c r="D17">
        <f t="shared" si="1"/>
        <v>67.897333333332881</v>
      </c>
      <c r="E17">
        <f t="shared" si="1"/>
        <v>3.96</v>
      </c>
      <c r="F17">
        <f t="shared" si="1"/>
        <v>27.819299999999885</v>
      </c>
      <c r="G17">
        <f t="shared" si="1"/>
        <v>24.157999999999902</v>
      </c>
      <c r="H17">
        <f t="shared" si="1"/>
        <v>1.69</v>
      </c>
      <c r="I17">
        <f t="shared" si="1"/>
        <v>8.2799999999999994</v>
      </c>
      <c r="J17">
        <f t="shared" si="1"/>
        <v>11.009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73.44150000000036</v>
      </c>
      <c r="O17">
        <f t="shared" si="1"/>
        <v>15</v>
      </c>
      <c r="AE17" s="37" t="s">
        <v>82</v>
      </c>
      <c r="AF17" s="37">
        <v>45</v>
      </c>
      <c r="AG17" s="37">
        <v>45</v>
      </c>
      <c r="AH17" s="39">
        <v>45</v>
      </c>
      <c r="AI17" s="16" t="s">
        <v>82</v>
      </c>
      <c r="AJ17" s="16">
        <v>37.5</v>
      </c>
      <c r="AK17" s="16">
        <v>37.5</v>
      </c>
      <c r="AU17" t="s">
        <v>174</v>
      </c>
      <c r="AV17">
        <v>3845510</v>
      </c>
      <c r="AW17" t="e">
        <f>VLOOKUP(AU17,'[1]unit2030-none'!$A$2:C$52,3,0)</f>
        <v>#N/A</v>
      </c>
    </row>
    <row r="18" spans="1:49">
      <c r="A18">
        <v>2032</v>
      </c>
      <c r="B18">
        <f t="shared" si="2"/>
        <v>44.580999999999676</v>
      </c>
      <c r="C18">
        <f t="shared" si="1"/>
        <v>63.007000000000062</v>
      </c>
      <c r="D18">
        <f t="shared" si="1"/>
        <v>69.847999999999502</v>
      </c>
      <c r="E18">
        <f t="shared" si="1"/>
        <v>3.96</v>
      </c>
      <c r="F18">
        <f t="shared" si="1"/>
        <v>28.828600000000051</v>
      </c>
      <c r="G18">
        <f t="shared" si="1"/>
        <v>25.135999999999967</v>
      </c>
      <c r="H18">
        <f t="shared" si="1"/>
        <v>1.69</v>
      </c>
      <c r="I18">
        <f t="shared" si="1"/>
        <v>8.2799999999999994</v>
      </c>
      <c r="J18">
        <f t="shared" si="1"/>
        <v>11.027999999999999</v>
      </c>
      <c r="K18">
        <f t="shared" si="1"/>
        <v>7.5</v>
      </c>
      <c r="L18">
        <f t="shared" si="1"/>
        <v>45</v>
      </c>
      <c r="M18">
        <f t="shared" si="1"/>
        <v>82.5</v>
      </c>
      <c r="N18">
        <f t="shared" si="1"/>
        <v>72.223000000000411</v>
      </c>
      <c r="O18">
        <f t="shared" si="1"/>
        <v>15</v>
      </c>
      <c r="S18" t="s">
        <v>123</v>
      </c>
      <c r="T18" t="s">
        <v>122</v>
      </c>
      <c r="U18" t="s">
        <v>119</v>
      </c>
      <c r="V18" t="s">
        <v>213</v>
      </c>
      <c r="W18" t="s">
        <v>216</v>
      </c>
      <c r="X18" t="s">
        <v>102</v>
      </c>
      <c r="Y18" t="s">
        <v>102</v>
      </c>
      <c r="AE18" s="37" t="s">
        <v>80</v>
      </c>
      <c r="AF18" s="37">
        <v>82.5</v>
      </c>
      <c r="AG18" s="37">
        <v>82.5</v>
      </c>
      <c r="AH18" s="39">
        <v>82.5</v>
      </c>
      <c r="AI18" s="16" t="s">
        <v>80</v>
      </c>
      <c r="AJ18" s="16">
        <v>82.5</v>
      </c>
      <c r="AK18" s="16">
        <v>82.5</v>
      </c>
      <c r="AU18" t="s">
        <v>177</v>
      </c>
      <c r="AV18">
        <v>3845510</v>
      </c>
      <c r="AW18" t="e">
        <f>VLOOKUP(AU18,'[1]unit2030-none'!$A$2:C$52,3,0)</f>
        <v>#N/A</v>
      </c>
    </row>
    <row r="19" spans="1:49">
      <c r="A19">
        <v>2033</v>
      </c>
      <c r="B19">
        <f t="shared" si="2"/>
        <v>46.531499999999596</v>
      </c>
      <c r="C19">
        <f t="shared" si="1"/>
        <v>62.010500000000093</v>
      </c>
      <c r="D19">
        <f t="shared" si="1"/>
        <v>71.798666666666122</v>
      </c>
      <c r="E19">
        <f t="shared" si="1"/>
        <v>3.96</v>
      </c>
      <c r="F19">
        <f t="shared" si="1"/>
        <v>29.837899999999763</v>
      </c>
      <c r="G19">
        <f t="shared" si="1"/>
        <v>26.113999999999805</v>
      </c>
      <c r="H19">
        <f t="shared" si="1"/>
        <v>1.69</v>
      </c>
      <c r="I19">
        <f t="shared" si="1"/>
        <v>8.2799999999999994</v>
      </c>
      <c r="J19">
        <f t="shared" si="1"/>
        <v>11.047000000000004</v>
      </c>
      <c r="K19">
        <f t="shared" si="1"/>
        <v>7.5</v>
      </c>
      <c r="L19">
        <f t="shared" si="1"/>
        <v>45</v>
      </c>
      <c r="M19">
        <f t="shared" si="1"/>
        <v>82.5</v>
      </c>
      <c r="N19">
        <f t="shared" si="1"/>
        <v>71.004500000000462</v>
      </c>
      <c r="O19">
        <f t="shared" si="1"/>
        <v>15</v>
      </c>
      <c r="R19" t="str">
        <f>unit2020!A7</f>
        <v>Biomass_CHP_wood_pellets_DH</v>
      </c>
      <c r="S19">
        <f>unit2020!B7</f>
        <v>2040000</v>
      </c>
      <c r="T19">
        <f>unit2020!C7</f>
        <v>50000</v>
      </c>
      <c r="U19" s="10">
        <f>unit2020!D7</f>
        <v>2</v>
      </c>
      <c r="V19" s="34">
        <f>unit2020!E7</f>
        <v>0.309</v>
      </c>
      <c r="W19" s="34">
        <f>VLOOKUP(R19,'unit2030-none'!$A$1:$I$52,8,0)</f>
        <v>30</v>
      </c>
      <c r="X19" s="35">
        <f>PMT(0.1,W19,S19,0)</f>
        <v>-216401.66643537322</v>
      </c>
      <c r="Y19" s="35">
        <f>-X19</f>
        <v>216401.66643537322</v>
      </c>
      <c r="AE19" s="37" t="s">
        <v>75</v>
      </c>
      <c r="AF19" s="37">
        <v>86.844999999999999</v>
      </c>
      <c r="AG19" s="37">
        <v>74.66</v>
      </c>
      <c r="AH19" s="39">
        <v>50.29</v>
      </c>
      <c r="AI19" s="16" t="s">
        <v>75</v>
      </c>
      <c r="AJ19" s="16">
        <v>69</v>
      </c>
      <c r="AK19" s="16">
        <v>69</v>
      </c>
      <c r="AU19" t="s">
        <v>178</v>
      </c>
      <c r="AV19">
        <v>343000</v>
      </c>
      <c r="AW19" t="e">
        <f>VLOOKUP(AU19,'[1]unit2030-none'!$A$2:C$52,3,0)</f>
        <v>#N/A</v>
      </c>
    </row>
    <row r="20" spans="1:49">
      <c r="A20">
        <v>2034</v>
      </c>
      <c r="B20">
        <f t="shared" si="2"/>
        <v>48.481999999999971</v>
      </c>
      <c r="C20">
        <f t="shared" si="1"/>
        <v>61.014000000000124</v>
      </c>
      <c r="D20">
        <f t="shared" si="1"/>
        <v>73.749333333333198</v>
      </c>
      <c r="E20">
        <f t="shared" si="1"/>
        <v>3.96</v>
      </c>
      <c r="F20">
        <f t="shared" si="1"/>
        <v>30.84719999999993</v>
      </c>
      <c r="G20">
        <f t="shared" si="1"/>
        <v>27.091999999999871</v>
      </c>
      <c r="H20">
        <f t="shared" si="1"/>
        <v>1.69</v>
      </c>
      <c r="I20">
        <f t="shared" si="1"/>
        <v>8.2799999999999994</v>
      </c>
      <c r="J20">
        <f t="shared" si="1"/>
        <v>11.066000000000003</v>
      </c>
      <c r="K20">
        <f t="shared" si="1"/>
        <v>7.5</v>
      </c>
      <c r="L20">
        <f t="shared" si="1"/>
        <v>45</v>
      </c>
      <c r="M20">
        <f t="shared" si="1"/>
        <v>82.5</v>
      </c>
      <c r="N20">
        <f t="shared" si="1"/>
        <v>69.786000000000513</v>
      </c>
      <c r="O20">
        <f t="shared" si="1"/>
        <v>15</v>
      </c>
      <c r="R20" t="str">
        <f>unit2020!A8</f>
        <v>CCGT</v>
      </c>
      <c r="S20">
        <f>unit2020!B8</f>
        <v>830000</v>
      </c>
      <c r="T20">
        <f>unit2020!C8</f>
        <v>27800</v>
      </c>
      <c r="U20">
        <f>unit2020!D8</f>
        <v>4</v>
      </c>
      <c r="V20" s="34">
        <f>unit2020!E8</f>
        <v>0.61</v>
      </c>
      <c r="W20" s="34">
        <f>VLOOKUP(R20,'unit2030-none'!$A$1:$I$52,8,0)</f>
        <v>30</v>
      </c>
      <c r="X20" s="35">
        <f t="shared" ref="X20:X28" si="3">PMT(0.1,W20,S20,0)</f>
        <v>-88045.776049686159</v>
      </c>
      <c r="Y20" s="35">
        <f t="shared" ref="Y20:Y28" si="4">-X20</f>
        <v>88045.776049686159</v>
      </c>
      <c r="AE20" s="37" t="s">
        <v>79</v>
      </c>
      <c r="AF20" s="37">
        <v>15</v>
      </c>
      <c r="AG20" s="37">
        <v>15</v>
      </c>
      <c r="AH20" s="39">
        <v>15</v>
      </c>
      <c r="AI20" s="16" t="s">
        <v>79</v>
      </c>
      <c r="AJ20" s="16">
        <v>22.5</v>
      </c>
      <c r="AK20" s="16">
        <v>22.5</v>
      </c>
      <c r="AU20" t="s">
        <v>13</v>
      </c>
      <c r="AV20">
        <v>7940450</v>
      </c>
      <c r="AW20">
        <f>VLOOKUP(AU20,'[1]unit2030-none'!$A$2:C$52,3,0)</f>
        <v>4000000</v>
      </c>
    </row>
    <row r="21" spans="1:49">
      <c r="A21">
        <v>2035</v>
      </c>
      <c r="B21">
        <f t="shared" si="2"/>
        <v>50.432499999999891</v>
      </c>
      <c r="C21">
        <f t="shared" si="1"/>
        <v>60.017500000000155</v>
      </c>
      <c r="D21">
        <f t="shared" si="1"/>
        <v>75.699999999999818</v>
      </c>
      <c r="E21">
        <f t="shared" si="1"/>
        <v>3.96</v>
      </c>
      <c r="F21">
        <f t="shared" si="1"/>
        <v>31.856500000000096</v>
      </c>
      <c r="G21">
        <f t="shared" si="1"/>
        <v>28.069999999999936</v>
      </c>
      <c r="H21">
        <f t="shared" si="1"/>
        <v>1.69</v>
      </c>
      <c r="I21">
        <f t="shared" si="1"/>
        <v>8.2799999999999994</v>
      </c>
      <c r="J21">
        <f t="shared" si="1"/>
        <v>11.085000000000001</v>
      </c>
      <c r="K21">
        <f t="shared" si="1"/>
        <v>7.5</v>
      </c>
      <c r="L21">
        <f t="shared" si="1"/>
        <v>45</v>
      </c>
      <c r="M21">
        <f t="shared" si="1"/>
        <v>82.5</v>
      </c>
      <c r="N21">
        <f t="shared" si="1"/>
        <v>68.567500000000109</v>
      </c>
      <c r="O21">
        <f t="shared" si="1"/>
        <v>15</v>
      </c>
      <c r="R21" t="str">
        <f>unit2020!A9</f>
        <v>Hydropower_reservoir_medium</v>
      </c>
      <c r="S21">
        <f>unit2020!B9</f>
        <v>8000000</v>
      </c>
      <c r="T21">
        <f>unit2020!C9</f>
        <v>100000</v>
      </c>
      <c r="U21">
        <f>unit2020!D9</f>
        <v>0</v>
      </c>
      <c r="V21" s="34">
        <f>unit2020!E9</f>
        <v>0</v>
      </c>
      <c r="W21" s="34">
        <f>VLOOKUP(R21,'unit2030-none'!$A$1:$I$52,8,0)</f>
        <v>60</v>
      </c>
      <c r="X21" s="35">
        <f t="shared" si="3"/>
        <v>-802636.07380403264</v>
      </c>
      <c r="Y21" s="35">
        <f t="shared" si="4"/>
        <v>802636.07380403264</v>
      </c>
      <c r="AU21" t="s">
        <v>181</v>
      </c>
      <c r="AV21">
        <v>2000000</v>
      </c>
      <c r="AW21" t="e">
        <f>VLOOKUP(AU21,'[1]unit2030-none'!$A$2:C$52,3,0)</f>
        <v>#N/A</v>
      </c>
    </row>
    <row r="22" spans="1:49">
      <c r="A22">
        <v>2036</v>
      </c>
      <c r="B22">
        <f t="shared" si="2"/>
        <v>52.382999999999811</v>
      </c>
      <c r="C22">
        <f t="shared" si="1"/>
        <v>59.021000000000186</v>
      </c>
      <c r="D22">
        <f t="shared" si="1"/>
        <v>77.650666666666439</v>
      </c>
      <c r="E22">
        <f t="shared" si="1"/>
        <v>3.96</v>
      </c>
      <c r="F22">
        <f t="shared" si="1"/>
        <v>32.865799999999808</v>
      </c>
      <c r="G22">
        <f t="shared" si="1"/>
        <v>29.047999999999774</v>
      </c>
      <c r="H22">
        <f t="shared" si="1"/>
        <v>1.69</v>
      </c>
      <c r="I22">
        <f t="shared" si="1"/>
        <v>8.2799999999999994</v>
      </c>
      <c r="J22">
        <f t="shared" si="1"/>
        <v>11.103999999999999</v>
      </c>
      <c r="K22">
        <f t="shared" si="1"/>
        <v>7.5</v>
      </c>
      <c r="L22">
        <f t="shared" si="1"/>
        <v>45</v>
      </c>
      <c r="M22">
        <f t="shared" si="1"/>
        <v>82.5</v>
      </c>
      <c r="N22">
        <f t="shared" si="1"/>
        <v>67.34900000000016</v>
      </c>
      <c r="O22">
        <f t="shared" si="1"/>
        <v>15</v>
      </c>
      <c r="R22" t="str">
        <f>unit2020!A10</f>
        <v>OCGT</v>
      </c>
      <c r="S22">
        <f>unit2020!B10</f>
        <v>435000</v>
      </c>
      <c r="T22">
        <f>unit2020!C10</f>
        <v>7745</v>
      </c>
      <c r="U22">
        <f>unit2020!D10</f>
        <v>5</v>
      </c>
      <c r="V22" s="34">
        <f>unit2020!E10</f>
        <v>0.43</v>
      </c>
      <c r="W22" s="34">
        <f>VLOOKUP(R22,'unit2030-none'!$A$1:$I$52,8,0)</f>
        <v>30</v>
      </c>
      <c r="X22" s="35">
        <f t="shared" si="3"/>
        <v>-46144.472989895759</v>
      </c>
      <c r="Y22" s="35">
        <f t="shared" si="4"/>
        <v>46144.472989895759</v>
      </c>
    </row>
    <row r="23" spans="1:49">
      <c r="A23">
        <v>2037</v>
      </c>
      <c r="B23">
        <f t="shared" si="2"/>
        <v>54.333499999999731</v>
      </c>
      <c r="C23">
        <f t="shared" si="2"/>
        <v>58.024500000000216</v>
      </c>
      <c r="D23">
        <f t="shared" si="2"/>
        <v>79.601333333333059</v>
      </c>
      <c r="E23">
        <f t="shared" si="2"/>
        <v>3.96</v>
      </c>
      <c r="F23">
        <f t="shared" si="2"/>
        <v>33.875099999999975</v>
      </c>
      <c r="G23">
        <f t="shared" si="2"/>
        <v>30.02599999999984</v>
      </c>
      <c r="H23">
        <f t="shared" si="2"/>
        <v>1.69</v>
      </c>
      <c r="I23">
        <f t="shared" si="2"/>
        <v>8.2799999999999994</v>
      </c>
      <c r="J23">
        <f t="shared" si="2"/>
        <v>11.123000000000005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66.130500000000211</v>
      </c>
      <c r="O23">
        <f t="shared" si="2"/>
        <v>15</v>
      </c>
      <c r="R23" t="str">
        <f>unit2020!A11</f>
        <v>PV_utility_systems</v>
      </c>
      <c r="S23">
        <f>unit2020!B11</f>
        <v>587000</v>
      </c>
      <c r="T23">
        <f>unit2020!C11</f>
        <v>11700</v>
      </c>
      <c r="U23">
        <f>unit2020!D11</f>
        <v>0</v>
      </c>
      <c r="V23" s="34">
        <f>unit2020!E11</f>
        <v>1</v>
      </c>
      <c r="W23" s="34">
        <f>VLOOKUP(R23,'unit2030-none'!$A$1:$I$52,8,0)</f>
        <v>25</v>
      </c>
      <c r="X23" s="35">
        <f t="shared" si="3"/>
        <v>-64668.65837554224</v>
      </c>
      <c r="Y23" s="35">
        <f t="shared" si="4"/>
        <v>64668.65837554224</v>
      </c>
    </row>
    <row r="24" spans="1:49">
      <c r="A24">
        <v>2038</v>
      </c>
      <c r="B24">
        <f t="shared" si="2"/>
        <v>56.283999999999651</v>
      </c>
      <c r="C24">
        <f t="shared" si="2"/>
        <v>57.02800000000002</v>
      </c>
      <c r="D24">
        <f t="shared" si="2"/>
        <v>81.55199999999968</v>
      </c>
      <c r="E24">
        <f t="shared" si="2"/>
        <v>3.96</v>
      </c>
      <c r="F24">
        <f t="shared" si="2"/>
        <v>34.884400000000142</v>
      </c>
      <c r="G24">
        <f t="shared" si="2"/>
        <v>31.003999999999905</v>
      </c>
      <c r="H24">
        <f t="shared" si="2"/>
        <v>1.69</v>
      </c>
      <c r="I24">
        <f t="shared" si="2"/>
        <v>8.2799999999999994</v>
      </c>
      <c r="J24">
        <f t="shared" si="2"/>
        <v>11.142000000000003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64.912000000000262</v>
      </c>
      <c r="O24">
        <f t="shared" si="2"/>
        <v>15</v>
      </c>
      <c r="R24" t="str">
        <f>unit2020!A12</f>
        <v>WTG_offshore</v>
      </c>
      <c r="S24">
        <f>unit2020!B12</f>
        <v>2270000</v>
      </c>
      <c r="T24">
        <f>unit2020!C12</f>
        <v>23400</v>
      </c>
      <c r="U24">
        <f>unit2020!D12</f>
        <v>3</v>
      </c>
      <c r="V24" s="34">
        <f>unit2020!E12</f>
        <v>1</v>
      </c>
      <c r="W24" s="34">
        <f>VLOOKUP(R24,'unit2030-none'!$A$1:$I$52,8,0)</f>
        <v>30</v>
      </c>
      <c r="X24" s="35">
        <f t="shared" si="3"/>
        <v>-240799.89353347901</v>
      </c>
      <c r="Y24" s="35">
        <f t="shared" si="4"/>
        <v>240799.89353347901</v>
      </c>
    </row>
    <row r="25" spans="1:49">
      <c r="A25">
        <v>2039</v>
      </c>
      <c r="B25">
        <f t="shared" si="2"/>
        <v>58.234499999999571</v>
      </c>
      <c r="C25">
        <f t="shared" si="2"/>
        <v>56.031500000000051</v>
      </c>
      <c r="D25">
        <f t="shared" si="2"/>
        <v>83.5026666666663</v>
      </c>
      <c r="E25">
        <f t="shared" si="2"/>
        <v>3.96</v>
      </c>
      <c r="F25">
        <f t="shared" si="2"/>
        <v>35.893699999999853</v>
      </c>
      <c r="G25">
        <f t="shared" si="2"/>
        <v>31.981999999999971</v>
      </c>
      <c r="H25">
        <f t="shared" si="2"/>
        <v>1.69</v>
      </c>
      <c r="I25">
        <f t="shared" si="2"/>
        <v>8.2799999999999994</v>
      </c>
      <c r="J25">
        <f t="shared" si="2"/>
        <v>11.161000000000001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63.693500000000313</v>
      </c>
      <c r="O25">
        <f t="shared" si="2"/>
        <v>15</v>
      </c>
      <c r="R25" t="str">
        <f>unit2020!A13</f>
        <v>WTG_onshore</v>
      </c>
      <c r="S25">
        <f>unit2020!B13</f>
        <v>1150000</v>
      </c>
      <c r="T25">
        <f>unit2020!C13</f>
        <v>11000</v>
      </c>
      <c r="U25">
        <f>unit2020!D13</f>
        <v>1</v>
      </c>
      <c r="V25" s="34">
        <f>unit2020!E13</f>
        <v>1</v>
      </c>
      <c r="W25" s="34">
        <f>VLOOKUP(R25,'unit2030-none'!$A$1:$I$52,8,0)</f>
        <v>25</v>
      </c>
      <c r="X25" s="35">
        <f t="shared" si="3"/>
        <v>-126693.28301852397</v>
      </c>
      <c r="Y25" s="35">
        <f t="shared" si="4"/>
        <v>126693.28301852397</v>
      </c>
    </row>
    <row r="26" spans="1:49">
      <c r="A26">
        <v>2040</v>
      </c>
      <c r="B26">
        <f t="shared" si="2"/>
        <v>60.184999999999945</v>
      </c>
      <c r="C26">
        <f t="shared" si="2"/>
        <v>55.035000000000082</v>
      </c>
      <c r="D26">
        <f t="shared" si="2"/>
        <v>85.453333333332921</v>
      </c>
      <c r="E26">
        <f t="shared" si="2"/>
        <v>3.96</v>
      </c>
      <c r="F26">
        <f t="shared" si="2"/>
        <v>36.90300000000002</v>
      </c>
      <c r="G26">
        <f t="shared" si="2"/>
        <v>32.959999999999809</v>
      </c>
      <c r="H26">
        <f t="shared" si="2"/>
        <v>1.69</v>
      </c>
      <c r="I26">
        <f t="shared" si="2"/>
        <v>8.2799999999999994</v>
      </c>
      <c r="J26">
        <f t="shared" si="2"/>
        <v>11.18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62.475000000000364</v>
      </c>
      <c r="O26">
        <f t="shared" si="2"/>
        <v>15</v>
      </c>
      <c r="R26" t="str">
        <f>unit2020!A14</f>
        <v>Lithium_ion_battery</v>
      </c>
      <c r="S26">
        <f>unit2020!B14</f>
        <v>321000</v>
      </c>
      <c r="T26">
        <f>unit2020!C14</f>
        <v>7800</v>
      </c>
      <c r="U26">
        <f>unit2020!D14</f>
        <v>2</v>
      </c>
      <c r="V26" s="34">
        <f>unit2020!E14</f>
        <v>0.9</v>
      </c>
      <c r="W26" s="34">
        <f>VLOOKUP(R26,'unit2030-none'!$A$1:$I$52,8,0)</f>
        <v>20</v>
      </c>
      <c r="X26" s="35">
        <f t="shared" si="3"/>
        <v>-37704.539551987196</v>
      </c>
      <c r="Y26" s="35">
        <f t="shared" si="4"/>
        <v>37704.539551987196</v>
      </c>
    </row>
    <row r="27" spans="1:49">
      <c r="A27">
        <v>2041</v>
      </c>
      <c r="B27">
        <f t="shared" si="2"/>
        <v>62.135499999999865</v>
      </c>
      <c r="C27">
        <f t="shared" si="2"/>
        <v>54.038500000000113</v>
      </c>
      <c r="D27">
        <f t="shared" si="2"/>
        <v>87.403999999999542</v>
      </c>
      <c r="E27">
        <f t="shared" si="2"/>
        <v>3.96</v>
      </c>
      <c r="F27">
        <f t="shared" si="2"/>
        <v>37.912300000000187</v>
      </c>
      <c r="G27">
        <f t="shared" si="2"/>
        <v>33.937999999999874</v>
      </c>
      <c r="H27">
        <f t="shared" si="2"/>
        <v>1.69</v>
      </c>
      <c r="I27">
        <f t="shared" si="2"/>
        <v>8.2799999999999994</v>
      </c>
      <c r="J27">
        <f t="shared" si="2"/>
        <v>11.198999999999998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61.256500000000415</v>
      </c>
      <c r="O27">
        <f t="shared" si="2"/>
        <v>15</v>
      </c>
      <c r="R27" t="str">
        <f>unit2020!A15</f>
        <v>CCGT_CHP_backpressure_DH</v>
      </c>
      <c r="S27">
        <f>unit2020!B15</f>
        <v>1200000</v>
      </c>
      <c r="T27">
        <f>unit2020!C15</f>
        <v>0</v>
      </c>
      <c r="U27">
        <f>unit2020!D15</f>
        <v>0</v>
      </c>
      <c r="V27" s="34">
        <f>unit2020!E15</f>
        <v>0.53</v>
      </c>
      <c r="W27" s="34">
        <f>VLOOKUP(R27,'unit2030-none'!$A$1:$I$52,8,0)</f>
        <v>30</v>
      </c>
      <c r="X27" s="35">
        <f t="shared" si="3"/>
        <v>-127295.09790316071</v>
      </c>
      <c r="Y27" s="35">
        <f t="shared" si="4"/>
        <v>127295.09790316071</v>
      </c>
    </row>
    <row r="28" spans="1:49">
      <c r="A28">
        <v>2042</v>
      </c>
      <c r="B28">
        <f t="shared" si="2"/>
        <v>64.085999999999785</v>
      </c>
      <c r="C28">
        <f t="shared" si="2"/>
        <v>53.042000000000144</v>
      </c>
      <c r="D28">
        <f t="shared" si="2"/>
        <v>89.354666666666162</v>
      </c>
      <c r="E28">
        <f t="shared" si="2"/>
        <v>3.96</v>
      </c>
      <c r="F28">
        <f t="shared" si="2"/>
        <v>38.921599999999899</v>
      </c>
      <c r="G28">
        <f t="shared" si="2"/>
        <v>34.91599999999994</v>
      </c>
      <c r="H28">
        <f t="shared" si="2"/>
        <v>1.69</v>
      </c>
      <c r="I28">
        <f t="shared" si="2"/>
        <v>8.2799999999999994</v>
      </c>
      <c r="J28">
        <f t="shared" si="2"/>
        <v>11.218000000000004</v>
      </c>
      <c r="K28">
        <f t="shared" si="2"/>
        <v>7.5</v>
      </c>
      <c r="L28">
        <f t="shared" si="2"/>
        <v>45</v>
      </c>
      <c r="M28">
        <f t="shared" si="2"/>
        <v>82.5</v>
      </c>
      <c r="N28">
        <f t="shared" si="2"/>
        <v>60.038000000000466</v>
      </c>
      <c r="O28">
        <f t="shared" si="2"/>
        <v>15</v>
      </c>
      <c r="R28" t="str">
        <f>unit2020!A16</f>
        <v>Hydropower_ROR</v>
      </c>
      <c r="S28">
        <f>unit2020!B16</f>
        <v>8000000</v>
      </c>
      <c r="T28">
        <f>unit2020!C16</f>
        <v>100000</v>
      </c>
      <c r="U28">
        <f>unit2020!D16</f>
        <v>0</v>
      </c>
      <c r="V28" s="34">
        <f>unit2020!E16</f>
        <v>0</v>
      </c>
      <c r="W28" s="34">
        <f>VLOOKUP(R28,'unit2030-none'!$A$1:$I$52,8,0)</f>
        <v>20</v>
      </c>
      <c r="X28" s="35">
        <f t="shared" si="3"/>
        <v>-939676.99818036635</v>
      </c>
      <c r="Y28" s="35">
        <f t="shared" si="4"/>
        <v>939676.99818036635</v>
      </c>
    </row>
    <row r="29" spans="1:49">
      <c r="A29">
        <v>2043</v>
      </c>
      <c r="B29">
        <f t="shared" si="2"/>
        <v>66.036499999999705</v>
      </c>
      <c r="C29">
        <f t="shared" si="2"/>
        <v>52.045500000000175</v>
      </c>
      <c r="D29">
        <f t="shared" si="2"/>
        <v>91.305333333332783</v>
      </c>
      <c r="E29">
        <f t="shared" si="2"/>
        <v>3.96</v>
      </c>
      <c r="F29">
        <f t="shared" si="2"/>
        <v>39.930900000000065</v>
      </c>
      <c r="G29">
        <f t="shared" si="2"/>
        <v>35.893999999999778</v>
      </c>
      <c r="H29">
        <f t="shared" si="2"/>
        <v>1.69</v>
      </c>
      <c r="I29">
        <f t="shared" si="2"/>
        <v>8.2799999999999994</v>
      </c>
      <c r="J29">
        <f t="shared" si="2"/>
        <v>11.237000000000002</v>
      </c>
      <c r="K29">
        <f t="shared" si="2"/>
        <v>7.5</v>
      </c>
      <c r="L29">
        <f t="shared" si="2"/>
        <v>45</v>
      </c>
      <c r="M29">
        <f t="shared" si="2"/>
        <v>82.5</v>
      </c>
      <c r="N29">
        <f t="shared" si="2"/>
        <v>58.819500000000517</v>
      </c>
      <c r="O29">
        <f t="shared" si="2"/>
        <v>15</v>
      </c>
    </row>
    <row r="30" spans="1:49">
      <c r="A30">
        <v>2044</v>
      </c>
      <c r="B30">
        <f t="shared" si="2"/>
        <v>67.986999999999625</v>
      </c>
      <c r="C30">
        <f t="shared" si="2"/>
        <v>51.049000000000206</v>
      </c>
      <c r="D30">
        <f t="shared" si="2"/>
        <v>93.255999999999858</v>
      </c>
      <c r="E30">
        <f t="shared" si="2"/>
        <v>3.96</v>
      </c>
      <c r="F30">
        <f t="shared" si="2"/>
        <v>40.940199999999777</v>
      </c>
      <c r="G30">
        <f t="shared" si="2"/>
        <v>36.871999999999844</v>
      </c>
      <c r="H30">
        <f t="shared" si="2"/>
        <v>1.69</v>
      </c>
      <c r="I30">
        <f t="shared" si="2"/>
        <v>8.2799999999999994</v>
      </c>
      <c r="J30">
        <f t="shared" si="2"/>
        <v>11.256</v>
      </c>
      <c r="K30">
        <f t="shared" si="2"/>
        <v>7.5</v>
      </c>
      <c r="L30">
        <f t="shared" si="2"/>
        <v>45</v>
      </c>
      <c r="M30">
        <f t="shared" si="2"/>
        <v>82.5</v>
      </c>
      <c r="N30">
        <f t="shared" si="2"/>
        <v>57.601000000000113</v>
      </c>
      <c r="O30">
        <f t="shared" si="2"/>
        <v>15</v>
      </c>
      <c r="U30" t="s">
        <v>206</v>
      </c>
      <c r="V30" t="s">
        <v>2</v>
      </c>
    </row>
    <row r="31" spans="1:49">
      <c r="A31">
        <v>2045</v>
      </c>
      <c r="B31">
        <f t="shared" si="2"/>
        <v>69.937499999999545</v>
      </c>
      <c r="C31">
        <f t="shared" si="2"/>
        <v>50.052500000000009</v>
      </c>
      <c r="D31">
        <f t="shared" si="2"/>
        <v>95.206666666666479</v>
      </c>
      <c r="E31">
        <f t="shared" si="2"/>
        <v>3.96</v>
      </c>
      <c r="F31">
        <f>_xlfn.FORECAST.LINEAR($A31,F$3:F$4,$A$3:$A$4)</f>
        <v>41.949499999999944</v>
      </c>
      <c r="G31">
        <f t="shared" si="2"/>
        <v>37.849999999999909</v>
      </c>
      <c r="H31">
        <f t="shared" si="2"/>
        <v>1.69</v>
      </c>
      <c r="I31">
        <f t="shared" si="2"/>
        <v>8.2799999999999994</v>
      </c>
      <c r="J31">
        <f t="shared" si="2"/>
        <v>11.274999999999999</v>
      </c>
      <c r="K31">
        <f t="shared" si="2"/>
        <v>7.5</v>
      </c>
      <c r="L31">
        <f t="shared" si="2"/>
        <v>45</v>
      </c>
      <c r="M31">
        <f t="shared" si="2"/>
        <v>82.5</v>
      </c>
      <c r="N31">
        <f t="shared" si="2"/>
        <v>56.382500000000164</v>
      </c>
      <c r="O31">
        <f t="shared" si="2"/>
        <v>15</v>
      </c>
      <c r="R31" t="s">
        <v>212</v>
      </c>
      <c r="S31" s="29">
        <f>V33</f>
        <v>273.33333333333576</v>
      </c>
      <c r="U31">
        <v>2020</v>
      </c>
      <c r="V31">
        <v>20</v>
      </c>
    </row>
    <row r="32" spans="1:49">
      <c r="A32">
        <v>2046</v>
      </c>
      <c r="B32">
        <f t="shared" si="2"/>
        <v>71.88799999999992</v>
      </c>
      <c r="C32">
        <f t="shared" si="2"/>
        <v>49.05600000000004</v>
      </c>
      <c r="D32">
        <f t="shared" si="2"/>
        <v>97.157333333333099</v>
      </c>
      <c r="E32">
        <f t="shared" si="2"/>
        <v>3.96</v>
      </c>
      <c r="F32">
        <f t="shared" si="2"/>
        <v>42.95880000000011</v>
      </c>
      <c r="G32">
        <f t="shared" si="2"/>
        <v>38.827999999999975</v>
      </c>
      <c r="H32">
        <f t="shared" si="2"/>
        <v>1.69</v>
      </c>
      <c r="I32">
        <f t="shared" si="2"/>
        <v>8.2799999999999994</v>
      </c>
      <c r="J32">
        <f t="shared" si="2"/>
        <v>11.294000000000004</v>
      </c>
      <c r="K32">
        <f t="shared" si="2"/>
        <v>7.5</v>
      </c>
      <c r="L32">
        <f t="shared" si="2"/>
        <v>45</v>
      </c>
      <c r="M32">
        <f t="shared" si="2"/>
        <v>82.5</v>
      </c>
      <c r="N32">
        <f t="shared" si="2"/>
        <v>55.164000000000215</v>
      </c>
      <c r="O32">
        <f t="shared" si="2"/>
        <v>15</v>
      </c>
      <c r="U32">
        <v>2050</v>
      </c>
      <c r="V32">
        <v>400</v>
      </c>
    </row>
    <row r="33" spans="1:22">
      <c r="A33">
        <v>2047</v>
      </c>
      <c r="B33">
        <f t="shared" si="2"/>
        <v>73.83849999999984</v>
      </c>
      <c r="C33">
        <f t="shared" si="2"/>
        <v>48.059500000000071</v>
      </c>
      <c r="D33">
        <f t="shared" si="2"/>
        <v>99.10799999999972</v>
      </c>
      <c r="E33">
        <f t="shared" si="2"/>
        <v>3.96</v>
      </c>
      <c r="F33">
        <f t="shared" si="2"/>
        <v>43.968099999999822</v>
      </c>
      <c r="G33">
        <f t="shared" si="2"/>
        <v>39.805999999999813</v>
      </c>
      <c r="H33">
        <f t="shared" si="2"/>
        <v>1.69</v>
      </c>
      <c r="I33">
        <f t="shared" si="2"/>
        <v>8.2799999999999994</v>
      </c>
      <c r="J33">
        <f t="shared" si="2"/>
        <v>11.313000000000002</v>
      </c>
      <c r="K33">
        <f t="shared" si="2"/>
        <v>7.5</v>
      </c>
      <c r="L33">
        <f t="shared" si="2"/>
        <v>45</v>
      </c>
      <c r="M33">
        <f t="shared" si="2"/>
        <v>82.5</v>
      </c>
      <c r="N33">
        <f t="shared" si="2"/>
        <v>53.945500000000266</v>
      </c>
      <c r="O33">
        <f t="shared" si="2"/>
        <v>15</v>
      </c>
      <c r="S33">
        <v>20</v>
      </c>
      <c r="U33">
        <v>2040</v>
      </c>
      <c r="V33">
        <f>_xlfn.FORECAST.LINEAR(U33,V31:V32,U31:U32)</f>
        <v>273.33333333333576</v>
      </c>
    </row>
    <row r="34" spans="1:22">
      <c r="A34">
        <v>2048</v>
      </c>
      <c r="B34">
        <f t="shared" si="2"/>
        <v>75.78899999999976</v>
      </c>
      <c r="C34">
        <f t="shared" si="2"/>
        <v>47.063000000000102</v>
      </c>
      <c r="D34">
        <f t="shared" si="2"/>
        <v>101.05866666666634</v>
      </c>
      <c r="E34">
        <f t="shared" si="2"/>
        <v>3.96</v>
      </c>
      <c r="F34">
        <f t="shared" si="2"/>
        <v>44.977399999999989</v>
      </c>
      <c r="G34">
        <f t="shared" si="2"/>
        <v>40.783999999999878</v>
      </c>
      <c r="H34">
        <f t="shared" si="2"/>
        <v>1.69</v>
      </c>
      <c r="I34">
        <f t="shared" si="2"/>
        <v>8.2799999999999994</v>
      </c>
      <c r="J34">
        <f t="shared" si="2"/>
        <v>11.332000000000001</v>
      </c>
      <c r="K34">
        <f t="shared" si="2"/>
        <v>7.5</v>
      </c>
      <c r="L34">
        <f t="shared" si="2"/>
        <v>45</v>
      </c>
      <c r="M34">
        <f t="shared" si="2"/>
        <v>82.5</v>
      </c>
      <c r="N34">
        <f t="shared" si="2"/>
        <v>52.727000000000317</v>
      </c>
      <c r="O34">
        <f t="shared" si="2"/>
        <v>15</v>
      </c>
      <c r="S34">
        <v>150</v>
      </c>
    </row>
    <row r="35" spans="1:22">
      <c r="A35">
        <v>2049</v>
      </c>
      <c r="B35">
        <f t="shared" si="2"/>
        <v>77.73949999999968</v>
      </c>
      <c r="C35">
        <f t="shared" si="2"/>
        <v>46.066500000000133</v>
      </c>
      <c r="D35">
        <f t="shared" si="2"/>
        <v>103.00933333333296</v>
      </c>
      <c r="E35">
        <f t="shared" si="2"/>
        <v>3.96</v>
      </c>
      <c r="F35">
        <f t="shared" si="2"/>
        <v>45.986700000000155</v>
      </c>
      <c r="G35">
        <f t="shared" si="2"/>
        <v>41.761999999999944</v>
      </c>
      <c r="H35">
        <f t="shared" si="2"/>
        <v>1.69</v>
      </c>
      <c r="I35">
        <f t="shared" si="2"/>
        <v>8.2799999999999994</v>
      </c>
      <c r="J35">
        <f t="shared" si="2"/>
        <v>11.350999999999999</v>
      </c>
      <c r="K35">
        <f t="shared" si="2"/>
        <v>7.5</v>
      </c>
      <c r="L35">
        <f t="shared" si="2"/>
        <v>45</v>
      </c>
      <c r="M35">
        <f t="shared" si="2"/>
        <v>82.5</v>
      </c>
      <c r="N35">
        <f t="shared" si="2"/>
        <v>51.508500000000367</v>
      </c>
      <c r="O35">
        <f t="shared" si="2"/>
        <v>15</v>
      </c>
    </row>
    <row r="36" spans="1:22">
      <c r="A36">
        <f>A4</f>
        <v>2050</v>
      </c>
      <c r="B36">
        <f t="shared" ref="B36:O36" si="5">B4</f>
        <v>79.69</v>
      </c>
      <c r="C36">
        <f t="shared" si="5"/>
        <v>45.07</v>
      </c>
      <c r="D36">
        <f t="shared" si="5"/>
        <v>104.96</v>
      </c>
      <c r="E36">
        <f t="shared" si="5"/>
        <v>3.96</v>
      </c>
      <c r="F36">
        <f t="shared" si="5"/>
        <v>46.996000000000002</v>
      </c>
      <c r="G36">
        <f t="shared" si="5"/>
        <v>42.74</v>
      </c>
      <c r="H36">
        <f t="shared" si="5"/>
        <v>1.69</v>
      </c>
      <c r="I36">
        <f t="shared" si="5"/>
        <v>8.2799999999999994</v>
      </c>
      <c r="J36">
        <f t="shared" si="5"/>
        <v>11.37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50.29</v>
      </c>
      <c r="O36">
        <f t="shared" si="5"/>
        <v>15</v>
      </c>
    </row>
    <row r="38" spans="1:22">
      <c r="A38" t="s">
        <v>211</v>
      </c>
    </row>
    <row r="39" spans="1:22">
      <c r="B39" t="s">
        <v>26</v>
      </c>
      <c r="C39" t="s">
        <v>32</v>
      </c>
      <c r="D39" t="s">
        <v>64</v>
      </c>
      <c r="E39" t="s">
        <v>69</v>
      </c>
      <c r="F39" t="s">
        <v>73</v>
      </c>
      <c r="G39" t="s">
        <v>74</v>
      </c>
      <c r="H39" t="s">
        <v>180</v>
      </c>
      <c r="I39" t="s">
        <v>33</v>
      </c>
      <c r="M39" s="31" t="s">
        <v>209</v>
      </c>
    </row>
    <row r="40" spans="1:22">
      <c r="A40" t="s">
        <v>123</v>
      </c>
      <c r="B40">
        <v>2400000</v>
      </c>
      <c r="C40">
        <v>830000</v>
      </c>
      <c r="D40">
        <v>435000</v>
      </c>
      <c r="E40">
        <v>380000</v>
      </c>
      <c r="F40">
        <v>1930000</v>
      </c>
      <c r="G40">
        <v>1040000</v>
      </c>
      <c r="H40">
        <v>284000</v>
      </c>
      <c r="I40">
        <v>1200000</v>
      </c>
      <c r="M40" s="31" t="s">
        <v>210</v>
      </c>
    </row>
    <row r="41" spans="1:22">
      <c r="A41" t="s">
        <v>102</v>
      </c>
      <c r="B41">
        <v>254590.19580632143</v>
      </c>
      <c r="C41">
        <v>88045.776049686159</v>
      </c>
      <c r="D41">
        <v>46144.472989895759</v>
      </c>
      <c r="E41">
        <v>41863.867432207924</v>
      </c>
      <c r="F41">
        <v>204732.94912758347</v>
      </c>
      <c r="G41">
        <v>114574.79507762169</v>
      </c>
      <c r="H41">
        <v>33358.533435403006</v>
      </c>
      <c r="I41">
        <v>127295.09790316071</v>
      </c>
      <c r="M41" s="31" t="s">
        <v>215</v>
      </c>
    </row>
    <row r="42" spans="1:22">
      <c r="A42" t="s">
        <v>122</v>
      </c>
      <c r="B42">
        <v>117000</v>
      </c>
      <c r="C42">
        <v>27800</v>
      </c>
      <c r="D42">
        <v>7745</v>
      </c>
      <c r="E42">
        <v>7250</v>
      </c>
      <c r="F42">
        <v>36053</v>
      </c>
      <c r="G42">
        <v>24000</v>
      </c>
      <c r="H42">
        <v>540</v>
      </c>
      <c r="I42">
        <v>0</v>
      </c>
    </row>
    <row r="43" spans="1:22">
      <c r="A43" t="s">
        <v>119</v>
      </c>
      <c r="B43">
        <v>1.9</v>
      </c>
      <c r="C43">
        <v>4.2</v>
      </c>
      <c r="D43">
        <v>4.5</v>
      </c>
      <c r="E43">
        <v>0</v>
      </c>
      <c r="F43">
        <v>2.7</v>
      </c>
      <c r="G43">
        <v>1.35</v>
      </c>
      <c r="H43">
        <v>1.8</v>
      </c>
      <c r="I43">
        <v>0</v>
      </c>
    </row>
    <row r="44" spans="1:22">
      <c r="A44" t="s">
        <v>213</v>
      </c>
      <c r="B44">
        <v>0.309</v>
      </c>
      <c r="C44">
        <v>0.61</v>
      </c>
      <c r="D44">
        <v>0.43</v>
      </c>
      <c r="E44">
        <v>1</v>
      </c>
      <c r="F44">
        <v>1</v>
      </c>
      <c r="G44">
        <v>1</v>
      </c>
      <c r="H44">
        <v>0.9</v>
      </c>
      <c r="I44">
        <v>0.53</v>
      </c>
      <c r="M44" s="36">
        <v>2024</v>
      </c>
    </row>
    <row r="45" spans="1:22">
      <c r="A45" t="s">
        <v>214</v>
      </c>
      <c r="B45">
        <v>0</v>
      </c>
      <c r="C45">
        <v>0.20195983840000001</v>
      </c>
      <c r="D45">
        <v>0.20195983840000001</v>
      </c>
      <c r="E45">
        <v>0</v>
      </c>
      <c r="F45">
        <v>0</v>
      </c>
      <c r="G45">
        <v>0</v>
      </c>
      <c r="H45">
        <v>0</v>
      </c>
      <c r="I45">
        <v>0.20195983840000001</v>
      </c>
    </row>
    <row r="46" spans="1:22">
      <c r="A46" t="s">
        <v>163</v>
      </c>
      <c r="N46" t="str">
        <f>B39</f>
        <v>Biomass_CHP_wood_pellets_DH</v>
      </c>
      <c r="O46" t="str">
        <f t="shared" ref="O46:U46" si="6">C39</f>
        <v>CCGT</v>
      </c>
      <c r="P46" t="str">
        <f t="shared" si="6"/>
        <v>OCGT</v>
      </c>
      <c r="Q46" t="str">
        <f t="shared" si="6"/>
        <v>PV_utility_systems</v>
      </c>
      <c r="R46" t="str">
        <f t="shared" si="6"/>
        <v>WTG_offshore</v>
      </c>
      <c r="S46" t="str">
        <f t="shared" si="6"/>
        <v>WTG_onshore</v>
      </c>
      <c r="T46" t="str">
        <f t="shared" si="6"/>
        <v>Lithium_ion_battery</v>
      </c>
      <c r="U46" t="str">
        <f t="shared" si="6"/>
        <v>CCGT_CHP_backpressure_DH</v>
      </c>
    </row>
    <row r="47" spans="1:22">
      <c r="A47">
        <v>2020</v>
      </c>
      <c r="B47">
        <f t="shared" ref="B47:B77" si="7">B$43+($L6+B$45*$S$31)/B$44</f>
        <v>147.53106796116506</v>
      </c>
      <c r="C47">
        <f>C$43+($G6+C$45*$S$31)/C$44</f>
        <v>116.66287840874399</v>
      </c>
      <c r="D47">
        <f>D$43+($G6+D$45*$S$31)/D$44</f>
        <v>164.0403623937996</v>
      </c>
      <c r="E47">
        <f t="shared" ref="E47:H77" si="8">E$43+(E$45*$S$31)/E$44</f>
        <v>0</v>
      </c>
      <c r="F47">
        <f t="shared" si="8"/>
        <v>2.7</v>
      </c>
      <c r="G47">
        <f t="shared" si="8"/>
        <v>1.35</v>
      </c>
      <c r="H47">
        <f t="shared" si="8"/>
        <v>1.8</v>
      </c>
      <c r="I47">
        <f t="shared" ref="I47:I77" si="9">I$43+($G6+I$45*$S$31)/I$44</f>
        <v>129.43840722515816</v>
      </c>
      <c r="M47">
        <v>0</v>
      </c>
      <c r="N47">
        <f>$M47*B$47 + B$42+B$41</f>
        <v>371590.19580632146</v>
      </c>
      <c r="O47">
        <f t="shared" ref="O47:U47" si="10">$M47*C$47 + C$42+C$41</f>
        <v>115845.77604968616</v>
      </c>
      <c r="P47">
        <f t="shared" si="10"/>
        <v>53889.472989895759</v>
      </c>
      <c r="Q47">
        <f t="shared" si="10"/>
        <v>49113.867432207924</v>
      </c>
      <c r="R47">
        <f t="shared" si="10"/>
        <v>240785.94912758347</v>
      </c>
      <c r="S47">
        <f t="shared" si="10"/>
        <v>138574.7950776217</v>
      </c>
      <c r="T47">
        <f t="shared" si="10"/>
        <v>33898.533435403006</v>
      </c>
      <c r="U47">
        <f t="shared" si="10"/>
        <v>127295.09790316071</v>
      </c>
    </row>
    <row r="48" spans="1:22">
      <c r="A48">
        <v>2021</v>
      </c>
      <c r="B48">
        <f t="shared" si="7"/>
        <v>147.53106796116506</v>
      </c>
      <c r="C48">
        <f t="shared" ref="C48" si="11">C$43+($G7+C$45*$S$31)/C$44</f>
        <v>118.26615709726846</v>
      </c>
      <c r="D48">
        <f t="shared" ref="D48:D77" si="12">D$43+($G7+D$45*$S$31)/D$44</f>
        <v>166.3147809984506</v>
      </c>
      <c r="E48">
        <f t="shared" si="8"/>
        <v>0</v>
      </c>
      <c r="F48">
        <f t="shared" si="8"/>
        <v>2.7</v>
      </c>
      <c r="G48">
        <f t="shared" si="8"/>
        <v>1.35</v>
      </c>
      <c r="H48">
        <f t="shared" si="8"/>
        <v>1.8</v>
      </c>
      <c r="I48">
        <f t="shared" si="9"/>
        <v>131.28369024402593</v>
      </c>
      <c r="M48">
        <v>300</v>
      </c>
      <c r="N48">
        <f t="shared" ref="N48:N76" si="13">$M48*B$47 + B$42+B$41</f>
        <v>415849.51619467093</v>
      </c>
      <c r="O48">
        <f t="shared" ref="O48:O76" si="14">$M48*C$47 + C$42+C$41</f>
        <v>150844.63957230936</v>
      </c>
      <c r="P48">
        <f t="shared" ref="P48:P76" si="15">$M48*D$47 + D$42+D$41</f>
        <v>103101.58170803564</v>
      </c>
      <c r="Q48">
        <f t="shared" ref="Q48:Q76" si="16">$M48*E$47 + E$42+E$41</f>
        <v>49113.867432207924</v>
      </c>
      <c r="R48">
        <f t="shared" ref="R48:R76" si="17">$M48*F$47 + F$42+F$41</f>
        <v>241595.94912758347</v>
      </c>
      <c r="S48">
        <f t="shared" ref="S48:S76" si="18">$M48*G$47 + G$42+G$41</f>
        <v>138979.7950776217</v>
      </c>
      <c r="T48">
        <f t="shared" ref="T48:T76" si="19">$M48*H$47 + H$42+H$41</f>
        <v>34438.533435403006</v>
      </c>
      <c r="U48">
        <f t="shared" ref="U48:U76" si="20">$M48*I$47 + I$42+I$41</f>
        <v>166126.62007070816</v>
      </c>
    </row>
    <row r="49" spans="1:21">
      <c r="A49">
        <v>2022</v>
      </c>
      <c r="B49">
        <f t="shared" si="7"/>
        <v>147.53106796116506</v>
      </c>
      <c r="C49">
        <f t="shared" ref="C49" si="21">C$43+($G8+C$45*$S$31)/C$44</f>
        <v>119.86943578579277</v>
      </c>
      <c r="D49">
        <f t="shared" si="12"/>
        <v>168.58919960310138</v>
      </c>
      <c r="E49">
        <f t="shared" si="8"/>
        <v>0</v>
      </c>
      <c r="F49">
        <f t="shared" si="8"/>
        <v>2.7</v>
      </c>
      <c r="G49">
        <f t="shared" si="8"/>
        <v>1.35</v>
      </c>
      <c r="H49">
        <f t="shared" si="8"/>
        <v>1.8</v>
      </c>
      <c r="I49">
        <f t="shared" si="9"/>
        <v>133.12897326289357</v>
      </c>
      <c r="M49">
        <v>600</v>
      </c>
      <c r="N49">
        <f t="shared" si="13"/>
        <v>460108.83658302051</v>
      </c>
      <c r="O49">
        <f t="shared" si="14"/>
        <v>185843.50309493256</v>
      </c>
      <c r="P49">
        <f t="shared" si="15"/>
        <v>152313.69042617551</v>
      </c>
      <c r="Q49">
        <f t="shared" si="16"/>
        <v>49113.867432207924</v>
      </c>
      <c r="R49">
        <f t="shared" si="17"/>
        <v>242405.94912758347</v>
      </c>
      <c r="S49">
        <f t="shared" si="18"/>
        <v>139384.7950776217</v>
      </c>
      <c r="T49">
        <f t="shared" si="19"/>
        <v>34978.533435403006</v>
      </c>
      <c r="U49">
        <f t="shared" si="20"/>
        <v>204958.14223825559</v>
      </c>
    </row>
    <row r="50" spans="1:21">
      <c r="A50">
        <v>2023</v>
      </c>
      <c r="B50">
        <f t="shared" si="7"/>
        <v>147.53106796116506</v>
      </c>
      <c r="C50">
        <f t="shared" ref="C50" si="22">C$43+($G9+C$45*$S$31)/C$44</f>
        <v>121.47271447431748</v>
      </c>
      <c r="D50">
        <f t="shared" si="12"/>
        <v>170.86361820775269</v>
      </c>
      <c r="E50">
        <f t="shared" si="8"/>
        <v>0</v>
      </c>
      <c r="F50">
        <f t="shared" si="8"/>
        <v>2.7</v>
      </c>
      <c r="G50">
        <f t="shared" si="8"/>
        <v>1.35</v>
      </c>
      <c r="H50">
        <f t="shared" si="8"/>
        <v>1.8</v>
      </c>
      <c r="I50">
        <f t="shared" si="9"/>
        <v>134.97425628176163</v>
      </c>
      <c r="M50">
        <v>900</v>
      </c>
      <c r="N50">
        <f t="shared" si="13"/>
        <v>504368.15697136999</v>
      </c>
      <c r="O50">
        <f t="shared" si="14"/>
        <v>220842.36661755576</v>
      </c>
      <c r="P50">
        <f t="shared" si="15"/>
        <v>201525.79914431539</v>
      </c>
      <c r="Q50">
        <f t="shared" si="16"/>
        <v>49113.867432207924</v>
      </c>
      <c r="R50">
        <f t="shared" si="17"/>
        <v>243215.94912758347</v>
      </c>
      <c r="S50">
        <f t="shared" si="18"/>
        <v>139789.7950776217</v>
      </c>
      <c r="T50">
        <f t="shared" si="19"/>
        <v>35518.533435403006</v>
      </c>
      <c r="U50">
        <f t="shared" si="20"/>
        <v>243789.66440580305</v>
      </c>
    </row>
    <row r="51" spans="1:21">
      <c r="A51">
        <v>2024</v>
      </c>
      <c r="B51">
        <f t="shared" si="7"/>
        <v>147.53106796116506</v>
      </c>
      <c r="C51">
        <f t="shared" ref="C51" si="23">C$43+($G10+C$45*$S$31)/C$44</f>
        <v>123.07599316284218</v>
      </c>
      <c r="D51">
        <f t="shared" si="12"/>
        <v>173.13803681240401</v>
      </c>
      <c r="E51">
        <f t="shared" si="8"/>
        <v>0</v>
      </c>
      <c r="F51">
        <f t="shared" si="8"/>
        <v>2.7</v>
      </c>
      <c r="G51">
        <f t="shared" si="8"/>
        <v>1.35</v>
      </c>
      <c r="H51">
        <f t="shared" si="8"/>
        <v>1.8</v>
      </c>
      <c r="I51">
        <f t="shared" si="9"/>
        <v>136.81953930062966</v>
      </c>
      <c r="M51">
        <v>1200</v>
      </c>
      <c r="N51">
        <f t="shared" si="13"/>
        <v>548627.47735971957</v>
      </c>
      <c r="O51">
        <f t="shared" si="14"/>
        <v>255841.23014017896</v>
      </c>
      <c r="P51">
        <f t="shared" si="15"/>
        <v>250737.90786245526</v>
      </c>
      <c r="Q51">
        <f t="shared" si="16"/>
        <v>49113.867432207924</v>
      </c>
      <c r="R51">
        <f t="shared" si="17"/>
        <v>244025.94912758347</v>
      </c>
      <c r="S51">
        <f t="shared" si="18"/>
        <v>140194.7950776217</v>
      </c>
      <c r="T51">
        <f t="shared" si="19"/>
        <v>36058.533435403006</v>
      </c>
      <c r="U51">
        <f t="shared" si="20"/>
        <v>282621.18657335051</v>
      </c>
    </row>
    <row r="52" spans="1:21">
      <c r="A52">
        <v>2025</v>
      </c>
      <c r="B52">
        <f t="shared" si="7"/>
        <v>147.53106796116506</v>
      </c>
      <c r="C52">
        <f t="shared" ref="C52" si="24">C$43+($G11+C$45*$S$31)/C$44</f>
        <v>124.67927185136688</v>
      </c>
      <c r="D52">
        <f t="shared" si="12"/>
        <v>175.41245541705533</v>
      </c>
      <c r="E52">
        <f t="shared" si="8"/>
        <v>0</v>
      </c>
      <c r="F52">
        <f t="shared" si="8"/>
        <v>2.7</v>
      </c>
      <c r="G52">
        <f t="shared" si="8"/>
        <v>1.35</v>
      </c>
      <c r="H52">
        <f t="shared" si="8"/>
        <v>1.8</v>
      </c>
      <c r="I52">
        <f t="shared" si="9"/>
        <v>138.66482231949772</v>
      </c>
      <c r="M52">
        <v>1500</v>
      </c>
      <c r="N52">
        <f t="shared" si="13"/>
        <v>592886.79774806905</v>
      </c>
      <c r="O52">
        <f t="shared" si="14"/>
        <v>290840.09366280213</v>
      </c>
      <c r="P52">
        <f t="shared" si="15"/>
        <v>299950.01658059517</v>
      </c>
      <c r="Q52">
        <f t="shared" si="16"/>
        <v>49113.867432207924</v>
      </c>
      <c r="R52">
        <f t="shared" si="17"/>
        <v>244835.94912758347</v>
      </c>
      <c r="S52">
        <f t="shared" si="18"/>
        <v>140599.7950776217</v>
      </c>
      <c r="T52">
        <f t="shared" si="19"/>
        <v>36598.533435403006</v>
      </c>
      <c r="U52">
        <f t="shared" si="20"/>
        <v>321452.70874089794</v>
      </c>
    </row>
    <row r="53" spans="1:21">
      <c r="A53">
        <v>2026</v>
      </c>
      <c r="B53">
        <f t="shared" si="7"/>
        <v>147.53106796116506</v>
      </c>
      <c r="C53">
        <f t="shared" ref="C53" si="25">C$43+($G12+C$45*$S$31)/C$44</f>
        <v>126.2825505398912</v>
      </c>
      <c r="D53">
        <f t="shared" si="12"/>
        <v>177.6868740217061</v>
      </c>
      <c r="E53">
        <f t="shared" si="8"/>
        <v>0</v>
      </c>
      <c r="F53">
        <f t="shared" si="8"/>
        <v>2.7</v>
      </c>
      <c r="G53">
        <f t="shared" si="8"/>
        <v>1.35</v>
      </c>
      <c r="H53">
        <f t="shared" si="8"/>
        <v>1.8</v>
      </c>
      <c r="I53">
        <f t="shared" si="9"/>
        <v>140.51010533836532</v>
      </c>
      <c r="M53">
        <v>1800</v>
      </c>
      <c r="N53">
        <f t="shared" si="13"/>
        <v>637146.11813641852</v>
      </c>
      <c r="O53">
        <f t="shared" si="14"/>
        <v>325838.95718542533</v>
      </c>
      <c r="P53">
        <f t="shared" si="15"/>
        <v>349162.12529873499</v>
      </c>
      <c r="Q53">
        <f t="shared" si="16"/>
        <v>49113.867432207924</v>
      </c>
      <c r="R53">
        <f t="shared" si="17"/>
        <v>245645.94912758347</v>
      </c>
      <c r="S53">
        <f t="shared" si="18"/>
        <v>141004.7950776217</v>
      </c>
      <c r="T53">
        <f t="shared" si="19"/>
        <v>37138.533435403006</v>
      </c>
      <c r="U53">
        <f t="shared" si="20"/>
        <v>360284.23090844537</v>
      </c>
    </row>
    <row r="54" spans="1:21">
      <c r="A54">
        <v>2027</v>
      </c>
      <c r="B54">
        <f t="shared" si="7"/>
        <v>147.53106796116506</v>
      </c>
      <c r="C54">
        <f t="shared" ref="C54" si="26">C$43+($G13+C$45*$S$31)/C$44</f>
        <v>127.8858292284159</v>
      </c>
      <c r="D54">
        <f t="shared" si="12"/>
        <v>179.96129262635742</v>
      </c>
      <c r="E54">
        <f t="shared" si="8"/>
        <v>0</v>
      </c>
      <c r="F54">
        <f t="shared" si="8"/>
        <v>2.7</v>
      </c>
      <c r="G54">
        <f t="shared" si="8"/>
        <v>1.35</v>
      </c>
      <c r="H54">
        <f t="shared" si="8"/>
        <v>1.8</v>
      </c>
      <c r="I54">
        <f t="shared" si="9"/>
        <v>142.35538835723338</v>
      </c>
      <c r="M54">
        <v>2100</v>
      </c>
      <c r="N54">
        <f t="shared" si="13"/>
        <v>681405.43852476811</v>
      </c>
      <c r="O54">
        <f t="shared" si="14"/>
        <v>360837.82070804853</v>
      </c>
      <c r="P54">
        <f t="shared" si="15"/>
        <v>398374.23401687492</v>
      </c>
      <c r="Q54">
        <f t="shared" si="16"/>
        <v>49113.867432207924</v>
      </c>
      <c r="R54">
        <f t="shared" si="17"/>
        <v>246455.94912758347</v>
      </c>
      <c r="S54">
        <f t="shared" si="18"/>
        <v>141409.7950776217</v>
      </c>
      <c r="T54">
        <f t="shared" si="19"/>
        <v>37678.533435403006</v>
      </c>
      <c r="U54">
        <f t="shared" si="20"/>
        <v>399115.75307599286</v>
      </c>
    </row>
    <row r="55" spans="1:21">
      <c r="A55">
        <v>2028</v>
      </c>
      <c r="B55">
        <f t="shared" si="7"/>
        <v>147.53106796116506</v>
      </c>
      <c r="C55">
        <f t="shared" ref="C55" si="27">C$43+($G14+C$45*$S$31)/C$44</f>
        <v>129.48910791694058</v>
      </c>
      <c r="D55">
        <f t="shared" si="12"/>
        <v>182.23571123100874</v>
      </c>
      <c r="E55">
        <f t="shared" si="8"/>
        <v>0</v>
      </c>
      <c r="F55">
        <f t="shared" si="8"/>
        <v>2.7</v>
      </c>
      <c r="G55">
        <f t="shared" si="8"/>
        <v>1.35</v>
      </c>
      <c r="H55">
        <f t="shared" si="8"/>
        <v>1.8</v>
      </c>
      <c r="I55">
        <f t="shared" si="9"/>
        <v>144.20067137610141</v>
      </c>
      <c r="M55">
        <v>2400</v>
      </c>
      <c r="N55">
        <f t="shared" si="13"/>
        <v>725664.75891311758</v>
      </c>
      <c r="O55">
        <f t="shared" si="14"/>
        <v>395836.68423067173</v>
      </c>
      <c r="P55">
        <f t="shared" si="15"/>
        <v>447586.34273501474</v>
      </c>
      <c r="Q55">
        <f t="shared" si="16"/>
        <v>49113.867432207924</v>
      </c>
      <c r="R55">
        <f t="shared" si="17"/>
        <v>247265.94912758347</v>
      </c>
      <c r="S55">
        <f t="shared" si="18"/>
        <v>141814.7950776217</v>
      </c>
      <c r="T55">
        <f t="shared" si="19"/>
        <v>38218.533435403006</v>
      </c>
      <c r="U55">
        <f t="shared" si="20"/>
        <v>437947.27524354029</v>
      </c>
    </row>
    <row r="56" spans="1:21">
      <c r="A56">
        <v>2029</v>
      </c>
      <c r="B56">
        <f t="shared" si="7"/>
        <v>147.53106796116506</v>
      </c>
      <c r="C56">
        <f t="shared" ref="C56" si="28">C$43+($G15+C$45*$S$31)/C$44</f>
        <v>131.09238660546492</v>
      </c>
      <c r="D56">
        <f t="shared" si="12"/>
        <v>184.51012983565954</v>
      </c>
      <c r="E56">
        <f t="shared" si="8"/>
        <v>0</v>
      </c>
      <c r="F56">
        <f t="shared" si="8"/>
        <v>2.7</v>
      </c>
      <c r="G56">
        <f t="shared" si="8"/>
        <v>1.35</v>
      </c>
      <c r="H56">
        <f t="shared" si="8"/>
        <v>1.8</v>
      </c>
      <c r="I56">
        <f t="shared" si="9"/>
        <v>146.04595439496904</v>
      </c>
      <c r="M56">
        <v>2700</v>
      </c>
      <c r="N56">
        <f t="shared" si="13"/>
        <v>769924.07930146705</v>
      </c>
      <c r="O56">
        <f t="shared" si="14"/>
        <v>430835.54775329493</v>
      </c>
      <c r="P56">
        <f t="shared" si="15"/>
        <v>496798.45145315467</v>
      </c>
      <c r="Q56">
        <f t="shared" si="16"/>
        <v>49113.867432207924</v>
      </c>
      <c r="R56">
        <f t="shared" si="17"/>
        <v>248075.94912758347</v>
      </c>
      <c r="S56">
        <f t="shared" si="18"/>
        <v>142219.7950776217</v>
      </c>
      <c r="T56">
        <f t="shared" si="19"/>
        <v>38758.533435403006</v>
      </c>
      <c r="U56">
        <f t="shared" si="20"/>
        <v>476778.79741108778</v>
      </c>
    </row>
    <row r="57" spans="1:21">
      <c r="A57">
        <v>2030</v>
      </c>
      <c r="B57">
        <f t="shared" si="7"/>
        <v>147.53106796116506</v>
      </c>
      <c r="C57">
        <f t="shared" ref="C57" si="29">C$43+($G16+C$45*$S$31)/C$44</f>
        <v>132.69566529398961</v>
      </c>
      <c r="D57">
        <f t="shared" si="12"/>
        <v>186.78454844031086</v>
      </c>
      <c r="E57">
        <f t="shared" si="8"/>
        <v>0</v>
      </c>
      <c r="F57">
        <f t="shared" si="8"/>
        <v>2.7</v>
      </c>
      <c r="G57">
        <f t="shared" si="8"/>
        <v>1.35</v>
      </c>
      <c r="H57">
        <f t="shared" si="8"/>
        <v>1.8</v>
      </c>
      <c r="I57">
        <f t="shared" si="9"/>
        <v>147.8912374138371</v>
      </c>
      <c r="M57">
        <v>3000</v>
      </c>
      <c r="N57">
        <f t="shared" si="13"/>
        <v>814183.39968981664</v>
      </c>
      <c r="O57">
        <f t="shared" si="14"/>
        <v>465834.41127591813</v>
      </c>
      <c r="P57">
        <f t="shared" si="15"/>
        <v>546010.56017129461</v>
      </c>
      <c r="Q57">
        <f t="shared" si="16"/>
        <v>49113.867432207924</v>
      </c>
      <c r="R57">
        <f t="shared" si="17"/>
        <v>248885.94912758347</v>
      </c>
      <c r="S57">
        <f t="shared" si="18"/>
        <v>142624.7950776217</v>
      </c>
      <c r="T57">
        <f t="shared" si="19"/>
        <v>39298.533435403006</v>
      </c>
      <c r="U57">
        <f t="shared" si="20"/>
        <v>515610.31957863522</v>
      </c>
    </row>
    <row r="58" spans="1:21">
      <c r="A58">
        <v>2031</v>
      </c>
      <c r="B58">
        <f t="shared" si="7"/>
        <v>147.53106796116506</v>
      </c>
      <c r="C58">
        <f t="shared" ref="C58" si="30">C$43+($G17+C$45*$S$31)/C$44</f>
        <v>134.29894398251429</v>
      </c>
      <c r="D58">
        <f t="shared" si="12"/>
        <v>189.05896704496215</v>
      </c>
      <c r="E58">
        <f t="shared" si="8"/>
        <v>0</v>
      </c>
      <c r="F58">
        <f t="shared" si="8"/>
        <v>2.7</v>
      </c>
      <c r="G58">
        <f t="shared" si="8"/>
        <v>1.35</v>
      </c>
      <c r="H58">
        <f t="shared" si="8"/>
        <v>1.8</v>
      </c>
      <c r="I58">
        <f t="shared" si="9"/>
        <v>149.73652043270513</v>
      </c>
      <c r="M58">
        <v>3300</v>
      </c>
      <c r="N58">
        <f t="shared" si="13"/>
        <v>858442.72007816611</v>
      </c>
      <c r="O58">
        <f t="shared" si="14"/>
        <v>500833.27479854133</v>
      </c>
      <c r="P58">
        <f t="shared" si="15"/>
        <v>595222.66888943443</v>
      </c>
      <c r="Q58">
        <f t="shared" si="16"/>
        <v>49113.867432207924</v>
      </c>
      <c r="R58">
        <f t="shared" si="17"/>
        <v>249695.94912758347</v>
      </c>
      <c r="S58">
        <f t="shared" si="18"/>
        <v>143029.7950776217</v>
      </c>
      <c r="T58">
        <f t="shared" si="19"/>
        <v>39838.533435403006</v>
      </c>
      <c r="U58">
        <f t="shared" si="20"/>
        <v>554441.84174618265</v>
      </c>
    </row>
    <row r="59" spans="1:21">
      <c r="A59">
        <v>2032</v>
      </c>
      <c r="B59">
        <f t="shared" si="7"/>
        <v>147.53106796116506</v>
      </c>
      <c r="C59">
        <f t="shared" ref="C59" si="31">C$43+($G18+C$45*$S$31)/C$44</f>
        <v>135.902222671039</v>
      </c>
      <c r="D59">
        <f t="shared" si="12"/>
        <v>191.33338564961346</v>
      </c>
      <c r="E59">
        <f t="shared" si="8"/>
        <v>0</v>
      </c>
      <c r="F59">
        <f t="shared" si="8"/>
        <v>2.7</v>
      </c>
      <c r="G59">
        <f t="shared" si="8"/>
        <v>1.35</v>
      </c>
      <c r="H59">
        <f t="shared" si="8"/>
        <v>1.8</v>
      </c>
      <c r="I59">
        <f t="shared" si="9"/>
        <v>151.58180345157319</v>
      </c>
      <c r="M59">
        <v>3600</v>
      </c>
      <c r="N59">
        <f t="shared" si="13"/>
        <v>902702.0404665157</v>
      </c>
      <c r="O59">
        <f t="shared" si="14"/>
        <v>535832.13832116453</v>
      </c>
      <c r="P59">
        <f t="shared" si="15"/>
        <v>644434.77760757424</v>
      </c>
      <c r="Q59">
        <f t="shared" si="16"/>
        <v>49113.867432207924</v>
      </c>
      <c r="R59">
        <f t="shared" si="17"/>
        <v>250505.94912758347</v>
      </c>
      <c r="S59">
        <f t="shared" si="18"/>
        <v>143434.7950776217</v>
      </c>
      <c r="T59">
        <f t="shared" si="19"/>
        <v>40378.533435403006</v>
      </c>
      <c r="U59">
        <f t="shared" si="20"/>
        <v>593273.36391373002</v>
      </c>
    </row>
    <row r="60" spans="1:21">
      <c r="A60">
        <v>2033</v>
      </c>
      <c r="B60">
        <f t="shared" si="7"/>
        <v>147.53106796116506</v>
      </c>
      <c r="C60">
        <f t="shared" ref="C60" si="32">C$43+($G19+C$45*$S$31)/C$44</f>
        <v>137.50550135956331</v>
      </c>
      <c r="D60">
        <f t="shared" si="12"/>
        <v>193.60780425426427</v>
      </c>
      <c r="E60">
        <f t="shared" si="8"/>
        <v>0</v>
      </c>
      <c r="F60">
        <f t="shared" si="8"/>
        <v>2.7</v>
      </c>
      <c r="G60">
        <f t="shared" si="8"/>
        <v>1.35</v>
      </c>
      <c r="H60">
        <f t="shared" si="8"/>
        <v>1.8</v>
      </c>
      <c r="I60">
        <f t="shared" si="9"/>
        <v>153.4270864704408</v>
      </c>
      <c r="M60">
        <v>3900</v>
      </c>
      <c r="N60">
        <f t="shared" si="13"/>
        <v>946961.36085486517</v>
      </c>
      <c r="O60">
        <f t="shared" si="14"/>
        <v>570831.00184378773</v>
      </c>
      <c r="P60">
        <f t="shared" si="15"/>
        <v>693646.88632571418</v>
      </c>
      <c r="Q60">
        <f t="shared" si="16"/>
        <v>49113.867432207924</v>
      </c>
      <c r="R60">
        <f t="shared" si="17"/>
        <v>251315.94912758347</v>
      </c>
      <c r="S60">
        <f t="shared" si="18"/>
        <v>143839.7950776217</v>
      </c>
      <c r="T60">
        <f t="shared" si="19"/>
        <v>40918.533435403006</v>
      </c>
      <c r="U60">
        <f t="shared" si="20"/>
        <v>632104.88608127751</v>
      </c>
    </row>
    <row r="61" spans="1:21">
      <c r="A61">
        <v>2034</v>
      </c>
      <c r="B61">
        <f t="shared" si="7"/>
        <v>147.53106796116506</v>
      </c>
      <c r="C61">
        <f t="shared" ref="C61" si="33">C$43+($G20+C$45*$S$31)/C$44</f>
        <v>139.10878004808802</v>
      </c>
      <c r="D61">
        <f t="shared" si="12"/>
        <v>195.88222285891558</v>
      </c>
      <c r="E61">
        <f t="shared" si="8"/>
        <v>0</v>
      </c>
      <c r="F61">
        <f t="shared" si="8"/>
        <v>2.7</v>
      </c>
      <c r="G61">
        <f t="shared" si="8"/>
        <v>1.35</v>
      </c>
      <c r="H61">
        <f t="shared" si="8"/>
        <v>1.8</v>
      </c>
      <c r="I61">
        <f t="shared" si="9"/>
        <v>155.27236948930886</v>
      </c>
      <c r="M61">
        <v>4200</v>
      </c>
      <c r="N61">
        <f t="shared" si="13"/>
        <v>991220.68124321476</v>
      </c>
      <c r="O61">
        <f t="shared" si="14"/>
        <v>605829.86536641093</v>
      </c>
      <c r="P61">
        <f t="shared" si="15"/>
        <v>742858.995043854</v>
      </c>
      <c r="Q61">
        <f t="shared" si="16"/>
        <v>49113.867432207924</v>
      </c>
      <c r="R61">
        <f t="shared" si="17"/>
        <v>252125.94912758347</v>
      </c>
      <c r="S61">
        <f t="shared" si="18"/>
        <v>144244.7950776217</v>
      </c>
      <c r="T61">
        <f t="shared" si="19"/>
        <v>41458.533435403006</v>
      </c>
      <c r="U61">
        <f t="shared" si="20"/>
        <v>670936.408248825</v>
      </c>
    </row>
    <row r="62" spans="1:21">
      <c r="A62">
        <v>2035</v>
      </c>
      <c r="B62">
        <f t="shared" si="7"/>
        <v>147.53106796116506</v>
      </c>
      <c r="C62">
        <f t="shared" ref="C62" si="34">C$43+($G21+C$45*$S$31)/C$44</f>
        <v>140.7120587366127</v>
      </c>
      <c r="D62">
        <f t="shared" si="12"/>
        <v>198.1566414635669</v>
      </c>
      <c r="E62">
        <f t="shared" si="8"/>
        <v>0</v>
      </c>
      <c r="F62">
        <f t="shared" si="8"/>
        <v>2.7</v>
      </c>
      <c r="G62">
        <f t="shared" si="8"/>
        <v>1.35</v>
      </c>
      <c r="H62">
        <f t="shared" si="8"/>
        <v>1.8</v>
      </c>
      <c r="I62">
        <f t="shared" si="9"/>
        <v>157.11765250817689</v>
      </c>
      <c r="M62">
        <v>4500</v>
      </c>
      <c r="N62">
        <f t="shared" si="13"/>
        <v>1035480.0016315642</v>
      </c>
      <c r="O62">
        <f t="shared" si="14"/>
        <v>640828.72888903413</v>
      </c>
      <c r="P62">
        <f t="shared" si="15"/>
        <v>792071.10376199393</v>
      </c>
      <c r="Q62">
        <f t="shared" si="16"/>
        <v>49113.867432207924</v>
      </c>
      <c r="R62">
        <f t="shared" si="17"/>
        <v>252935.94912758347</v>
      </c>
      <c r="S62">
        <f t="shared" si="18"/>
        <v>144649.7950776217</v>
      </c>
      <c r="T62">
        <f t="shared" si="19"/>
        <v>41998.533435403006</v>
      </c>
      <c r="U62">
        <f t="shared" si="20"/>
        <v>709767.93041637249</v>
      </c>
    </row>
    <row r="63" spans="1:21">
      <c r="A63">
        <v>2036</v>
      </c>
      <c r="B63">
        <f t="shared" si="7"/>
        <v>147.53106796116506</v>
      </c>
      <c r="C63">
        <f t="shared" ref="C63" si="35">C$43+($G22+C$45*$S$31)/C$44</f>
        <v>142.31533742513705</v>
      </c>
      <c r="D63">
        <f t="shared" si="12"/>
        <v>200.43106006821768</v>
      </c>
      <c r="E63">
        <f t="shared" si="8"/>
        <v>0</v>
      </c>
      <c r="F63">
        <f t="shared" si="8"/>
        <v>2.7</v>
      </c>
      <c r="G63">
        <f t="shared" si="8"/>
        <v>1.35</v>
      </c>
      <c r="H63">
        <f t="shared" si="8"/>
        <v>1.8</v>
      </c>
      <c r="I63">
        <f t="shared" si="9"/>
        <v>158.96293552704452</v>
      </c>
      <c r="M63">
        <v>4800</v>
      </c>
      <c r="N63">
        <f t="shared" si="13"/>
        <v>1079739.3220199137</v>
      </c>
      <c r="O63">
        <f t="shared" si="14"/>
        <v>675827.59241165733</v>
      </c>
      <c r="P63">
        <f t="shared" si="15"/>
        <v>841283.21248013375</v>
      </c>
      <c r="Q63">
        <f t="shared" si="16"/>
        <v>49113.867432207924</v>
      </c>
      <c r="R63">
        <f t="shared" si="17"/>
        <v>253745.94912758347</v>
      </c>
      <c r="S63">
        <f t="shared" si="18"/>
        <v>145054.7950776217</v>
      </c>
      <c r="T63">
        <f t="shared" si="19"/>
        <v>42538.533435403006</v>
      </c>
      <c r="U63">
        <f t="shared" si="20"/>
        <v>748599.45258391986</v>
      </c>
    </row>
    <row r="64" spans="1:21">
      <c r="A64">
        <v>2037</v>
      </c>
      <c r="B64">
        <f t="shared" si="7"/>
        <v>147.53106796116506</v>
      </c>
      <c r="C64">
        <f t="shared" ref="C64" si="36">C$43+($G23+C$45*$S$31)/C$44</f>
        <v>143.91861611366173</v>
      </c>
      <c r="D64">
        <f t="shared" si="12"/>
        <v>202.70547867286899</v>
      </c>
      <c r="E64">
        <f t="shared" si="8"/>
        <v>0</v>
      </c>
      <c r="F64">
        <f t="shared" si="8"/>
        <v>2.7</v>
      </c>
      <c r="G64">
        <f t="shared" si="8"/>
        <v>1.35</v>
      </c>
      <c r="H64">
        <f t="shared" si="8"/>
        <v>1.8</v>
      </c>
      <c r="I64">
        <f t="shared" si="9"/>
        <v>160.80821854591258</v>
      </c>
      <c r="M64">
        <v>5100</v>
      </c>
      <c r="N64">
        <f t="shared" si="13"/>
        <v>1123998.6424082632</v>
      </c>
      <c r="O64">
        <f t="shared" si="14"/>
        <v>710826.45593428053</v>
      </c>
      <c r="P64">
        <f t="shared" si="15"/>
        <v>890495.32119827368</v>
      </c>
      <c r="Q64">
        <f t="shared" si="16"/>
        <v>49113.867432207924</v>
      </c>
      <c r="R64">
        <f t="shared" si="17"/>
        <v>254555.94912758347</v>
      </c>
      <c r="S64">
        <f t="shared" si="18"/>
        <v>145459.7950776217</v>
      </c>
      <c r="T64">
        <f t="shared" si="19"/>
        <v>43078.533435403006</v>
      </c>
      <c r="U64">
        <f t="shared" si="20"/>
        <v>787430.97475146735</v>
      </c>
    </row>
    <row r="65" spans="1:21">
      <c r="A65">
        <v>2038</v>
      </c>
      <c r="B65">
        <f t="shared" si="7"/>
        <v>147.53106796116506</v>
      </c>
      <c r="C65">
        <f t="shared" ref="C65" si="37">C$43+($G24+C$45*$S$31)/C$44</f>
        <v>145.52189480218644</v>
      </c>
      <c r="D65">
        <f t="shared" si="12"/>
        <v>204.97989727752031</v>
      </c>
      <c r="E65">
        <f t="shared" si="8"/>
        <v>0</v>
      </c>
      <c r="F65">
        <f t="shared" si="8"/>
        <v>2.7</v>
      </c>
      <c r="G65">
        <f t="shared" si="8"/>
        <v>1.35</v>
      </c>
      <c r="H65">
        <f t="shared" si="8"/>
        <v>1.8</v>
      </c>
      <c r="I65">
        <f t="shared" si="9"/>
        <v>162.65350156478061</v>
      </c>
      <c r="M65">
        <v>5400</v>
      </c>
      <c r="N65">
        <f t="shared" si="13"/>
        <v>1168257.9627966126</v>
      </c>
      <c r="O65">
        <f t="shared" si="14"/>
        <v>745825.31945690373</v>
      </c>
      <c r="P65">
        <f t="shared" si="15"/>
        <v>939707.4299164135</v>
      </c>
      <c r="Q65">
        <f t="shared" si="16"/>
        <v>49113.867432207924</v>
      </c>
      <c r="R65">
        <f t="shared" si="17"/>
        <v>255365.94912758347</v>
      </c>
      <c r="S65">
        <f t="shared" si="18"/>
        <v>145864.7950776217</v>
      </c>
      <c r="T65">
        <f t="shared" si="19"/>
        <v>43618.533435403006</v>
      </c>
      <c r="U65">
        <f t="shared" si="20"/>
        <v>826262.49691901484</v>
      </c>
    </row>
    <row r="66" spans="1:21">
      <c r="A66">
        <v>2039</v>
      </c>
      <c r="B66">
        <f t="shared" si="7"/>
        <v>147.53106796116506</v>
      </c>
      <c r="C66">
        <f t="shared" ref="C66" si="38">C$43+($G25+C$45*$S$31)/C$44</f>
        <v>147.12517349071112</v>
      </c>
      <c r="D66">
        <f t="shared" si="12"/>
        <v>207.25431588217162</v>
      </c>
      <c r="E66">
        <f t="shared" si="8"/>
        <v>0</v>
      </c>
      <c r="F66">
        <f t="shared" si="8"/>
        <v>2.7</v>
      </c>
      <c r="G66">
        <f t="shared" si="8"/>
        <v>1.35</v>
      </c>
      <c r="H66">
        <f t="shared" si="8"/>
        <v>1.8</v>
      </c>
      <c r="I66">
        <f t="shared" si="9"/>
        <v>164.49878458364867</v>
      </c>
      <c r="M66">
        <v>5700</v>
      </c>
      <c r="N66">
        <f t="shared" si="13"/>
        <v>1212517.2831849623</v>
      </c>
      <c r="O66">
        <f t="shared" si="14"/>
        <v>780824.18297952693</v>
      </c>
      <c r="P66">
        <f t="shared" si="15"/>
        <v>988919.53863455344</v>
      </c>
      <c r="Q66">
        <f t="shared" si="16"/>
        <v>49113.867432207924</v>
      </c>
      <c r="R66">
        <f t="shared" si="17"/>
        <v>256175.94912758347</v>
      </c>
      <c r="S66">
        <f t="shared" si="18"/>
        <v>146269.7950776217</v>
      </c>
      <c r="T66">
        <f t="shared" si="19"/>
        <v>44158.533435403006</v>
      </c>
      <c r="U66">
        <f t="shared" si="20"/>
        <v>865094.01908656221</v>
      </c>
    </row>
    <row r="67" spans="1:21">
      <c r="A67">
        <v>2040</v>
      </c>
      <c r="B67">
        <f t="shared" si="7"/>
        <v>147.53106796116506</v>
      </c>
      <c r="C67">
        <f t="shared" ref="C67" si="39">C$43+($G26+C$45*$S$31)/C$44</f>
        <v>148.72845217923546</v>
      </c>
      <c r="D67">
        <f t="shared" si="12"/>
        <v>209.5287344868224</v>
      </c>
      <c r="E67">
        <f t="shared" si="8"/>
        <v>0</v>
      </c>
      <c r="F67">
        <f t="shared" si="8"/>
        <v>2.7</v>
      </c>
      <c r="G67">
        <f t="shared" si="8"/>
        <v>1.35</v>
      </c>
      <c r="H67">
        <f t="shared" si="8"/>
        <v>1.8</v>
      </c>
      <c r="I67">
        <f t="shared" si="9"/>
        <v>166.34406760251628</v>
      </c>
      <c r="M67">
        <v>6000</v>
      </c>
      <c r="N67">
        <f t="shared" si="13"/>
        <v>1256776.6035733118</v>
      </c>
      <c r="O67">
        <f t="shared" si="14"/>
        <v>815823.04650215013</v>
      </c>
      <c r="P67">
        <f t="shared" si="15"/>
        <v>1038131.6473526934</v>
      </c>
      <c r="Q67">
        <f t="shared" si="16"/>
        <v>49113.867432207924</v>
      </c>
      <c r="R67">
        <f t="shared" si="17"/>
        <v>256985.94912758347</v>
      </c>
      <c r="S67">
        <f t="shared" si="18"/>
        <v>146674.7950776217</v>
      </c>
      <c r="T67">
        <f t="shared" si="19"/>
        <v>44698.533435403006</v>
      </c>
      <c r="U67">
        <f t="shared" si="20"/>
        <v>903925.5412541097</v>
      </c>
    </row>
    <row r="68" spans="1:21">
      <c r="A68">
        <v>2041</v>
      </c>
      <c r="B68">
        <f t="shared" si="7"/>
        <v>147.53106796116506</v>
      </c>
      <c r="C68">
        <f t="shared" ref="C68" si="40">C$43+($G27+C$45*$S$31)/C$44</f>
        <v>150.33173086776014</v>
      </c>
      <c r="D68">
        <f t="shared" si="12"/>
        <v>211.80315309147372</v>
      </c>
      <c r="E68">
        <f t="shared" si="8"/>
        <v>0</v>
      </c>
      <c r="F68">
        <f t="shared" si="8"/>
        <v>2.7</v>
      </c>
      <c r="G68">
        <f t="shared" si="8"/>
        <v>1.35</v>
      </c>
      <c r="H68">
        <f t="shared" si="8"/>
        <v>1.8</v>
      </c>
      <c r="I68">
        <f t="shared" si="9"/>
        <v>168.18935062138434</v>
      </c>
      <c r="M68">
        <v>6300</v>
      </c>
      <c r="N68">
        <f t="shared" si="13"/>
        <v>1301035.9239616613</v>
      </c>
      <c r="O68">
        <f t="shared" si="14"/>
        <v>850821.91002477333</v>
      </c>
      <c r="P68">
        <f t="shared" si="15"/>
        <v>1087343.7560708332</v>
      </c>
      <c r="Q68">
        <f t="shared" si="16"/>
        <v>49113.867432207924</v>
      </c>
      <c r="R68">
        <f t="shared" si="17"/>
        <v>257795.94912758347</v>
      </c>
      <c r="S68">
        <f t="shared" si="18"/>
        <v>147079.7950776217</v>
      </c>
      <c r="T68">
        <f t="shared" si="19"/>
        <v>45238.533435403006</v>
      </c>
      <c r="U68">
        <f t="shared" si="20"/>
        <v>942757.06342165708</v>
      </c>
    </row>
    <row r="69" spans="1:21">
      <c r="A69">
        <v>2042</v>
      </c>
      <c r="B69">
        <f t="shared" si="7"/>
        <v>147.53106796116506</v>
      </c>
      <c r="C69">
        <f t="shared" ref="C69" si="41">C$43+($G28+C$45*$S$31)/C$44</f>
        <v>151.93500955628485</v>
      </c>
      <c r="D69">
        <f t="shared" si="12"/>
        <v>214.07757169612503</v>
      </c>
      <c r="E69">
        <f t="shared" si="8"/>
        <v>0</v>
      </c>
      <c r="F69">
        <f t="shared" si="8"/>
        <v>2.7</v>
      </c>
      <c r="G69">
        <f t="shared" si="8"/>
        <v>1.35</v>
      </c>
      <c r="H69">
        <f t="shared" si="8"/>
        <v>1.8</v>
      </c>
      <c r="I69">
        <f t="shared" si="9"/>
        <v>170.03463364025237</v>
      </c>
      <c r="M69">
        <v>6600</v>
      </c>
      <c r="N69">
        <f t="shared" si="13"/>
        <v>1345295.2443500108</v>
      </c>
      <c r="O69">
        <f t="shared" si="14"/>
        <v>885820.77354739653</v>
      </c>
      <c r="P69">
        <f t="shared" si="15"/>
        <v>1136555.8647889732</v>
      </c>
      <c r="Q69">
        <f t="shared" si="16"/>
        <v>49113.867432207924</v>
      </c>
      <c r="R69">
        <f t="shared" si="17"/>
        <v>258605.94912758347</v>
      </c>
      <c r="S69">
        <f t="shared" si="18"/>
        <v>147484.7950776217</v>
      </c>
      <c r="T69">
        <f t="shared" si="19"/>
        <v>45778.533435403006</v>
      </c>
      <c r="U69">
        <f t="shared" si="20"/>
        <v>981588.58558920457</v>
      </c>
    </row>
    <row r="70" spans="1:21">
      <c r="A70">
        <v>2043</v>
      </c>
      <c r="B70">
        <f t="shared" si="7"/>
        <v>147.53106796116506</v>
      </c>
      <c r="C70">
        <f t="shared" ref="C70" si="42">C$43+($G29+C$45*$S$31)/C$44</f>
        <v>153.53828824480917</v>
      </c>
      <c r="D70">
        <f t="shared" si="12"/>
        <v>216.35199030077584</v>
      </c>
      <c r="E70">
        <f t="shared" si="8"/>
        <v>0</v>
      </c>
      <c r="F70">
        <f t="shared" si="8"/>
        <v>2.7</v>
      </c>
      <c r="G70">
        <f t="shared" si="8"/>
        <v>1.35</v>
      </c>
      <c r="H70">
        <f t="shared" si="8"/>
        <v>1.8</v>
      </c>
      <c r="I70">
        <f t="shared" si="9"/>
        <v>171.87991665912</v>
      </c>
      <c r="M70">
        <v>6900</v>
      </c>
      <c r="N70">
        <f t="shared" si="13"/>
        <v>1389554.5647383605</v>
      </c>
      <c r="O70">
        <f t="shared" si="14"/>
        <v>920819.63707001973</v>
      </c>
      <c r="P70">
        <f t="shared" si="15"/>
        <v>1185767.9735071131</v>
      </c>
      <c r="Q70">
        <f t="shared" si="16"/>
        <v>49113.867432207924</v>
      </c>
      <c r="R70">
        <f t="shared" si="17"/>
        <v>259415.94912758347</v>
      </c>
      <c r="S70">
        <f t="shared" si="18"/>
        <v>147889.7950776217</v>
      </c>
      <c r="T70">
        <f t="shared" si="19"/>
        <v>46318.533435403006</v>
      </c>
      <c r="U70">
        <f t="shared" si="20"/>
        <v>1020420.1077567521</v>
      </c>
    </row>
    <row r="71" spans="1:21">
      <c r="A71">
        <v>2044</v>
      </c>
      <c r="B71">
        <f t="shared" si="7"/>
        <v>147.53106796116506</v>
      </c>
      <c r="C71">
        <f t="shared" ref="C71" si="43">C$43+($G30+C$45*$S$31)/C$44</f>
        <v>155.14156693333388</v>
      </c>
      <c r="D71">
        <f t="shared" si="12"/>
        <v>218.62640890542713</v>
      </c>
      <c r="E71">
        <f t="shared" si="8"/>
        <v>0</v>
      </c>
      <c r="F71">
        <f t="shared" si="8"/>
        <v>2.7</v>
      </c>
      <c r="G71">
        <f t="shared" si="8"/>
        <v>1.35</v>
      </c>
      <c r="H71">
        <f t="shared" si="8"/>
        <v>1.8</v>
      </c>
      <c r="I71">
        <f t="shared" si="9"/>
        <v>173.72519967798806</v>
      </c>
      <c r="M71">
        <v>7200</v>
      </c>
      <c r="N71">
        <f t="shared" si="13"/>
        <v>1433813.8851267099</v>
      </c>
      <c r="O71">
        <f t="shared" si="14"/>
        <v>955818.50059264293</v>
      </c>
      <c r="P71">
        <f t="shared" si="15"/>
        <v>1234980.0822252529</v>
      </c>
      <c r="Q71">
        <f t="shared" si="16"/>
        <v>49113.867432207924</v>
      </c>
      <c r="R71">
        <f t="shared" si="17"/>
        <v>260225.94912758347</v>
      </c>
      <c r="S71">
        <f t="shared" si="18"/>
        <v>148294.7950776217</v>
      </c>
      <c r="T71">
        <f t="shared" si="19"/>
        <v>46858.533435403006</v>
      </c>
      <c r="U71">
        <f t="shared" si="20"/>
        <v>1059251.6299242994</v>
      </c>
    </row>
    <row r="72" spans="1:21">
      <c r="A72">
        <v>2045</v>
      </c>
      <c r="B72">
        <f t="shared" si="7"/>
        <v>147.53106796116506</v>
      </c>
      <c r="C72">
        <f>C$43+($G31+C$45*$S$31)/C$44</f>
        <v>156.74484562185856</v>
      </c>
      <c r="D72">
        <f t="shared" si="12"/>
        <v>220.90082751007844</v>
      </c>
      <c r="E72">
        <f t="shared" si="8"/>
        <v>0</v>
      </c>
      <c r="F72">
        <f t="shared" si="8"/>
        <v>2.7</v>
      </c>
      <c r="G72">
        <f t="shared" si="8"/>
        <v>1.35</v>
      </c>
      <c r="H72">
        <f t="shared" si="8"/>
        <v>1.8</v>
      </c>
      <c r="I72">
        <f t="shared" si="9"/>
        <v>175.57048269685609</v>
      </c>
      <c r="M72">
        <v>7500</v>
      </c>
      <c r="N72">
        <f t="shared" si="13"/>
        <v>1478073.2055150594</v>
      </c>
      <c r="O72">
        <f t="shared" si="14"/>
        <v>990817.36411526613</v>
      </c>
      <c r="P72">
        <f t="shared" si="15"/>
        <v>1284192.1909433929</v>
      </c>
      <c r="Q72">
        <f t="shared" si="16"/>
        <v>49113.867432207924</v>
      </c>
      <c r="R72">
        <f t="shared" si="17"/>
        <v>261035.94912758347</v>
      </c>
      <c r="S72">
        <f t="shared" si="18"/>
        <v>148699.7950776217</v>
      </c>
      <c r="T72">
        <f t="shared" si="19"/>
        <v>47398.533435403006</v>
      </c>
      <c r="U72">
        <f t="shared" si="20"/>
        <v>1098083.1520918468</v>
      </c>
    </row>
    <row r="73" spans="1:21">
      <c r="A73">
        <v>2046</v>
      </c>
      <c r="B73">
        <f t="shared" si="7"/>
        <v>147.53106796116506</v>
      </c>
      <c r="C73">
        <f t="shared" ref="C73" si="44">C$43+($G32+C$45*$S$31)/C$44</f>
        <v>158.34812431038327</v>
      </c>
      <c r="D73">
        <f t="shared" si="12"/>
        <v>223.17524611472976</v>
      </c>
      <c r="E73">
        <f t="shared" si="8"/>
        <v>0</v>
      </c>
      <c r="F73">
        <f t="shared" si="8"/>
        <v>2.7</v>
      </c>
      <c r="G73">
        <f t="shared" si="8"/>
        <v>1.35</v>
      </c>
      <c r="H73">
        <f t="shared" si="8"/>
        <v>1.8</v>
      </c>
      <c r="I73">
        <f t="shared" si="9"/>
        <v>177.41576571572415</v>
      </c>
      <c r="M73">
        <v>7800</v>
      </c>
      <c r="N73">
        <f t="shared" si="13"/>
        <v>1522332.5259034089</v>
      </c>
      <c r="O73">
        <f t="shared" si="14"/>
        <v>1025816.2276378893</v>
      </c>
      <c r="P73">
        <f t="shared" si="15"/>
        <v>1333404.2996615327</v>
      </c>
      <c r="Q73">
        <f t="shared" si="16"/>
        <v>49113.867432207924</v>
      </c>
      <c r="R73">
        <f t="shared" si="17"/>
        <v>261845.94912758347</v>
      </c>
      <c r="S73">
        <f t="shared" si="18"/>
        <v>149104.7950776217</v>
      </c>
      <c r="T73">
        <f t="shared" si="19"/>
        <v>47938.533435403006</v>
      </c>
      <c r="U73">
        <f t="shared" si="20"/>
        <v>1136914.6742593944</v>
      </c>
    </row>
    <row r="74" spans="1:21">
      <c r="A74">
        <v>2047</v>
      </c>
      <c r="B74">
        <f t="shared" si="7"/>
        <v>147.53106796116506</v>
      </c>
      <c r="C74">
        <f t="shared" ref="C74" si="45">C$43+($G33+C$45*$S$31)/C$44</f>
        <v>159.95140299890758</v>
      </c>
      <c r="D74">
        <f t="shared" si="12"/>
        <v>225.44966471938056</v>
      </c>
      <c r="E74">
        <f t="shared" si="8"/>
        <v>0</v>
      </c>
      <c r="F74">
        <f t="shared" si="8"/>
        <v>2.7</v>
      </c>
      <c r="G74">
        <f t="shared" si="8"/>
        <v>1.35</v>
      </c>
      <c r="H74">
        <f t="shared" si="8"/>
        <v>1.8</v>
      </c>
      <c r="I74">
        <f t="shared" si="9"/>
        <v>179.26104873459175</v>
      </c>
      <c r="M74">
        <v>8100</v>
      </c>
      <c r="N74">
        <f t="shared" si="13"/>
        <v>1566591.8462917586</v>
      </c>
      <c r="O74">
        <f t="shared" si="14"/>
        <v>1060815.0911605125</v>
      </c>
      <c r="P74">
        <f t="shared" si="15"/>
        <v>1382616.4083796726</v>
      </c>
      <c r="Q74">
        <f t="shared" si="16"/>
        <v>49113.867432207924</v>
      </c>
      <c r="R74">
        <f t="shared" si="17"/>
        <v>262655.94912758347</v>
      </c>
      <c r="S74">
        <f t="shared" si="18"/>
        <v>149509.7950776217</v>
      </c>
      <c r="T74">
        <f t="shared" si="19"/>
        <v>48478.533435403006</v>
      </c>
      <c r="U74">
        <f t="shared" si="20"/>
        <v>1175746.1964269418</v>
      </c>
    </row>
    <row r="75" spans="1:21">
      <c r="A75">
        <v>2048</v>
      </c>
      <c r="B75">
        <f t="shared" si="7"/>
        <v>147.53106796116506</v>
      </c>
      <c r="C75">
        <f t="shared" ref="C75" si="46">C$43+($G34+C$45*$S$31)/C$44</f>
        <v>161.55468168743229</v>
      </c>
      <c r="D75">
        <f t="shared" si="12"/>
        <v>227.72408332403188</v>
      </c>
      <c r="E75">
        <f t="shared" si="8"/>
        <v>0</v>
      </c>
      <c r="F75">
        <f t="shared" si="8"/>
        <v>2.7</v>
      </c>
      <c r="G75">
        <f t="shared" si="8"/>
        <v>1.35</v>
      </c>
      <c r="H75">
        <f t="shared" si="8"/>
        <v>1.8</v>
      </c>
      <c r="I75">
        <f t="shared" si="9"/>
        <v>181.10633175345981</v>
      </c>
      <c r="M75">
        <v>8400</v>
      </c>
      <c r="N75">
        <f t="shared" si="13"/>
        <v>1610851.1666801081</v>
      </c>
      <c r="O75">
        <f t="shared" si="14"/>
        <v>1095813.9546831357</v>
      </c>
      <c r="P75">
        <f t="shared" si="15"/>
        <v>1431828.5170978124</v>
      </c>
      <c r="Q75">
        <f t="shared" si="16"/>
        <v>49113.867432207924</v>
      </c>
      <c r="R75">
        <f t="shared" si="17"/>
        <v>263465.94912758347</v>
      </c>
      <c r="S75">
        <f t="shared" si="18"/>
        <v>149914.7950776217</v>
      </c>
      <c r="T75">
        <f t="shared" si="19"/>
        <v>49018.533435403006</v>
      </c>
      <c r="U75">
        <f t="shared" si="20"/>
        <v>1214577.7185944892</v>
      </c>
    </row>
    <row r="76" spans="1:21">
      <c r="A76">
        <v>2049</v>
      </c>
      <c r="B76">
        <f t="shared" si="7"/>
        <v>147.53106796116506</v>
      </c>
      <c r="C76">
        <f t="shared" ref="C76" si="47">C$43+($G35+C$45*$S$31)/C$44</f>
        <v>163.157960375957</v>
      </c>
      <c r="D76">
        <f t="shared" si="12"/>
        <v>229.9985019286832</v>
      </c>
      <c r="E76">
        <f t="shared" si="8"/>
        <v>0</v>
      </c>
      <c r="F76">
        <f t="shared" si="8"/>
        <v>2.7</v>
      </c>
      <c r="G76">
        <f t="shared" si="8"/>
        <v>1.35</v>
      </c>
      <c r="H76">
        <f t="shared" si="8"/>
        <v>1.8</v>
      </c>
      <c r="I76">
        <f t="shared" si="9"/>
        <v>182.95161477232784</v>
      </c>
      <c r="M76">
        <v>8700</v>
      </c>
      <c r="N76">
        <f t="shared" si="13"/>
        <v>1655110.4870684575</v>
      </c>
      <c r="O76">
        <f t="shared" si="14"/>
        <v>1130812.8182057589</v>
      </c>
      <c r="P76">
        <f t="shared" si="15"/>
        <v>1481040.6258159524</v>
      </c>
      <c r="Q76">
        <f t="shared" si="16"/>
        <v>49113.867432207924</v>
      </c>
      <c r="R76">
        <f t="shared" si="17"/>
        <v>264275.94912758347</v>
      </c>
      <c r="S76">
        <f t="shared" si="18"/>
        <v>150319.7950776217</v>
      </c>
      <c r="T76">
        <f t="shared" si="19"/>
        <v>49558.533435403006</v>
      </c>
      <c r="U76">
        <f t="shared" si="20"/>
        <v>1253409.2407620365</v>
      </c>
    </row>
    <row r="77" spans="1:21">
      <c r="A77">
        <v>2050</v>
      </c>
      <c r="B77">
        <f t="shared" si="7"/>
        <v>147.53106796116506</v>
      </c>
      <c r="C77">
        <f t="shared" ref="C77" si="48">C$43+($G36+C$45*$S$31)/C$44</f>
        <v>164.76123906448166</v>
      </c>
      <c r="D77">
        <f t="shared" si="12"/>
        <v>232.27292053333446</v>
      </c>
      <c r="E77">
        <f t="shared" si="8"/>
        <v>0</v>
      </c>
      <c r="F77">
        <f t="shared" si="8"/>
        <v>2.7</v>
      </c>
      <c r="G77">
        <f t="shared" si="8"/>
        <v>1.35</v>
      </c>
      <c r="H77">
        <f t="shared" si="8"/>
        <v>1.8</v>
      </c>
      <c r="I77">
        <f t="shared" si="9"/>
        <v>184.79689779119587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B16" sqref="A2:B16"/>
    </sheetView>
  </sheetViews>
  <sheetFormatPr defaultRowHeight="14.5"/>
  <cols>
    <col min="1" max="1" width="35.453125" customWidth="1"/>
    <col min="2" max="2" width="48.54296875" customWidth="1"/>
    <col min="3" max="3" width="13.81640625" customWidth="1"/>
    <col min="4" max="4" width="30.54296875" customWidth="1"/>
    <col min="5" max="10" width="13.81640625" customWidth="1"/>
    <col min="11" max="15" width="20.5429687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169</v>
      </c>
      <c r="J1" s="9" t="s">
        <v>170</v>
      </c>
      <c r="K1" s="9" t="s">
        <v>171</v>
      </c>
      <c r="L1" s="9" t="s">
        <v>172</v>
      </c>
      <c r="P1" t="s">
        <v>173</v>
      </c>
    </row>
    <row r="2" spans="1:16">
      <c r="A2" t="s">
        <v>174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1" t="s">
        <v>176</v>
      </c>
    </row>
    <row r="3" spans="1:16">
      <c r="A3" t="s">
        <v>177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176</v>
      </c>
    </row>
    <row r="4" spans="1:16">
      <c r="A4" t="s">
        <v>178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1" t="s">
        <v>176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41" t="s">
        <v>26</v>
      </c>
      <c r="B7" s="42">
        <v>2040000</v>
      </c>
      <c r="C7" s="42">
        <v>50000</v>
      </c>
      <c r="D7" s="43">
        <v>2</v>
      </c>
      <c r="E7" s="33">
        <f>VLOOKUP($A7,'unit2030-none'!$A$1:$M$53,6,FALSE)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7" t="s">
        <v>32</v>
      </c>
      <c r="B8" s="26">
        <f>VLOOKUP($A8,'unit2030-none'!$A$1:$M$53,3,FALSE)</f>
        <v>830000</v>
      </c>
      <c r="C8" s="26">
        <f>VLOOKUP($A8,'unit2030-none'!$A$1:$M$53,2,FALSE)</f>
        <v>27800</v>
      </c>
      <c r="D8" s="43">
        <v>4</v>
      </c>
      <c r="E8" s="33">
        <f>VLOOKUP($A8,'unit2030-none'!$A$1:$M$53,6,FALSE)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41" t="s">
        <v>42</v>
      </c>
      <c r="B9" s="42">
        <v>8000000</v>
      </c>
      <c r="C9" s="42">
        <v>100000</v>
      </c>
      <c r="D9" s="43">
        <v>0</v>
      </c>
      <c r="E9" s="33">
        <f>VLOOKUP($A9,'unit2030-none'!$A$1:$M$53,6,FALSE)</f>
        <v>0</v>
      </c>
      <c r="F9" s="10"/>
      <c r="G9" s="10"/>
      <c r="H9" s="10"/>
      <c r="I9" s="10"/>
      <c r="J9" s="10"/>
      <c r="K9" s="10"/>
      <c r="L9" s="10"/>
      <c r="N9" t="s">
        <v>205</v>
      </c>
      <c r="O9" t="s">
        <v>204</v>
      </c>
    </row>
    <row r="10" spans="1:16">
      <c r="A10" s="27" t="s">
        <v>64</v>
      </c>
      <c r="B10" s="26">
        <f>VLOOKUP($A10,'unit2030-none'!$A$1:$M$53,3,FALSE)</f>
        <v>435000</v>
      </c>
      <c r="C10" s="26">
        <f>VLOOKUP($A10,'unit2030-none'!$A$1:$M$53,2,FALSE)</f>
        <v>7745</v>
      </c>
      <c r="D10" s="43">
        <v>5</v>
      </c>
      <c r="E10" s="33">
        <f>VLOOKUP($A10,'unit2030-none'!$A$1:$M$53,6,FALSE)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41" t="s">
        <v>69</v>
      </c>
      <c r="B11" s="42">
        <v>587000</v>
      </c>
      <c r="C11" s="42">
        <v>11700</v>
      </c>
      <c r="D11" s="43">
        <v>0</v>
      </c>
      <c r="E11" s="33">
        <f>VLOOKUP($A11,'unit2030-none'!$A$1:$M$53,6,FALSE)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41" t="s">
        <v>73</v>
      </c>
      <c r="B12" s="42">
        <v>2270000</v>
      </c>
      <c r="C12" s="42">
        <v>23400</v>
      </c>
      <c r="D12" s="43">
        <v>3</v>
      </c>
      <c r="E12" s="33">
        <f>VLOOKUP($A12,'unit2030-none'!$A$1:$M$53,6,FALSE)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41" t="s">
        <v>74</v>
      </c>
      <c r="B13" s="37">
        <v>1150000</v>
      </c>
      <c r="C13" s="42">
        <v>11000</v>
      </c>
      <c r="D13" s="43">
        <v>1</v>
      </c>
      <c r="E13" s="33">
        <f>VLOOKUP($A13,'unit2030-none'!$A$1:$M$53,6,FALSE)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41" t="s">
        <v>180</v>
      </c>
      <c r="B14" s="42">
        <v>321000</v>
      </c>
      <c r="C14" s="42">
        <v>7800</v>
      </c>
      <c r="D14" s="43">
        <v>2</v>
      </c>
      <c r="E14" s="33">
        <f>VLOOKUP($A14,'unit2030-none'!$A$1:$M$53,6,FALSE)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7" t="s">
        <v>33</v>
      </c>
      <c r="B15" s="26">
        <f>VLOOKUP($A15,'unit2030-none'!$A$1:$M$53,3,FALSE)</f>
        <v>1200000</v>
      </c>
      <c r="C15" s="19"/>
      <c r="D15" s="19"/>
      <c r="E15" s="33">
        <f>VLOOKUP($A15,'unit2030-none'!$A$1:$M$53,6,FALSE)</f>
        <v>0.53</v>
      </c>
    </row>
    <row r="16" spans="1:16">
      <c r="A16" s="41" t="s">
        <v>44</v>
      </c>
      <c r="B16" s="42">
        <v>8000000</v>
      </c>
      <c r="C16" s="42">
        <v>100000</v>
      </c>
      <c r="D16" s="19"/>
      <c r="E16" s="33">
        <f>VLOOKUP($A16,'unit2030-none'!$A$1:$M$53,6,FALSE)</f>
        <v>0</v>
      </c>
    </row>
    <row r="17" spans="5:18">
      <c r="E17" s="32"/>
    </row>
    <row r="19" spans="5:18">
      <c r="R19" t="s">
        <v>168</v>
      </c>
    </row>
    <row r="24" spans="5:18">
      <c r="H24" s="10"/>
      <c r="I24" s="10"/>
    </row>
    <row r="25" spans="5:18">
      <c r="H25" s="10"/>
      <c r="I25" s="10"/>
    </row>
    <row r="26" spans="5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2022-12-09T16:44:59Z</dcterms:modified>
</cp:coreProperties>
</file>