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2C9842C-CD9B-4062-98D0-FA5281244D2E}" xr6:coauthVersionLast="47" xr6:coauthVersionMax="47" xr10:uidLastSave="{00000000-0000-0000-0000-000000000000}"/>
  <bookViews>
    <workbookView xWindow="-21810" yWindow="17250" windowWidth="29040" windowHeight="17640" tabRatio="858" activeTab="6" xr2:uid="{06D6063F-292D-4EBB-8494-695710908624}"/>
  </bookViews>
  <sheets>
    <sheet name="INFO" sheetId="6" r:id="rId1"/>
    <sheet name="VREprofilesandload2019-2050" sheetId="7" r:id="rId2"/>
    <sheet name="40weatheryears" sheetId="9" r:id="rId3"/>
    <sheet name="Powerplants" sheetId="8" r:id="rId4"/>
    <sheet name="EMLABparameters" sheetId="1" r:id="rId5"/>
    <sheet name="Traderes_data" sheetId="2" r:id="rId6"/>
    <sheet name="CRM2050 paper" sheetId="10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0" l="1"/>
  <c r="I22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I16" i="10"/>
  <c r="F16" i="10"/>
  <c r="I17" i="10"/>
  <c r="F17" i="10"/>
  <c r="I18" i="10"/>
  <c r="F18" i="10"/>
  <c r="I19" i="10"/>
  <c r="F19" i="10"/>
  <c r="I20" i="10"/>
  <c r="F20" i="10"/>
  <c r="F21" i="10"/>
  <c r="F22" i="10"/>
  <c r="I23" i="10"/>
  <c r="F23" i="10"/>
  <c r="I24" i="10"/>
  <c r="F24" i="10"/>
  <c r="I15" i="10"/>
  <c r="F15" i="10"/>
  <c r="D15" i="10"/>
  <c r="C15" i="10"/>
  <c r="B16" i="10"/>
  <c r="B17" i="10"/>
  <c r="B18" i="10"/>
  <c r="B19" i="10"/>
  <c r="B20" i="10"/>
  <c r="B21" i="10"/>
  <c r="B22" i="10"/>
  <c r="B23" i="10"/>
  <c r="B24" i="10"/>
  <c r="B15" i="10"/>
  <c r="E16" i="10"/>
  <c r="E17" i="10"/>
  <c r="E18" i="10"/>
  <c r="E19" i="10"/>
  <c r="E21" i="10"/>
  <c r="E23" i="10"/>
  <c r="E24" i="10"/>
  <c r="E15" i="10"/>
  <c r="G7" i="10"/>
  <c r="G6" i="10"/>
  <c r="F7" i="10"/>
  <c r="F6" i="10"/>
  <c r="E12" i="10"/>
  <c r="E11" i="10"/>
  <c r="E10" i="10"/>
  <c r="E9" i="10"/>
  <c r="J9" i="10"/>
  <c r="J10" i="10"/>
  <c r="J11" i="10"/>
  <c r="J12" i="10"/>
  <c r="J3" i="10"/>
  <c r="R12" i="10"/>
  <c r="R11" i="10"/>
  <c r="R10" i="10"/>
  <c r="R9" i="10"/>
  <c r="R8" i="10"/>
  <c r="E8" i="10" s="1"/>
  <c r="R7" i="10"/>
  <c r="R6" i="10"/>
  <c r="R5" i="10"/>
  <c r="E5" i="10" s="1"/>
  <c r="R4" i="10"/>
  <c r="E4" i="10" s="1"/>
  <c r="R3" i="10"/>
  <c r="E3" i="10" s="1"/>
  <c r="D34" i="10" l="1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4" i="10"/>
  <c r="F4" i="10"/>
  <c r="H4" i="10"/>
  <c r="G4" i="10"/>
  <c r="I4" i="10"/>
  <c r="D5" i="10"/>
  <c r="F5" i="10"/>
  <c r="H5" i="10"/>
  <c r="G5" i="10"/>
  <c r="I5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6" i="10"/>
  <c r="H6" i="10"/>
  <c r="I6" i="10"/>
  <c r="D8" i="10"/>
  <c r="F8" i="10"/>
  <c r="H8" i="10"/>
  <c r="G8" i="10"/>
  <c r="I8" i="10"/>
  <c r="D29" i="10"/>
  <c r="E29" i="10"/>
  <c r="F29" i="10"/>
  <c r="G29" i="10"/>
  <c r="H29" i="10"/>
  <c r="I29" i="10"/>
  <c r="D30" i="10"/>
  <c r="E30" i="10"/>
  <c r="F30" i="10"/>
  <c r="G30" i="10"/>
  <c r="H30" i="10"/>
  <c r="I30" i="10"/>
  <c r="D31" i="10"/>
  <c r="E31" i="10"/>
  <c r="F31" i="10"/>
  <c r="G31" i="10"/>
  <c r="H31" i="10"/>
  <c r="I31" i="10"/>
  <c r="D9" i="10"/>
  <c r="F9" i="10"/>
  <c r="H9" i="10"/>
  <c r="G9" i="10"/>
  <c r="I9" i="10"/>
  <c r="D10" i="10"/>
  <c r="F10" i="10"/>
  <c r="H10" i="10"/>
  <c r="G10" i="10"/>
  <c r="I10" i="10"/>
  <c r="D11" i="10"/>
  <c r="F11" i="10"/>
  <c r="H11" i="10"/>
  <c r="G11" i="10"/>
  <c r="I11" i="10"/>
  <c r="D12" i="10"/>
  <c r="F12" i="10"/>
  <c r="H12" i="10"/>
  <c r="G12" i="10"/>
  <c r="I12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7" i="10"/>
  <c r="H7" i="10"/>
  <c r="I7" i="10"/>
  <c r="I3" i="10"/>
  <c r="G3" i="10"/>
  <c r="H3" i="10"/>
  <c r="F3" i="10"/>
  <c r="D3" i="10"/>
  <c r="C3" i="10"/>
  <c r="C34" i="10"/>
  <c r="C35" i="10"/>
  <c r="C36" i="10"/>
  <c r="C37" i="10"/>
  <c r="C38" i="10"/>
  <c r="C4" i="10"/>
  <c r="C5" i="10"/>
  <c r="C27" i="10"/>
  <c r="C28" i="10"/>
  <c r="C6" i="10"/>
  <c r="C8" i="10"/>
  <c r="C29" i="10"/>
  <c r="C30" i="10"/>
  <c r="C31" i="10"/>
  <c r="C9" i="10"/>
  <c r="C10" i="10"/>
  <c r="C11" i="10"/>
  <c r="C12" i="10"/>
  <c r="C32" i="10"/>
  <c r="C33" i="10"/>
  <c r="C7" i="10"/>
  <c r="B31" i="10"/>
  <c r="B27" i="10"/>
  <c r="B37" i="10"/>
</calcChain>
</file>

<file path=xl/sharedStrings.xml><?xml version="1.0" encoding="utf-8"?>
<sst xmlns="http://schemas.openxmlformats.org/spreadsheetml/2006/main" count="331" uniqueCount="195">
  <si>
    <t>candidate power plants</t>
  </si>
  <si>
    <t>energy producers</t>
  </si>
  <si>
    <t>fuel price trends</t>
  </si>
  <si>
    <t xml:space="preserve">electricity spot markets </t>
  </si>
  <si>
    <t>yearly targets</t>
  </si>
  <si>
    <t>yearly CO2</t>
  </si>
  <si>
    <t xml:space="preserve">installed reserve margin </t>
  </si>
  <si>
    <t xml:space="preserve">lower margin </t>
  </si>
  <si>
    <t xml:space="preserve">upper margin </t>
  </si>
  <si>
    <t>price cap</t>
  </si>
  <si>
    <t>country</t>
  </si>
  <si>
    <t>reserve price</t>
  </si>
  <si>
    <t>reserve volume percent</t>
  </si>
  <si>
    <t>reserve volume</t>
  </si>
  <si>
    <t>realistic capacity</t>
  </si>
  <si>
    <t>Intermittent</t>
  </si>
  <si>
    <t>expected permit time</t>
  </si>
  <si>
    <t>expected lead time</t>
  </si>
  <si>
    <t>technology parameters for EMLab</t>
  </si>
  <si>
    <t>Power plants</t>
  </si>
  <si>
    <t>Coupling Config</t>
  </si>
  <si>
    <t>Exported Traderes</t>
  </si>
  <si>
    <t>parameters decided by the user</t>
  </si>
  <si>
    <t>parameters for emlabpy logic</t>
  </si>
  <si>
    <t>explanation</t>
  </si>
  <si>
    <t xml:space="preserve">should be added in </t>
  </si>
  <si>
    <t>C:\toolbox-amiris-emlab\amiris_workflow\amiris-config\data</t>
  </si>
  <si>
    <t>C:\toolbox-amiris-emlab\data</t>
  </si>
  <si>
    <t>Data for</t>
  </si>
  <si>
    <t>AMIRIS</t>
  </si>
  <si>
    <t>EMLABPY</t>
  </si>
  <si>
    <t>VREprofilesandload2019-2050</t>
  </si>
  <si>
    <t>Excel file</t>
  </si>
  <si>
    <t>source</t>
  </si>
  <si>
    <t>optimization results or ENTSOE</t>
  </si>
  <si>
    <t>renewable ninja</t>
  </si>
  <si>
    <t>profiles</t>
  </si>
  <si>
    <t>load(with heat demand + EVS 2019)</t>
  </si>
  <si>
    <t>needs to be adapted to each country</t>
  </si>
  <si>
    <t>x</t>
  </si>
  <si>
    <t>various</t>
  </si>
  <si>
    <t>Traderes</t>
  </si>
  <si>
    <t>-</t>
  </si>
  <si>
    <t>CHAPROEV</t>
  </si>
  <si>
    <t>Ruhnau 2019 Time series of heat demand and
heat pump efficiency for energy
system modeling</t>
  </si>
  <si>
    <t>hydrogen_demand</t>
  </si>
  <si>
    <t>hydrogen_prices</t>
  </si>
  <si>
    <t>COMPETES</t>
  </si>
  <si>
    <t>COMPETES or ENTSOE</t>
  </si>
  <si>
    <t>file prepared with ouput of C:\toolbox-amiris-emlab\preparation_scripts\prepare_power_plants.py. To group power plants for computationally efficiency. Make sure that sheet name is chosen in the import of spinetoolbox</t>
  </si>
  <si>
    <t>40weatheryears</t>
  </si>
  <si>
    <t>monthly hydrogen demand prepared with ouput of C:\toolbox-amiris-emlab\preparation_scripts\convert_to_monthlly_demand.py</t>
  </si>
  <si>
    <t>monthly hydrogen prices prepared with ouput of C:\toolbox-amiris-emlab\preparation_scripts\convert_to_monthlly_demand.py</t>
  </si>
  <si>
    <t>data from 2019 to 2050 (based on 2019)</t>
  </si>
  <si>
    <t>Static  (households + non flexible inustrial)</t>
  </si>
  <si>
    <t>EMLABparameters</t>
  </si>
  <si>
    <t>StrategicReserveOperator</t>
  </si>
  <si>
    <t>CapacityMarkets</t>
  </si>
  <si>
    <t>weatherYears</t>
  </si>
  <si>
    <t>Sheet</t>
  </si>
  <si>
    <t>parameters</t>
  </si>
  <si>
    <t>GeometricTrends</t>
  </si>
  <si>
    <t>geometric trend increase cost time series</t>
  </si>
  <si>
    <t>EVs demand</t>
  </si>
  <si>
    <t>Heat pumps demand. File prepared with ouput of C:\toolbox-amiris-emlab\preparation_scripts\prepare_heating_demand.py</t>
  </si>
  <si>
    <t>Evs demand</t>
  </si>
  <si>
    <t xml:space="preserve">data for 2050, based on 40 weather years for weather analysis </t>
  </si>
  <si>
    <t xml:space="preserve">random numbers from 0 to 40,  for weather analysis </t>
  </si>
  <si>
    <t>TechnologiesEmlab</t>
  </si>
  <si>
    <t>lifetime_economic</t>
  </si>
  <si>
    <t>lifetime_technical</t>
  </si>
  <si>
    <t>MaximumLifeExtension</t>
  </si>
  <si>
    <t>EfficiencyModifierAfterLifetime</t>
  </si>
  <si>
    <t>PeakSegmentDependentAvailability</t>
  </si>
  <si>
    <t>In percentage: i..e 10% decrease would be from 0.4 to 0.36 efficiency in one year</t>
  </si>
  <si>
    <t>Missing</t>
  </si>
  <si>
    <t>true or false</t>
  </si>
  <si>
    <t>traderesfuels</t>
  </si>
  <si>
    <t>assigns fuel to technology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</si>
  <si>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</si>
  <si>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</si>
  <si>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</si>
  <si>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</si>
  <si>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</si>
  <si>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</si>
  <si>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</si>
  <si>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valueOfLostLoad</t>
  </si>
  <si>
    <t>growthTrend</t>
  </si>
  <si>
    <t>Top</t>
  </si>
  <si>
    <t>Max</t>
  </si>
  <si>
    <t>Min</t>
  </si>
  <si>
    <t>Fuel</t>
  </si>
  <si>
    <t>tobechecked</t>
  </si>
  <si>
    <t>defines the size of new power plants</t>
  </si>
  <si>
    <t>expected yearly CO2</t>
  </si>
  <si>
    <t>technologypotentials</t>
  </si>
  <si>
    <t>technology capacity limits for each technology</t>
  </si>
  <si>
    <t>Technology targets per year</t>
  </si>
  <si>
    <t>TechnologyTargets</t>
  </si>
  <si>
    <t>assigns technology to country</t>
  </si>
  <si>
    <t>source NL</t>
  </si>
  <si>
    <t>Technology</t>
  </si>
  <si>
    <t>Age</t>
  </si>
  <si>
    <t>Capacity</t>
  </si>
  <si>
    <t>Efficiency</t>
  </si>
  <si>
    <t>Location</t>
  </si>
  <si>
    <t>DischarginEfficiency</t>
  </si>
  <si>
    <t xml:space="preserve">technology and fuel prices </t>
  </si>
  <si>
    <t>year</t>
  </si>
  <si>
    <t>investment_cost</t>
  </si>
  <si>
    <t>technology data</t>
  </si>
  <si>
    <t>fuel data</t>
  </si>
  <si>
    <t>price</t>
  </si>
  <si>
    <t>fom_cost</t>
  </si>
  <si>
    <t>vom_cost</t>
  </si>
  <si>
    <t>efficiency_full_load</t>
  </si>
  <si>
    <t>EnergyToPowerRatio</t>
  </si>
  <si>
    <t>ChargingEfficiency</t>
  </si>
  <si>
    <t>DischargingEfficiency</t>
  </si>
  <si>
    <t>SelfDischargeRatePerHour</t>
  </si>
  <si>
    <t>traderes</t>
  </si>
  <si>
    <t>investmentCosts</t>
  </si>
  <si>
    <t>2050 Static  load (households + non flexible inustrial) prepared from TNO</t>
  </si>
  <si>
    <t>classified entsoe by categories and scale up from 2015 profileto 2050</t>
  </si>
  <si>
    <t xml:space="preserve">heat pumps demand. File prepared with ouput of C:\toolbox-amiris-emlab\preparation_scripts\prepare_heating_demand.py. </t>
  </si>
  <si>
    <t>classified entsoeby categories and scale up from 2015 profile to 2050</t>
  </si>
  <si>
    <t>use script C:\toolbox-amiris-emlab\preparation_scripts\prepareweatherdata to reshape data . Future profiles are scaled from 2019 by a factor to account for technology advances</t>
  </si>
  <si>
    <t>comment</t>
  </si>
  <si>
    <t>need to change to representative year and scale up</t>
  </si>
  <si>
    <t>Need to scale them up (and change to representative year load)</t>
  </si>
  <si>
    <t>.use script C:\-amiris-emlab\preparation_scripts\prepareweatherdata.py to reshape data . Future profiles are scaled by a factor to account for technology advances for 2050</t>
  </si>
  <si>
    <t>technology technical data. Traderes dont have all data, completed with other sources for unit2020 and unit2050</t>
  </si>
  <si>
    <t>TNO</t>
  </si>
  <si>
    <t>Fuels</t>
  </si>
  <si>
    <t>AmirisFuelSpecificCo2EmissionsInTperMWH</t>
  </si>
  <si>
    <t>AMIRIS  data cannot be modified- &gt; it is fix in AMIRIS</t>
  </si>
  <si>
    <t xml:space="preserve">If specified in the config file, the fuel costs can be found according to a triangular trend. </t>
  </si>
  <si>
    <t>so far all technologies have the same interests</t>
  </si>
  <si>
    <t>only needed  for more weathers analysis</t>
  </si>
  <si>
    <t xml:space="preserve">AMIRIS- EMLABpy data Inventory will be constantly updated in https://github.com/TradeRES/toolbox-amiris-emlab/blob/main/data/Readme.xlsx. Each sheet explains further the data of each excel file  The Excel sheets explained here can be found in https://github.com/TradeRES/toolbox-amiris-emlab/blob/main/data/. </t>
  </si>
  <si>
    <t xml:space="preserve">initial power plants </t>
  </si>
  <si>
    <t>fuelprices</t>
  </si>
  <si>
    <t>tech_specs</t>
  </si>
  <si>
    <t>fixedcosts</t>
  </si>
  <si>
    <t>Biofuel</t>
  </si>
  <si>
    <t>CCGT</t>
  </si>
  <si>
    <t>CCS gas</t>
  </si>
  <si>
    <t>Hard Coal</t>
  </si>
  <si>
    <t>Hydro Reservoir</t>
  </si>
  <si>
    <t>hydrogen CHP</t>
  </si>
  <si>
    <t>hydrogen OCGT</t>
  </si>
  <si>
    <t>hydrogen CCGT</t>
  </si>
  <si>
    <t>Hydropower ROR</t>
  </si>
  <si>
    <t>Lignite</t>
  </si>
  <si>
    <t>Lithium ion battery</t>
  </si>
  <si>
    <t>Nuclear</t>
  </si>
  <si>
    <t>OCGT</t>
  </si>
  <si>
    <t>Oil</t>
  </si>
  <si>
    <t>PHS Discharge</t>
  </si>
  <si>
    <t>Solar PV large</t>
  </si>
  <si>
    <t>Solar PV rooftop</t>
  </si>
  <si>
    <t>Wind Offshore</t>
  </si>
  <si>
    <t>Wind Onshore</t>
  </si>
  <si>
    <t>electrolyzer</t>
  </si>
  <si>
    <t>central gas boiler</t>
  </si>
  <si>
    <t>Lithium ion battery 4</t>
  </si>
  <si>
    <t>fuel</t>
  </si>
  <si>
    <t>nuclear</t>
  </si>
  <si>
    <t>processing_residues</t>
  </si>
  <si>
    <t>hydrogen</t>
  </si>
  <si>
    <t>CO2</t>
  </si>
  <si>
    <t>Eur/MWh</t>
  </si>
  <si>
    <t>Technical lifetime</t>
  </si>
  <si>
    <t>€/MW</t>
  </si>
  <si>
    <t>node</t>
  </si>
  <si>
    <t>CO2 (kg CO2/MWh)</t>
  </si>
  <si>
    <t>Gas</t>
  </si>
  <si>
    <t>%</t>
  </si>
  <si>
    <t>y</t>
  </si>
  <si>
    <t>Fixed costs</t>
  </si>
  <si>
    <t>Variable costs</t>
  </si>
  <si>
    <t>Energy to Power Ratio</t>
  </si>
  <si>
    <t>€/MWh</t>
  </si>
  <si>
    <t>Technical limit</t>
  </si>
  <si>
    <t>MW</t>
  </si>
  <si>
    <t>biofuel</t>
  </si>
  <si>
    <t>Investment block</t>
  </si>
  <si>
    <t>Max. lifetime extension</t>
  </si>
  <si>
    <t>Permit time</t>
  </si>
  <si>
    <t>Lead time</t>
  </si>
  <si>
    <t>Investment costs</t>
  </si>
  <si>
    <t>Charging efficiency</t>
  </si>
  <si>
    <t>Discharging efficiency</t>
  </si>
  <si>
    <t>Derating factor</t>
  </si>
  <si>
    <t>Equity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</si>
</sst>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4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2" fontId="1" fillId="0" borderId="1" xfId="2" applyNumberFormat="1" applyFont="1" applyBorder="1"/>
    <xf numFmtId="1" fontId="2" fillId="4" borderId="1" xfId="1" applyNumberFormat="1" applyBorder="1" applyAlignment="1">
      <alignment horizontal="right"/>
    </xf>
    <xf numFmtId="1" fontId="2" fillId="4" borderId="1" xfId="1" applyNumberFormat="1" applyBorder="1"/>
    <xf numFmtId="1" fontId="3" fillId="0" borderId="1" xfId="2" applyNumberFormat="1" applyBorder="1"/>
    <xf numFmtId="1" fontId="0" fillId="0" borderId="1" xfId="3" applyNumberFormat="1" applyFont="1" applyBorder="1"/>
    <xf numFmtId="0" fontId="3" fillId="0" borderId="1" xfId="2" applyBorder="1"/>
    <xf numFmtId="1" fontId="0" fillId="0" borderId="0" xfId="0" applyNumberFormat="1"/>
    <xf numFmtId="0" fontId="3" fillId="0" borderId="0" xfId="2"/>
    <xf numFmtId="2" fontId="3" fillId="0" borderId="1" xfId="2" applyNumberFormat="1" applyBorder="1"/>
    <xf numFmtId="164" fontId="3" fillId="0" borderId="1" xfId="2" applyNumberFormat="1" applyBorder="1"/>
    <xf numFmtId="2" fontId="2" fillId="4" borderId="1" xfId="1" applyNumberFormat="1" applyBorder="1"/>
    <xf numFmtId="0" fontId="0" fillId="0" borderId="1" xfId="0" applyBorder="1"/>
    <xf numFmtId="165" fontId="4" fillId="0" borderId="1" xfId="3" applyNumberFormat="1" applyFont="1" applyFill="1" applyBorder="1"/>
    <xf numFmtId="165" fontId="5" fillId="0" borderId="1" xfId="3" applyNumberFormat="1" applyFont="1" applyFill="1" applyBorder="1"/>
    <xf numFmtId="165" fontId="4" fillId="0" borderId="1" xfId="3" applyNumberFormat="1" applyFont="1" applyFill="1" applyBorder="1" applyAlignment="1">
      <alignment horizontal="right"/>
    </xf>
    <xf numFmtId="43" fontId="4" fillId="0" borderId="1" xfId="3" applyFont="1" applyFill="1" applyBorder="1"/>
    <xf numFmtId="0" fontId="0" fillId="5" borderId="0" xfId="0" applyFill="1"/>
    <xf numFmtId="0" fontId="1" fillId="0" borderId="0" xfId="4" applyAlignment="1">
      <alignment horizontal="left"/>
    </xf>
    <xf numFmtId="0" fontId="1" fillId="0" borderId="0" xfId="4" applyAlignment="1">
      <alignment horizontal="center"/>
    </xf>
    <xf numFmtId="0" fontId="0" fillId="0" borderId="0" xfId="0" applyAlignment="1">
      <alignment horizontal="center"/>
    </xf>
    <xf numFmtId="165" fontId="4" fillId="0" borderId="1" xfId="3" applyNumberFormat="1" applyFont="1" applyFill="1" applyBorder="1" applyAlignment="1">
      <alignment wrapText="1"/>
    </xf>
    <xf numFmtId="165" fontId="5" fillId="0" borderId="1" xfId="3" applyNumberFormat="1" applyFont="1" applyFill="1" applyBorder="1" applyAlignment="1">
      <alignment wrapText="1"/>
    </xf>
    <xf numFmtId="165" fontId="4" fillId="0" borderId="0" xfId="3" applyNumberFormat="1" applyFont="1" applyFill="1" applyBorder="1"/>
    <xf numFmtId="165" fontId="5" fillId="0" borderId="2" xfId="3" applyNumberFormat="1" applyFont="1" applyFill="1" applyBorder="1" applyAlignment="1">
      <alignment wrapText="1"/>
    </xf>
    <xf numFmtId="165" fontId="0" fillId="0" borderId="1" xfId="0" applyNumberFormat="1" applyBorder="1"/>
    <xf numFmtId="43" fontId="4" fillId="0" borderId="0" xfId="3" applyFont="1" applyFill="1" applyBorder="1"/>
    <xf numFmtId="165" fontId="0" fillId="0" borderId="0" xfId="0" applyNumberForma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5">
    <cellStyle name="Comma 2" xfId="3" xr:uid="{ECDBE5EE-B8EF-4258-BA78-D130336EB407}"/>
    <cellStyle name="Good" xfId="1" builtinId="26"/>
    <cellStyle name="Normal" xfId="0" builtinId="0"/>
    <cellStyle name="Normal 2" xfId="2" xr:uid="{9731BF3F-DEF8-4F32-922F-AA7C3667697A}"/>
    <cellStyle name="Standard_Emission_factors" xfId="4" xr:uid="{395C6DAD-8EB4-4A1D-AADE-D709BBBCD4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Traderes_data.xlsx" TargetMode="External"/><Relationship Id="rId1" Type="http://schemas.openxmlformats.org/officeDocument/2006/relationships/externalLinkPath" Target="Traderes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MLABparameters.xlsx" TargetMode="External"/><Relationship Id="rId1" Type="http://schemas.openxmlformats.org/officeDocument/2006/relationships/externalLinkPath" Target="EMLAB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E"/>
      <sheetName val="NL"/>
      <sheetName val="investmentCosts"/>
      <sheetName val="fixedCosts"/>
      <sheetName val="fuelprices"/>
      <sheetName val="lifetime_technical"/>
      <sheetName val="techspecs"/>
      <sheetName val="yearlyCO2"/>
      <sheetName val="YearlyTargets"/>
      <sheetName val="sources"/>
    </sheetNames>
    <sheetDataSet>
      <sheetData sheetId="0"/>
      <sheetData sheetId="1"/>
      <sheetData sheetId="2">
        <row r="1">
          <cell r="A1" t="str">
            <v>traderesTechnology</v>
          </cell>
          <cell r="B1" t="str">
            <v>MW</v>
          </cell>
        </row>
        <row r="2">
          <cell r="A2" t="str">
            <v>Wind Onshore</v>
          </cell>
          <cell r="B2">
            <v>12000</v>
          </cell>
        </row>
        <row r="3">
          <cell r="A3" t="str">
            <v>Solar PV rooftop</v>
          </cell>
          <cell r="B3">
            <v>26964</v>
          </cell>
        </row>
        <row r="4">
          <cell r="A4" t="str">
            <v>Solar PV large</v>
          </cell>
          <cell r="B4">
            <v>82099</v>
          </cell>
        </row>
        <row r="5">
          <cell r="A5" t="str">
            <v>Wind Offshore</v>
          </cell>
          <cell r="B5">
            <v>70000</v>
          </cell>
        </row>
        <row r="6">
          <cell r="A6" t="str">
            <v>Biofuel</v>
          </cell>
          <cell r="B6">
            <v>12040</v>
          </cell>
        </row>
        <row r="7">
          <cell r="A7" t="str">
            <v>OCGT</v>
          </cell>
          <cell r="B7">
            <v>2700</v>
          </cell>
        </row>
      </sheetData>
      <sheetData sheetId="3"/>
      <sheetData sheetId="4">
        <row r="1">
          <cell r="A1" t="str">
            <v>technology</v>
          </cell>
          <cell r="B1">
            <v>2050</v>
          </cell>
        </row>
        <row r="2">
          <cell r="A2" t="str">
            <v>Biofuel</v>
          </cell>
          <cell r="B2">
            <v>61676</v>
          </cell>
        </row>
        <row r="3">
          <cell r="A3" t="str">
            <v>CCGT</v>
          </cell>
          <cell r="B3">
            <v>27647.69067</v>
          </cell>
        </row>
        <row r="4">
          <cell r="A4" t="str">
            <v>CCS gas</v>
          </cell>
          <cell r="B4">
            <v>32000</v>
          </cell>
        </row>
        <row r="5">
          <cell r="A5" t="str">
            <v>Hard Coal</v>
          </cell>
          <cell r="B5">
            <v>61528.160000000003</v>
          </cell>
        </row>
        <row r="6">
          <cell r="A6" t="str">
            <v>Hydro Reservoir</v>
          </cell>
          <cell r="B6">
            <v>14207</v>
          </cell>
        </row>
        <row r="7">
          <cell r="A7" t="str">
            <v>hydrogen CHP</v>
          </cell>
          <cell r="B7">
            <v>30000</v>
          </cell>
        </row>
        <row r="8">
          <cell r="A8" t="str">
            <v>hydrogen OCGT</v>
          </cell>
          <cell r="B8">
            <v>7892.9478017180809</v>
          </cell>
        </row>
        <row r="9">
          <cell r="A9" t="str">
            <v>hydrogen CCGT</v>
          </cell>
          <cell r="B9">
            <v>27647</v>
          </cell>
        </row>
        <row r="10">
          <cell r="A10" t="str">
            <v>Hydropower ROR</v>
          </cell>
          <cell r="B10">
            <v>15715</v>
          </cell>
        </row>
        <row r="11">
          <cell r="A11" t="str">
            <v>Lignite</v>
          </cell>
          <cell r="B11">
            <v>61528.160000000003</v>
          </cell>
        </row>
        <row r="12">
          <cell r="A12" t="str">
            <v>Lithium ion battery</v>
          </cell>
          <cell r="B12">
            <v>570</v>
          </cell>
        </row>
        <row r="13">
          <cell r="A13" t="str">
            <v>Nuclear</v>
          </cell>
          <cell r="B13">
            <v>111166.3</v>
          </cell>
        </row>
        <row r="14">
          <cell r="A14" t="str">
            <v>OCGT</v>
          </cell>
          <cell r="B14">
            <v>7423</v>
          </cell>
        </row>
        <row r="15">
          <cell r="A15" t="str">
            <v>Oil</v>
          </cell>
          <cell r="B15">
            <v>8815.1</v>
          </cell>
        </row>
        <row r="16">
          <cell r="A16" t="str">
            <v>PHS Discharge</v>
          </cell>
          <cell r="B16">
            <v>24222</v>
          </cell>
        </row>
        <row r="17">
          <cell r="A17" t="str">
            <v>Solar PV large</v>
          </cell>
          <cell r="B17">
            <v>7400</v>
          </cell>
        </row>
        <row r="18">
          <cell r="A18" t="str">
            <v>Solar PV rooftop</v>
          </cell>
          <cell r="B18">
            <v>8900</v>
          </cell>
        </row>
        <row r="19">
          <cell r="A19" t="str">
            <v>Wind Offshore</v>
          </cell>
          <cell r="B19">
            <v>33000</v>
          </cell>
        </row>
        <row r="20">
          <cell r="A20" t="str">
            <v>Wind Onshore</v>
          </cell>
          <cell r="B20">
            <v>12058.65</v>
          </cell>
        </row>
        <row r="21">
          <cell r="A21" t="str">
            <v>electrolyzer</v>
          </cell>
          <cell r="B21">
            <v>28000.000000000004</v>
          </cell>
        </row>
        <row r="22">
          <cell r="A22" t="str">
            <v>central gas boiler</v>
          </cell>
          <cell r="B22">
            <v>1700</v>
          </cell>
        </row>
        <row r="23">
          <cell r="A23" t="str">
            <v>Lithium ion battery 4</v>
          </cell>
          <cell r="B23">
            <v>570</v>
          </cell>
        </row>
      </sheetData>
      <sheetData sheetId="5"/>
      <sheetData sheetId="6"/>
      <sheetData sheetId="7">
        <row r="1">
          <cell r="A1" t="str">
            <v>Fuels keys</v>
          </cell>
          <cell r="B1" t="str">
            <v>vom_cost</v>
          </cell>
          <cell r="C1" t="str">
            <v>efficiency_full_load</v>
          </cell>
          <cell r="D1" t="str">
            <v>ChargingEfficiency</v>
          </cell>
          <cell r="E1" t="str">
            <v>EnergyToPowerRatio</v>
          </cell>
          <cell r="F1" t="str">
            <v>DischargingEfficiency</v>
          </cell>
          <cell r="G1" t="str">
            <v>lifetime_technical</v>
          </cell>
        </row>
        <row r="2">
          <cell r="A2" t="str">
            <v>Biofuel</v>
          </cell>
          <cell r="B2">
            <v>2.6</v>
          </cell>
          <cell r="C2">
            <v>0.309</v>
          </cell>
          <cell r="D2">
            <v>0</v>
          </cell>
          <cell r="E2">
            <v>0</v>
          </cell>
          <cell r="F2">
            <v>0</v>
          </cell>
          <cell r="G2">
            <v>25</v>
          </cell>
        </row>
        <row r="3">
          <cell r="A3" t="str">
            <v>CCGT</v>
          </cell>
          <cell r="B3">
            <v>4.4000000000000004</v>
          </cell>
          <cell r="C3">
            <v>0.6</v>
          </cell>
          <cell r="D3">
            <v>0</v>
          </cell>
          <cell r="E3">
            <v>0</v>
          </cell>
          <cell r="F3">
            <v>0</v>
          </cell>
          <cell r="G3">
            <v>25</v>
          </cell>
        </row>
        <row r="4">
          <cell r="A4" t="str">
            <v>CCS gas</v>
          </cell>
          <cell r="B4">
            <v>3</v>
          </cell>
          <cell r="C4">
            <v>0.43</v>
          </cell>
          <cell r="D4">
            <v>0</v>
          </cell>
          <cell r="E4">
            <v>0</v>
          </cell>
          <cell r="F4">
            <v>0</v>
          </cell>
          <cell r="G4">
            <v>40</v>
          </cell>
        </row>
        <row r="5">
          <cell r="A5" t="str">
            <v>Hard Coal</v>
          </cell>
          <cell r="B5">
            <v>3.5</v>
          </cell>
          <cell r="C5">
            <v>0.43</v>
          </cell>
          <cell r="D5">
            <v>0</v>
          </cell>
          <cell r="E5">
            <v>0</v>
          </cell>
          <cell r="F5">
            <v>0</v>
          </cell>
          <cell r="G5">
            <v>40</v>
          </cell>
        </row>
        <row r="6">
          <cell r="A6" t="str">
            <v>Hydro Reservoir</v>
          </cell>
          <cell r="B6">
            <v>1</v>
          </cell>
          <cell r="C6">
            <v>1</v>
          </cell>
          <cell r="D6">
            <v>0</v>
          </cell>
          <cell r="E6">
            <v>0</v>
          </cell>
          <cell r="F6">
            <v>0</v>
          </cell>
          <cell r="G6">
            <v>60</v>
          </cell>
        </row>
        <row r="7">
          <cell r="A7" t="str">
            <v>hydrogen CHP</v>
          </cell>
          <cell r="B7">
            <v>2.7</v>
          </cell>
          <cell r="C7">
            <v>0.85</v>
          </cell>
          <cell r="D7">
            <v>0</v>
          </cell>
          <cell r="E7">
            <v>0</v>
          </cell>
          <cell r="F7">
            <v>0</v>
          </cell>
          <cell r="G7">
            <v>30</v>
          </cell>
        </row>
        <row r="8">
          <cell r="A8" t="str">
            <v>hydrogen OCGT</v>
          </cell>
          <cell r="B8">
            <v>4.79</v>
          </cell>
          <cell r="C8">
            <v>0.43</v>
          </cell>
          <cell r="D8">
            <v>0</v>
          </cell>
          <cell r="E8">
            <v>0</v>
          </cell>
          <cell r="F8">
            <v>0</v>
          </cell>
          <cell r="G8">
            <v>25</v>
          </cell>
        </row>
        <row r="9">
          <cell r="A9" t="str">
            <v>hydrogen CCGT</v>
          </cell>
          <cell r="B9">
            <v>4.24</v>
          </cell>
          <cell r="C9">
            <v>0.6</v>
          </cell>
          <cell r="D9">
            <v>0</v>
          </cell>
          <cell r="E9">
            <v>0</v>
          </cell>
          <cell r="F9">
            <v>0</v>
          </cell>
          <cell r="G9">
            <v>25</v>
          </cell>
        </row>
        <row r="10">
          <cell r="A10" t="str">
            <v>Hydropower ROR</v>
          </cell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60</v>
          </cell>
        </row>
        <row r="11">
          <cell r="A11" t="str">
            <v>Lignite</v>
          </cell>
          <cell r="B11">
            <v>3.5</v>
          </cell>
          <cell r="C11">
            <v>0.43</v>
          </cell>
          <cell r="D11">
            <v>0</v>
          </cell>
          <cell r="E11">
            <v>0</v>
          </cell>
          <cell r="F11">
            <v>0</v>
          </cell>
          <cell r="G11">
            <v>40</v>
          </cell>
        </row>
        <row r="12">
          <cell r="A12" t="str">
            <v>Lithium ion battery</v>
          </cell>
          <cell r="B12">
            <v>1.8</v>
          </cell>
          <cell r="C12">
            <v>0.92</v>
          </cell>
          <cell r="D12">
            <v>0.92</v>
          </cell>
          <cell r="E12">
            <v>2</v>
          </cell>
          <cell r="F12">
            <v>0.92</v>
          </cell>
          <cell r="G12">
            <v>25</v>
          </cell>
        </row>
        <row r="13">
          <cell r="A13" t="str">
            <v>Nuclear</v>
          </cell>
          <cell r="B13">
            <v>3.5</v>
          </cell>
          <cell r="C13">
            <v>0.35</v>
          </cell>
          <cell r="D13">
            <v>0</v>
          </cell>
          <cell r="E13">
            <v>0</v>
          </cell>
          <cell r="F13">
            <v>0</v>
          </cell>
          <cell r="G13">
            <v>40</v>
          </cell>
        </row>
        <row r="14">
          <cell r="A14" t="str">
            <v>OCGT</v>
          </cell>
          <cell r="B14">
            <v>4.5</v>
          </cell>
          <cell r="C14">
            <v>0.43</v>
          </cell>
          <cell r="D14">
            <v>0</v>
          </cell>
          <cell r="E14">
            <v>0</v>
          </cell>
          <cell r="F14">
            <v>0</v>
          </cell>
          <cell r="G14">
            <v>25</v>
          </cell>
        </row>
        <row r="15">
          <cell r="A15" t="str">
            <v>Oil</v>
          </cell>
          <cell r="B15">
            <v>3.5</v>
          </cell>
          <cell r="C15">
            <v>0.43</v>
          </cell>
          <cell r="D15">
            <v>0</v>
          </cell>
          <cell r="E15">
            <v>0</v>
          </cell>
          <cell r="F15">
            <v>0</v>
          </cell>
          <cell r="G15">
            <v>25</v>
          </cell>
        </row>
        <row r="16">
          <cell r="A16" t="str">
            <v>PHS Discharge</v>
          </cell>
          <cell r="B16">
            <v>1</v>
          </cell>
          <cell r="C16">
            <v>1</v>
          </cell>
          <cell r="D16">
            <v>0.89</v>
          </cell>
          <cell r="E16">
            <v>10</v>
          </cell>
          <cell r="F16">
            <v>0.89</v>
          </cell>
          <cell r="G16">
            <v>50</v>
          </cell>
        </row>
        <row r="17">
          <cell r="A17" t="str">
            <v>Solar PV large</v>
          </cell>
          <cell r="B17">
            <v>0.5</v>
          </cell>
          <cell r="C17">
            <v>1</v>
          </cell>
          <cell r="D17">
            <v>0</v>
          </cell>
          <cell r="E17">
            <v>0</v>
          </cell>
          <cell r="F17">
            <v>0</v>
          </cell>
          <cell r="G17">
            <v>25</v>
          </cell>
        </row>
        <row r="18">
          <cell r="A18" t="str">
            <v>Solar PV rooftop</v>
          </cell>
          <cell r="B18">
            <v>0.5</v>
          </cell>
          <cell r="C18">
            <v>1</v>
          </cell>
          <cell r="D18">
            <v>0</v>
          </cell>
          <cell r="E18">
            <v>0</v>
          </cell>
          <cell r="F18">
            <v>0</v>
          </cell>
          <cell r="G18">
            <v>25</v>
          </cell>
        </row>
        <row r="19">
          <cell r="A19" t="str">
            <v>Wind Offshore</v>
          </cell>
          <cell r="B19">
            <v>0.5</v>
          </cell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30</v>
          </cell>
        </row>
        <row r="20">
          <cell r="A20" t="str">
            <v>Wind Onshore</v>
          </cell>
          <cell r="B20">
            <v>2</v>
          </cell>
          <cell r="C20">
            <v>1</v>
          </cell>
          <cell r="D20">
            <v>0</v>
          </cell>
          <cell r="E20">
            <v>0</v>
          </cell>
          <cell r="F20">
            <v>0</v>
          </cell>
          <cell r="G20">
            <v>30</v>
          </cell>
        </row>
        <row r="21">
          <cell r="A21" t="str">
            <v>electrolyzer</v>
          </cell>
          <cell r="B21">
            <v>0</v>
          </cell>
          <cell r="C21">
            <v>0.74</v>
          </cell>
          <cell r="D21">
            <v>0</v>
          </cell>
          <cell r="E21">
            <v>0</v>
          </cell>
          <cell r="F21">
            <v>0</v>
          </cell>
          <cell r="G21">
            <v>25</v>
          </cell>
        </row>
        <row r="22">
          <cell r="A22" t="str">
            <v>central gas boiler</v>
          </cell>
          <cell r="B22">
            <v>1</v>
          </cell>
          <cell r="C22">
            <v>1.04</v>
          </cell>
          <cell r="D22">
            <v>0</v>
          </cell>
          <cell r="E22">
            <v>0</v>
          </cell>
          <cell r="F22">
            <v>0</v>
          </cell>
          <cell r="G22">
            <v>25</v>
          </cell>
        </row>
        <row r="23">
          <cell r="A23" t="str">
            <v>Lithium ion battery 4</v>
          </cell>
          <cell r="B23">
            <v>1.8</v>
          </cell>
          <cell r="C23">
            <v>0.92</v>
          </cell>
          <cell r="D23">
            <v>0.92</v>
          </cell>
          <cell r="E23">
            <v>4</v>
          </cell>
          <cell r="F23">
            <v>0.92</v>
          </cell>
          <cell r="G23">
            <v>25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ictTech"/>
      <sheetName val="dictFuel"/>
      <sheetName val="TechnologyTargets"/>
      <sheetName val="CapacityMarkets"/>
      <sheetName val="StrategicReserveOperator"/>
      <sheetName val="ElectricitySpotMarkets"/>
      <sheetName val="peakLoad"/>
      <sheetName val="Fuels"/>
      <sheetName val="FuelPriceTrends"/>
      <sheetName val="CandidatePowerPlants"/>
      <sheetName val="TechnologiesEmlab"/>
      <sheetName val="derating"/>
      <sheetName val="TechnologyTrends"/>
      <sheetName val="EnergyProducers"/>
      <sheetName val="LoadShifterCap"/>
      <sheetName val="CapacitySubscriptionConsumer"/>
      <sheetName val="CS_subscribed"/>
      <sheetName val="LoadShedders"/>
      <sheetName val="LSyearly"/>
      <sheetName val="Dismantled"/>
      <sheetName val="weatherYears40"/>
      <sheetName val="VOLLs"/>
      <sheetName val="LoadShedders_feb24"/>
      <sheetName val="LoadShedders (2)"/>
      <sheetName val="LoadShedders2"/>
      <sheetName val="LoadShedders_copy"/>
      <sheetName val="dictvariables"/>
      <sheetName val="StepTrends"/>
      <sheetName val="EnergyConsumers"/>
      <sheetName val="yearlytechnologyPotentials2"/>
      <sheetName val="graphs"/>
      <sheetName val="CO2DE"/>
      <sheetName val="backup"/>
      <sheetName val="weatherYearsOLD"/>
      <sheetName val="sources"/>
      <sheetName val="NewTechnolog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B1" t="str">
            <v>Technology</v>
          </cell>
          <cell r="C1" t="str">
            <v>ViableInvestment</v>
          </cell>
          <cell r="D1" t="str">
            <v>Realistic_capacity</v>
          </cell>
        </row>
        <row r="2">
          <cell r="B2" t="str">
            <v>Lithium ion battery</v>
          </cell>
          <cell r="C2" t="b">
            <v>1</v>
          </cell>
          <cell r="D2">
            <v>300</v>
          </cell>
        </row>
        <row r="3">
          <cell r="B3" t="str">
            <v>Wind Offshore</v>
          </cell>
          <cell r="C3" t="b">
            <v>1</v>
          </cell>
          <cell r="D3">
            <v>500</v>
          </cell>
        </row>
        <row r="4">
          <cell r="B4" t="str">
            <v>hydrogen CCGT</v>
          </cell>
          <cell r="C4" t="b">
            <v>1</v>
          </cell>
          <cell r="D4">
            <v>400</v>
          </cell>
        </row>
        <row r="5">
          <cell r="B5" t="str">
            <v>Solar PV large</v>
          </cell>
          <cell r="C5" t="b">
            <v>1</v>
          </cell>
          <cell r="D5">
            <v>300</v>
          </cell>
        </row>
        <row r="6">
          <cell r="B6" t="str">
            <v>Wind Onshore</v>
          </cell>
          <cell r="C6" t="b">
            <v>1</v>
          </cell>
          <cell r="D6">
            <v>500</v>
          </cell>
        </row>
        <row r="7">
          <cell r="B7" t="str">
            <v>Biofuel</v>
          </cell>
          <cell r="C7" t="b">
            <v>1</v>
          </cell>
          <cell r="D7">
            <v>300</v>
          </cell>
        </row>
        <row r="8">
          <cell r="B8" t="str">
            <v>hydrogen OCGT</v>
          </cell>
          <cell r="C8" t="b">
            <v>1</v>
          </cell>
          <cell r="D8">
            <v>400</v>
          </cell>
        </row>
        <row r="9">
          <cell r="B9" t="str">
            <v>Lithium ion battery 4</v>
          </cell>
          <cell r="C9" t="b">
            <v>1</v>
          </cell>
          <cell r="D9">
            <v>300</v>
          </cell>
        </row>
      </sheetData>
      <sheetData sheetId="11">
        <row r="1">
          <cell r="A1" t="str">
            <v>traderes technology</v>
          </cell>
          <cell r="B1" t="str">
            <v>type</v>
          </cell>
          <cell r="C1" t="str">
            <v>expectedPermittime</v>
          </cell>
          <cell r="D1" t="str">
            <v>expectedLeadtime</v>
          </cell>
          <cell r="E1" t="str">
            <v>Intermittent</v>
          </cell>
          <cell r="F1" t="str">
            <v>MaximumLifeExtension</v>
          </cell>
          <cell r="G1" t="str">
            <v>deratingFactor</v>
          </cell>
          <cell r="H1" t="str">
            <v>traderesfuels</v>
          </cell>
          <cell r="I1" t="str">
            <v>interest_rate</v>
          </cell>
        </row>
        <row r="2">
          <cell r="A2" t="str">
            <v>hydrogen OCGT</v>
          </cell>
          <cell r="B2" t="str">
            <v>ConventionalPlantOperator</v>
          </cell>
          <cell r="C2">
            <v>2</v>
          </cell>
          <cell r="D2">
            <v>2</v>
          </cell>
          <cell r="E2" t="b">
            <v>0</v>
          </cell>
          <cell r="F2">
            <v>6</v>
          </cell>
          <cell r="G2">
            <v>1</v>
          </cell>
          <cell r="H2" t="str">
            <v>hydrogen</v>
          </cell>
          <cell r="I2">
            <v>0.08</v>
          </cell>
        </row>
        <row r="3">
          <cell r="A3" t="str">
            <v>hydrogen CCGT</v>
          </cell>
          <cell r="B3" t="str">
            <v>ConventionalPlantOperator</v>
          </cell>
          <cell r="C3">
            <v>2</v>
          </cell>
          <cell r="D3">
            <v>2</v>
          </cell>
          <cell r="E3" t="b">
            <v>0</v>
          </cell>
          <cell r="F3">
            <v>6</v>
          </cell>
          <cell r="G3">
            <v>1</v>
          </cell>
          <cell r="H3" t="str">
            <v>hydrogen</v>
          </cell>
          <cell r="I3">
            <v>0.08</v>
          </cell>
        </row>
        <row r="4">
          <cell r="A4" t="str">
            <v>Biofuel</v>
          </cell>
          <cell r="B4" t="str">
            <v>ConventionalPlantOperator</v>
          </cell>
          <cell r="C4">
            <v>1</v>
          </cell>
          <cell r="D4">
            <v>3</v>
          </cell>
          <cell r="E4" t="b">
            <v>0</v>
          </cell>
          <cell r="F4">
            <v>6</v>
          </cell>
          <cell r="G4">
            <v>1</v>
          </cell>
          <cell r="H4" t="str">
            <v>biomethane</v>
          </cell>
          <cell r="I4">
            <v>0.05</v>
          </cell>
        </row>
        <row r="5">
          <cell r="A5" t="str">
            <v>Lithium ion battery 4</v>
          </cell>
          <cell r="B5" t="str">
            <v>StorageTrader</v>
          </cell>
          <cell r="C5">
            <v>0</v>
          </cell>
          <cell r="D5">
            <v>1</v>
          </cell>
          <cell r="E5" t="b">
            <v>0</v>
          </cell>
          <cell r="F5">
            <v>1</v>
          </cell>
          <cell r="G5">
            <v>0.25</v>
          </cell>
          <cell r="I5">
            <v>0.05</v>
          </cell>
        </row>
        <row r="6">
          <cell r="A6" t="str">
            <v>Lithium ion battery</v>
          </cell>
          <cell r="B6" t="str">
            <v>StorageTrader</v>
          </cell>
          <cell r="C6">
            <v>0</v>
          </cell>
          <cell r="D6">
            <v>1</v>
          </cell>
          <cell r="E6" t="b">
            <v>0</v>
          </cell>
          <cell r="F6">
            <v>1</v>
          </cell>
          <cell r="G6">
            <v>0.16</v>
          </cell>
          <cell r="I6">
            <v>0.05</v>
          </cell>
        </row>
        <row r="7">
          <cell r="A7" t="str">
            <v>Nuclear</v>
          </cell>
          <cell r="B7" t="str">
            <v>ConventionalPlantOperator</v>
          </cell>
          <cell r="C7">
            <v>2</v>
          </cell>
          <cell r="D7">
            <v>5</v>
          </cell>
          <cell r="E7" t="b">
            <v>0</v>
          </cell>
          <cell r="F7">
            <v>20</v>
          </cell>
          <cell r="G7">
            <v>1</v>
          </cell>
          <cell r="H7" t="str">
            <v>nuclear</v>
          </cell>
          <cell r="I7">
            <v>0.08</v>
          </cell>
        </row>
        <row r="8">
          <cell r="A8" t="str">
            <v>Solar PV large</v>
          </cell>
          <cell r="B8" t="str">
            <v>VariableRenewableOperator</v>
          </cell>
          <cell r="C8">
            <v>1</v>
          </cell>
          <cell r="D8">
            <v>1</v>
          </cell>
          <cell r="E8" t="b">
            <v>1</v>
          </cell>
          <cell r="F8">
            <v>3</v>
          </cell>
          <cell r="G8">
            <v>0</v>
          </cell>
          <cell r="I8">
            <v>0.05</v>
          </cell>
        </row>
        <row r="9">
          <cell r="A9" t="str">
            <v>Solar PV rooftop</v>
          </cell>
          <cell r="B9" t="str">
            <v>VariableRenewableOperator</v>
          </cell>
          <cell r="C9">
            <v>1</v>
          </cell>
          <cell r="D9">
            <v>1</v>
          </cell>
          <cell r="E9" t="b">
            <v>1</v>
          </cell>
          <cell r="F9">
            <v>3</v>
          </cell>
          <cell r="G9">
            <v>0</v>
          </cell>
          <cell r="I9">
            <v>0.05</v>
          </cell>
        </row>
        <row r="10">
          <cell r="A10" t="str">
            <v>Wind Offshore</v>
          </cell>
          <cell r="B10" t="str">
            <v>VariableRenewableOperator</v>
          </cell>
          <cell r="C10">
            <v>1</v>
          </cell>
          <cell r="D10">
            <v>2</v>
          </cell>
          <cell r="E10" t="b">
            <v>1</v>
          </cell>
          <cell r="F10">
            <v>5</v>
          </cell>
          <cell r="G10">
            <v>0.06</v>
          </cell>
          <cell r="I10">
            <v>0.05</v>
          </cell>
        </row>
        <row r="11">
          <cell r="A11" t="str">
            <v>Wind Onshore</v>
          </cell>
          <cell r="B11" t="str">
            <v>VariableRenewableOperator</v>
          </cell>
          <cell r="C11">
            <v>1</v>
          </cell>
          <cell r="D11">
            <v>2</v>
          </cell>
          <cell r="E11" t="b">
            <v>1</v>
          </cell>
          <cell r="F11">
            <v>4</v>
          </cell>
          <cell r="G11">
            <v>0.12</v>
          </cell>
          <cell r="I11">
            <v>0.05</v>
          </cell>
        </row>
        <row r="12">
          <cell r="A12" t="str">
            <v>electrolyzer</v>
          </cell>
          <cell r="B12" t="str">
            <v>ConventionalPlantOperator</v>
          </cell>
          <cell r="C12">
            <v>0</v>
          </cell>
          <cell r="D12">
            <v>0</v>
          </cell>
          <cell r="E12" t="b">
            <v>0</v>
          </cell>
          <cell r="F12">
            <v>0</v>
          </cell>
          <cell r="G12">
            <v>0</v>
          </cell>
          <cell r="I12">
            <v>7.0000000000000007E-2</v>
          </cell>
        </row>
        <row r="13">
          <cell r="A13" t="str">
            <v>central gas boiler</v>
          </cell>
          <cell r="B13" t="str">
            <v>ConventionalPlantOperator</v>
          </cell>
          <cell r="C13">
            <v>0</v>
          </cell>
          <cell r="D13">
            <v>0</v>
          </cell>
          <cell r="E13" t="b">
            <v>0</v>
          </cell>
          <cell r="F13">
            <v>0</v>
          </cell>
          <cell r="G13">
            <v>1</v>
          </cell>
          <cell r="H13" t="str">
            <v>natural_gas</v>
          </cell>
          <cell r="I13">
            <v>7.0000000000000007E-2</v>
          </cell>
        </row>
        <row r="14">
          <cell r="A14" t="str">
            <v>CCGT</v>
          </cell>
          <cell r="B14" t="str">
            <v>ConventionalPlantOperator</v>
          </cell>
          <cell r="C14">
            <v>1</v>
          </cell>
          <cell r="D14">
            <v>2</v>
          </cell>
          <cell r="E14" t="b">
            <v>0</v>
          </cell>
          <cell r="F14">
            <v>5</v>
          </cell>
          <cell r="G14">
            <v>1</v>
          </cell>
          <cell r="H14" t="str">
            <v>natural_gas</v>
          </cell>
          <cell r="I14">
            <v>7.0000000000000007E-2</v>
          </cell>
        </row>
        <row r="15">
          <cell r="A15" t="str">
            <v>CCS gas</v>
          </cell>
          <cell r="B15" t="str">
            <v>ConventionalPlantOperator</v>
          </cell>
          <cell r="C15">
            <v>1</v>
          </cell>
          <cell r="D15">
            <v>2</v>
          </cell>
          <cell r="E15" t="b">
            <v>0</v>
          </cell>
          <cell r="F15">
            <v>5</v>
          </cell>
          <cell r="G15">
            <v>1</v>
          </cell>
          <cell r="H15" t="str">
            <v>natural_gas</v>
          </cell>
          <cell r="I15">
            <v>7.0000000000000007E-2</v>
          </cell>
        </row>
        <row r="16">
          <cell r="A16" t="str">
            <v>Hard Coal</v>
          </cell>
          <cell r="B16" t="str">
            <v>ConventionalPlantOperator</v>
          </cell>
          <cell r="C16">
            <v>1</v>
          </cell>
          <cell r="D16">
            <v>4</v>
          </cell>
          <cell r="E16" t="b">
            <v>0</v>
          </cell>
          <cell r="F16">
            <v>10</v>
          </cell>
          <cell r="G16">
            <v>1</v>
          </cell>
          <cell r="H16" t="str">
            <v>hard_coal</v>
          </cell>
          <cell r="I16">
            <v>7.0000000000000007E-2</v>
          </cell>
        </row>
        <row r="17">
          <cell r="A17" t="str">
            <v>Hydro Reservoir</v>
          </cell>
          <cell r="B17" t="str">
            <v>VariableRenewableOperator</v>
          </cell>
          <cell r="C17">
            <v>5</v>
          </cell>
          <cell r="D17">
            <v>5</v>
          </cell>
          <cell r="E17" t="b">
            <v>0</v>
          </cell>
          <cell r="F17">
            <v>20</v>
          </cell>
          <cell r="G17">
            <v>0.9</v>
          </cell>
          <cell r="I17">
            <v>7.0000000000000007E-2</v>
          </cell>
        </row>
        <row r="18">
          <cell r="A18" t="str">
            <v>hydrogen CHP</v>
          </cell>
          <cell r="B18" t="str">
            <v>ConventionalPlantOperator</v>
          </cell>
          <cell r="C18">
            <v>2</v>
          </cell>
          <cell r="D18">
            <v>2</v>
          </cell>
          <cell r="E18" t="b">
            <v>0</v>
          </cell>
          <cell r="F18">
            <v>5</v>
          </cell>
          <cell r="G18">
            <v>1</v>
          </cell>
          <cell r="H18" t="str">
            <v>hydrogen</v>
          </cell>
          <cell r="I18">
            <v>7.0000000000000007E-2</v>
          </cell>
        </row>
        <row r="19">
          <cell r="A19" t="str">
            <v>Hydropower ROR</v>
          </cell>
          <cell r="B19" t="str">
            <v>VariableRenewableOperator</v>
          </cell>
          <cell r="C19">
            <v>5</v>
          </cell>
          <cell r="D19">
            <v>5</v>
          </cell>
          <cell r="E19" t="b">
            <v>0</v>
          </cell>
          <cell r="F19">
            <v>20</v>
          </cell>
          <cell r="G19">
            <v>0.41</v>
          </cell>
          <cell r="I19">
            <v>0.05</v>
          </cell>
        </row>
        <row r="20">
          <cell r="A20" t="str">
            <v>Lignite</v>
          </cell>
          <cell r="B20" t="str">
            <v>ConventionalPlantOperator</v>
          </cell>
          <cell r="C20">
            <v>1</v>
          </cell>
          <cell r="D20">
            <v>5</v>
          </cell>
          <cell r="E20" t="b">
            <v>0</v>
          </cell>
          <cell r="F20">
            <v>5</v>
          </cell>
          <cell r="G20">
            <v>1</v>
          </cell>
          <cell r="H20" t="str">
            <v>lignite</v>
          </cell>
          <cell r="I20">
            <v>7.0000000000000007E-2</v>
          </cell>
        </row>
        <row r="21">
          <cell r="A21" t="str">
            <v>OCGT</v>
          </cell>
          <cell r="B21" t="str">
            <v>ConventionalPlantOperator</v>
          </cell>
          <cell r="C21">
            <v>1</v>
          </cell>
          <cell r="D21">
            <v>2</v>
          </cell>
          <cell r="E21" t="b">
            <v>0</v>
          </cell>
          <cell r="F21">
            <v>5</v>
          </cell>
          <cell r="G21">
            <v>1</v>
          </cell>
          <cell r="H21" t="str">
            <v>natural_gas</v>
          </cell>
          <cell r="I21">
            <v>7.0000000000000007E-2</v>
          </cell>
        </row>
        <row r="22">
          <cell r="A22" t="str">
            <v>Oil</v>
          </cell>
          <cell r="B22" t="str">
            <v>ConventionalPlantOperator</v>
          </cell>
          <cell r="C22">
            <v>1</v>
          </cell>
          <cell r="D22">
            <v>1</v>
          </cell>
          <cell r="E22" t="b">
            <v>0</v>
          </cell>
          <cell r="F22">
            <v>5</v>
          </cell>
          <cell r="G22">
            <v>1</v>
          </cell>
          <cell r="H22" t="str">
            <v>oil</v>
          </cell>
          <cell r="I22">
            <v>7.0000000000000007E-2</v>
          </cell>
        </row>
        <row r="23">
          <cell r="A23" t="str">
            <v>PHS Discharge</v>
          </cell>
          <cell r="B23" t="str">
            <v>StorageTrader</v>
          </cell>
          <cell r="C23">
            <v>3</v>
          </cell>
          <cell r="D23">
            <v>4</v>
          </cell>
          <cell r="E23" t="b">
            <v>0</v>
          </cell>
          <cell r="F23">
            <v>20</v>
          </cell>
          <cell r="G23">
            <v>0.9</v>
          </cell>
          <cell r="I23">
            <v>0.05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0EBA3-A754-4E2E-8255-86BE883EA028}">
  <dimension ref="A1:F11"/>
  <sheetViews>
    <sheetView zoomScaleNormal="100" workbookViewId="0">
      <selection activeCell="E24" sqref="E24"/>
    </sheetView>
  </sheetViews>
  <sheetFormatPr defaultColWidth="8.7109375" defaultRowHeight="15" x14ac:dyDescent="0.25"/>
  <cols>
    <col min="1" max="1" width="13.42578125" style="1" customWidth="1"/>
    <col min="2" max="2" width="23.28515625" style="1" customWidth="1"/>
    <col min="3" max="3" width="56.85546875" style="1" customWidth="1"/>
    <col min="4" max="4" width="27.5703125" style="1" customWidth="1"/>
    <col min="5" max="5" width="61.7109375" style="1" customWidth="1"/>
    <col min="6" max="6" width="28.28515625" style="1" customWidth="1"/>
    <col min="7" max="7" width="8.7109375" style="1"/>
    <col min="8" max="8" width="17.42578125" style="1" customWidth="1"/>
    <col min="9" max="16384" width="8.7109375" style="1"/>
  </cols>
  <sheetData>
    <row r="1" spans="1:6" ht="31.5" customHeight="1" x14ac:dyDescent="0.25">
      <c r="A1" s="32" t="s">
        <v>139</v>
      </c>
      <c r="B1" s="32"/>
      <c r="C1" s="32"/>
      <c r="D1" s="32"/>
      <c r="E1" s="32"/>
      <c r="F1" s="32"/>
    </row>
    <row r="2" spans="1:6" ht="45.6" customHeight="1" x14ac:dyDescent="0.25">
      <c r="A2" s="1" t="s">
        <v>28</v>
      </c>
      <c r="B2" s="1" t="s">
        <v>38</v>
      </c>
      <c r="C2" s="1" t="s">
        <v>25</v>
      </c>
      <c r="D2" s="1" t="s">
        <v>32</v>
      </c>
      <c r="E2" s="1" t="s">
        <v>24</v>
      </c>
      <c r="F2" s="1" t="s">
        <v>33</v>
      </c>
    </row>
    <row r="3" spans="1:6" x14ac:dyDescent="0.25">
      <c r="A3" s="1" t="s">
        <v>30</v>
      </c>
      <c r="B3" s="1" t="s">
        <v>39</v>
      </c>
      <c r="C3" s="1" t="s">
        <v>27</v>
      </c>
      <c r="D3" s="1" t="s">
        <v>20</v>
      </c>
      <c r="E3" s="1" t="s">
        <v>22</v>
      </c>
      <c r="F3" s="1" t="s">
        <v>42</v>
      </c>
    </row>
    <row r="4" spans="1:6" x14ac:dyDescent="0.25">
      <c r="A4" s="1" t="s">
        <v>30</v>
      </c>
      <c r="B4" s="1" t="s">
        <v>39</v>
      </c>
      <c r="C4" s="1" t="s">
        <v>27</v>
      </c>
      <c r="D4" s="4" t="s">
        <v>55</v>
      </c>
      <c r="E4" s="1" t="s">
        <v>23</v>
      </c>
      <c r="F4" s="1" t="s">
        <v>40</v>
      </c>
    </row>
    <row r="5" spans="1:6" x14ac:dyDescent="0.25">
      <c r="A5" s="1" t="s">
        <v>30</v>
      </c>
      <c r="B5" s="1" t="s">
        <v>39</v>
      </c>
      <c r="C5" s="1" t="s">
        <v>27</v>
      </c>
      <c r="D5" s="1" t="s">
        <v>21</v>
      </c>
      <c r="F5" s="1" t="s">
        <v>41</v>
      </c>
    </row>
    <row r="6" spans="1:6" ht="30" x14ac:dyDescent="0.25">
      <c r="A6" s="1" t="s">
        <v>30</v>
      </c>
      <c r="B6" s="1" t="s">
        <v>39</v>
      </c>
      <c r="C6" s="1" t="s">
        <v>27</v>
      </c>
      <c r="D6" s="4" t="s">
        <v>19</v>
      </c>
      <c r="E6" s="1" t="s">
        <v>140</v>
      </c>
      <c r="F6" s="1" t="s">
        <v>34</v>
      </c>
    </row>
    <row r="7" spans="1:6" x14ac:dyDescent="0.25">
      <c r="A7" s="1" t="s">
        <v>29</v>
      </c>
      <c r="B7" s="1" t="s">
        <v>39</v>
      </c>
      <c r="C7" s="1" t="s">
        <v>27</v>
      </c>
      <c r="D7" s="1" t="s">
        <v>21</v>
      </c>
      <c r="E7" s="1" t="s">
        <v>107</v>
      </c>
      <c r="F7" s="1" t="s">
        <v>41</v>
      </c>
    </row>
    <row r="8" spans="1:6" ht="30" x14ac:dyDescent="0.25">
      <c r="A8" s="1" t="s">
        <v>29</v>
      </c>
      <c r="B8" s="1" t="s">
        <v>39</v>
      </c>
      <c r="C8" s="1" t="s">
        <v>27</v>
      </c>
      <c r="D8" s="1" t="s">
        <v>31</v>
      </c>
      <c r="E8" s="1" t="s">
        <v>53</v>
      </c>
      <c r="F8" s="1" t="s">
        <v>40</v>
      </c>
    </row>
    <row r="9" spans="1:6" ht="30" customHeight="1" x14ac:dyDescent="0.25">
      <c r="A9" s="1" t="s">
        <v>29</v>
      </c>
      <c r="B9" s="1" t="s">
        <v>138</v>
      </c>
      <c r="C9" s="1" t="s">
        <v>27</v>
      </c>
      <c r="D9" s="4" t="s">
        <v>50</v>
      </c>
      <c r="E9" s="1" t="s">
        <v>66</v>
      </c>
    </row>
    <row r="10" spans="1:6" ht="45" x14ac:dyDescent="0.25">
      <c r="A10" s="1" t="s">
        <v>29</v>
      </c>
      <c r="B10" s="1" t="s">
        <v>39</v>
      </c>
      <c r="C10" s="1" t="s">
        <v>26</v>
      </c>
      <c r="D10" s="1" t="s">
        <v>45</v>
      </c>
      <c r="E10" s="1" t="s">
        <v>51</v>
      </c>
      <c r="F10" s="1" t="s">
        <v>47</v>
      </c>
    </row>
    <row r="11" spans="1:6" ht="30" x14ac:dyDescent="0.25">
      <c r="A11" s="1" t="s">
        <v>29</v>
      </c>
      <c r="B11" s="1" t="s">
        <v>39</v>
      </c>
      <c r="C11" s="1" t="s">
        <v>26</v>
      </c>
      <c r="D11" s="1" t="s">
        <v>46</v>
      </c>
      <c r="E11" s="1" t="s">
        <v>52</v>
      </c>
      <c r="F11" s="1" t="s">
        <v>47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486B-8D86-426D-B3C8-6DDE3231BED1}">
  <dimension ref="A1:E5"/>
  <sheetViews>
    <sheetView zoomScale="78" zoomScaleNormal="78" workbookViewId="0">
      <selection activeCell="C31" sqref="C31"/>
    </sheetView>
  </sheetViews>
  <sheetFormatPr defaultRowHeight="15" x14ac:dyDescent="0.25"/>
  <cols>
    <col min="2" max="2" width="27.85546875" customWidth="1"/>
    <col min="3" max="3" width="57.42578125" style="1" customWidth="1"/>
    <col min="4" max="4" width="61.85546875" customWidth="1"/>
    <col min="5" max="5" width="45.42578125" customWidth="1"/>
  </cols>
  <sheetData>
    <row r="1" spans="1:5" ht="75" x14ac:dyDescent="0.25">
      <c r="A1" s="1" t="s">
        <v>38</v>
      </c>
      <c r="C1" s="1" t="s">
        <v>24</v>
      </c>
      <c r="D1" t="s">
        <v>33</v>
      </c>
      <c r="E1" t="s">
        <v>127</v>
      </c>
    </row>
    <row r="2" spans="1:5" ht="67.5" customHeight="1" x14ac:dyDescent="0.25">
      <c r="A2" t="s">
        <v>39</v>
      </c>
      <c r="B2" t="s">
        <v>36</v>
      </c>
      <c r="C2" s="1" t="s">
        <v>126</v>
      </c>
      <c r="D2" t="s">
        <v>35</v>
      </c>
      <c r="E2" s="2" t="s">
        <v>128</v>
      </c>
    </row>
    <row r="3" spans="1:5" x14ac:dyDescent="0.25">
      <c r="A3" t="s">
        <v>39</v>
      </c>
      <c r="B3" t="s">
        <v>37</v>
      </c>
      <c r="C3" s="1" t="s">
        <v>54</v>
      </c>
      <c r="D3" t="s">
        <v>125</v>
      </c>
      <c r="E3" s="2" t="s">
        <v>129</v>
      </c>
    </row>
    <row r="4" spans="1:5" x14ac:dyDescent="0.25">
      <c r="A4" t="s">
        <v>39</v>
      </c>
      <c r="C4" s="1" t="s">
        <v>63</v>
      </c>
      <c r="D4" t="s">
        <v>43</v>
      </c>
    </row>
    <row r="5" spans="1:5" ht="39.6" customHeight="1" x14ac:dyDescent="0.25">
      <c r="A5" t="s">
        <v>39</v>
      </c>
      <c r="C5" s="1" t="s">
        <v>64</v>
      </c>
      <c r="D5" s="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0C52-1913-4575-B131-F635606AE03F}">
  <dimension ref="A1:D5"/>
  <sheetViews>
    <sheetView workbookViewId="0">
      <selection activeCell="C12" sqref="C12"/>
    </sheetView>
  </sheetViews>
  <sheetFormatPr defaultColWidth="8.7109375" defaultRowHeight="15" x14ac:dyDescent="0.25"/>
  <cols>
    <col min="1" max="2" width="22.140625" style="1" customWidth="1"/>
    <col min="3" max="3" width="76.7109375" style="1" customWidth="1"/>
    <col min="4" max="4" width="22.140625" style="1" customWidth="1"/>
    <col min="5" max="16384" width="8.7109375" style="1"/>
  </cols>
  <sheetData>
    <row r="1" spans="1:4" ht="30" x14ac:dyDescent="0.25">
      <c r="A1" s="1" t="s">
        <v>38</v>
      </c>
      <c r="C1" s="1" t="s">
        <v>24</v>
      </c>
      <c r="D1" s="1" t="s">
        <v>33</v>
      </c>
    </row>
    <row r="2" spans="1:4" ht="45" x14ac:dyDescent="0.25">
      <c r="A2" s="1" t="s">
        <v>39</v>
      </c>
      <c r="B2" s="1" t="s">
        <v>36</v>
      </c>
      <c r="C2" s="1" t="s">
        <v>130</v>
      </c>
      <c r="D2" s="1" t="s">
        <v>35</v>
      </c>
    </row>
    <row r="3" spans="1:4" ht="60" x14ac:dyDescent="0.25">
      <c r="A3" s="1" t="s">
        <v>39</v>
      </c>
      <c r="B3" s="1" t="s">
        <v>37</v>
      </c>
      <c r="C3" s="1" t="s">
        <v>122</v>
      </c>
      <c r="D3" s="1" t="s">
        <v>123</v>
      </c>
    </row>
    <row r="4" spans="1:4" x14ac:dyDescent="0.25">
      <c r="A4" s="1" t="s">
        <v>39</v>
      </c>
      <c r="C4" s="1" t="s">
        <v>65</v>
      </c>
      <c r="D4" s="1" t="s">
        <v>43</v>
      </c>
    </row>
    <row r="5" spans="1:4" ht="90" x14ac:dyDescent="0.25">
      <c r="A5" s="1" t="s">
        <v>39</v>
      </c>
      <c r="C5" s="1" t="s">
        <v>124</v>
      </c>
      <c r="D5" s="1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F717-6A75-432A-822B-7605DAF1775E}">
  <dimension ref="A1:E8"/>
  <sheetViews>
    <sheetView workbookViewId="0">
      <selection activeCell="D8" sqref="D8"/>
    </sheetView>
  </sheetViews>
  <sheetFormatPr defaultRowHeight="15" x14ac:dyDescent="0.25"/>
  <cols>
    <col min="1" max="1" width="13.42578125" customWidth="1"/>
    <col min="2" max="2" width="20.42578125" customWidth="1"/>
    <col min="3" max="3" width="16" customWidth="1"/>
    <col min="4" max="4" width="80.140625" customWidth="1"/>
    <col min="5" max="5" width="18.7109375" customWidth="1"/>
  </cols>
  <sheetData>
    <row r="1" spans="1:5" ht="45" x14ac:dyDescent="0.25">
      <c r="A1" s="1" t="s">
        <v>38</v>
      </c>
      <c r="C1" t="s">
        <v>60</v>
      </c>
      <c r="D1" s="1" t="s">
        <v>24</v>
      </c>
      <c r="E1" t="s">
        <v>100</v>
      </c>
    </row>
    <row r="2" spans="1:5" ht="51.6" customHeight="1" x14ac:dyDescent="0.25">
      <c r="A2" t="s">
        <v>39</v>
      </c>
      <c r="B2" t="s">
        <v>19</v>
      </c>
      <c r="D2" s="1" t="s">
        <v>49</v>
      </c>
      <c r="E2" s="2" t="s">
        <v>48</v>
      </c>
    </row>
    <row r="3" spans="1:5" x14ac:dyDescent="0.25">
      <c r="C3" t="s">
        <v>101</v>
      </c>
    </row>
    <row r="4" spans="1:5" x14ac:dyDescent="0.25">
      <c r="C4" t="s">
        <v>102</v>
      </c>
    </row>
    <row r="5" spans="1:5" x14ac:dyDescent="0.25">
      <c r="C5" t="s">
        <v>103</v>
      </c>
    </row>
    <row r="6" spans="1:5" x14ac:dyDescent="0.25">
      <c r="C6" t="s">
        <v>104</v>
      </c>
    </row>
    <row r="7" spans="1:5" x14ac:dyDescent="0.25">
      <c r="C7" t="s">
        <v>106</v>
      </c>
    </row>
    <row r="8" spans="1:5" x14ac:dyDescent="0.25">
      <c r="C8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DC10-1ADB-4694-A77C-AC6F567EDBAF}">
  <dimension ref="A1:F47"/>
  <sheetViews>
    <sheetView topLeftCell="A14" zoomScale="77" zoomScaleNormal="77" workbookViewId="0">
      <selection activeCell="F21" sqref="F21"/>
    </sheetView>
  </sheetViews>
  <sheetFormatPr defaultRowHeight="15" x14ac:dyDescent="0.25"/>
  <cols>
    <col min="1" max="1" width="8.7109375" customWidth="1"/>
    <col min="2" max="2" width="33.7109375" customWidth="1"/>
    <col min="3" max="3" width="33.85546875" customWidth="1"/>
    <col min="4" max="4" width="45.28515625" customWidth="1"/>
    <col min="5" max="5" width="19.5703125" customWidth="1"/>
    <col min="6" max="6" width="33.140625" customWidth="1"/>
  </cols>
  <sheetData>
    <row r="1" spans="1:6" ht="75" x14ac:dyDescent="0.25">
      <c r="A1" s="1" t="s">
        <v>38</v>
      </c>
      <c r="B1" t="s">
        <v>59</v>
      </c>
      <c r="C1" t="s">
        <v>60</v>
      </c>
      <c r="D1" s="1" t="s">
        <v>24</v>
      </c>
      <c r="E1" s="1" t="s">
        <v>33</v>
      </c>
      <c r="F1" s="1" t="s">
        <v>100</v>
      </c>
    </row>
    <row r="2" spans="1:6" x14ac:dyDescent="0.25">
      <c r="A2" t="s">
        <v>39</v>
      </c>
      <c r="B2" t="s">
        <v>3</v>
      </c>
      <c r="C2" t="s">
        <v>86</v>
      </c>
      <c r="E2" t="s">
        <v>42</v>
      </c>
    </row>
    <row r="3" spans="1:6" x14ac:dyDescent="0.25">
      <c r="C3" t="s">
        <v>87</v>
      </c>
      <c r="E3" t="s">
        <v>92</v>
      </c>
    </row>
    <row r="4" spans="1:6" x14ac:dyDescent="0.25">
      <c r="C4" t="s">
        <v>10</v>
      </c>
    </row>
    <row r="6" spans="1:6" x14ac:dyDescent="0.25">
      <c r="A6" t="s">
        <v>39</v>
      </c>
      <c r="B6" t="s">
        <v>5</v>
      </c>
      <c r="D6" t="s">
        <v>94</v>
      </c>
      <c r="F6" t="s">
        <v>132</v>
      </c>
    </row>
    <row r="7" spans="1:6" x14ac:dyDescent="0.25">
      <c r="A7" t="s">
        <v>39</v>
      </c>
      <c r="B7" t="s">
        <v>95</v>
      </c>
      <c r="D7" t="s">
        <v>96</v>
      </c>
      <c r="F7" t="s">
        <v>132</v>
      </c>
    </row>
    <row r="8" spans="1:6" x14ac:dyDescent="0.25">
      <c r="A8" t="s">
        <v>39</v>
      </c>
      <c r="B8" t="s">
        <v>98</v>
      </c>
      <c r="D8" t="s">
        <v>99</v>
      </c>
      <c r="F8" t="s">
        <v>132</v>
      </c>
    </row>
    <row r="9" spans="1:6" x14ac:dyDescent="0.25">
      <c r="A9" t="s">
        <v>39</v>
      </c>
      <c r="B9" t="s">
        <v>4</v>
      </c>
      <c r="D9" t="s">
        <v>97</v>
      </c>
      <c r="F9" t="s">
        <v>132</v>
      </c>
    </row>
    <row r="10" spans="1:6" x14ac:dyDescent="0.25">
      <c r="B10" t="s">
        <v>57</v>
      </c>
    </row>
    <row r="11" spans="1:6" x14ac:dyDescent="0.25">
      <c r="C11" t="s">
        <v>6</v>
      </c>
      <c r="E11" t="s">
        <v>92</v>
      </c>
    </row>
    <row r="12" spans="1:6" x14ac:dyDescent="0.25">
      <c r="C12" t="s">
        <v>7</v>
      </c>
      <c r="E12" t="s">
        <v>92</v>
      </c>
    </row>
    <row r="13" spans="1:6" x14ac:dyDescent="0.25">
      <c r="C13" t="s">
        <v>8</v>
      </c>
      <c r="E13" t="s">
        <v>92</v>
      </c>
    </row>
    <row r="14" spans="1:6" x14ac:dyDescent="0.25">
      <c r="C14" t="s">
        <v>9</v>
      </c>
      <c r="E14" t="s">
        <v>92</v>
      </c>
    </row>
    <row r="15" spans="1:6" x14ac:dyDescent="0.25">
      <c r="B15" t="s">
        <v>56</v>
      </c>
    </row>
    <row r="16" spans="1:6" x14ac:dyDescent="0.25">
      <c r="C16" t="s">
        <v>11</v>
      </c>
      <c r="E16" t="s">
        <v>92</v>
      </c>
    </row>
    <row r="17" spans="2:5" x14ac:dyDescent="0.25">
      <c r="C17" t="s">
        <v>12</v>
      </c>
      <c r="E17" t="s">
        <v>92</v>
      </c>
    </row>
    <row r="18" spans="2:5" x14ac:dyDescent="0.25">
      <c r="C18" t="s">
        <v>13</v>
      </c>
      <c r="E18" t="s">
        <v>92</v>
      </c>
    </row>
    <row r="19" spans="2:5" x14ac:dyDescent="0.25">
      <c r="B19" t="s">
        <v>0</v>
      </c>
    </row>
    <row r="20" spans="2:5" x14ac:dyDescent="0.25">
      <c r="C20" t="s">
        <v>14</v>
      </c>
      <c r="D20" t="s">
        <v>93</v>
      </c>
      <c r="E20" t="s">
        <v>92</v>
      </c>
    </row>
    <row r="22" spans="2:5" x14ac:dyDescent="0.25">
      <c r="B22" t="s">
        <v>61</v>
      </c>
      <c r="D22" t="s">
        <v>62</v>
      </c>
    </row>
    <row r="23" spans="2:5" x14ac:dyDescent="0.25">
      <c r="B23" t="s">
        <v>58</v>
      </c>
      <c r="D23" t="s">
        <v>67</v>
      </c>
    </row>
    <row r="25" spans="2:5" x14ac:dyDescent="0.25">
      <c r="B25" t="s">
        <v>68</v>
      </c>
      <c r="D25" t="s">
        <v>18</v>
      </c>
    </row>
    <row r="26" spans="2:5" x14ac:dyDescent="0.25">
      <c r="C26" t="s">
        <v>16</v>
      </c>
      <c r="E26" t="s">
        <v>41</v>
      </c>
    </row>
    <row r="27" spans="2:5" x14ac:dyDescent="0.25">
      <c r="C27" t="s">
        <v>17</v>
      </c>
      <c r="E27" t="s">
        <v>41</v>
      </c>
    </row>
    <row r="28" spans="2:5" x14ac:dyDescent="0.25">
      <c r="C28" t="s">
        <v>69</v>
      </c>
      <c r="E28" t="s">
        <v>41</v>
      </c>
    </row>
    <row r="29" spans="2:5" x14ac:dyDescent="0.25">
      <c r="C29" t="s">
        <v>70</v>
      </c>
      <c r="E29" t="s">
        <v>41</v>
      </c>
    </row>
    <row r="30" spans="2:5" x14ac:dyDescent="0.25">
      <c r="C30" t="s">
        <v>71</v>
      </c>
      <c r="E30" t="s">
        <v>75</v>
      </c>
    </row>
    <row r="31" spans="2:5" x14ac:dyDescent="0.25">
      <c r="C31" t="s">
        <v>72</v>
      </c>
      <c r="D31" t="s">
        <v>74</v>
      </c>
      <c r="E31" t="s">
        <v>42</v>
      </c>
    </row>
    <row r="32" spans="2:5" x14ac:dyDescent="0.25">
      <c r="C32" t="s">
        <v>73</v>
      </c>
      <c r="E32" t="s">
        <v>42</v>
      </c>
    </row>
    <row r="33" spans="2:5" x14ac:dyDescent="0.25">
      <c r="C33" t="s">
        <v>77</v>
      </c>
      <c r="D33" t="s">
        <v>78</v>
      </c>
      <c r="E33" t="s">
        <v>42</v>
      </c>
    </row>
    <row r="34" spans="2:5" x14ac:dyDescent="0.25">
      <c r="C34" t="s">
        <v>15</v>
      </c>
      <c r="D34" t="s">
        <v>76</v>
      </c>
      <c r="E34" t="s">
        <v>42</v>
      </c>
    </row>
    <row r="35" spans="2:5" x14ac:dyDescent="0.25">
      <c r="B35" t="s">
        <v>1</v>
      </c>
      <c r="D35" t="s">
        <v>137</v>
      </c>
    </row>
    <row r="36" spans="2:5" x14ac:dyDescent="0.25">
      <c r="C36" t="s">
        <v>79</v>
      </c>
      <c r="E36" t="s">
        <v>42</v>
      </c>
    </row>
    <row r="37" spans="2:5" x14ac:dyDescent="0.25">
      <c r="C37" t="s">
        <v>80</v>
      </c>
      <c r="E37" t="s">
        <v>42</v>
      </c>
    </row>
    <row r="38" spans="2:5" x14ac:dyDescent="0.25">
      <c r="C38" t="s">
        <v>81</v>
      </c>
      <c r="E38" t="s">
        <v>42</v>
      </c>
    </row>
    <row r="39" spans="2:5" x14ac:dyDescent="0.25">
      <c r="C39" t="s">
        <v>82</v>
      </c>
      <c r="E39" t="s">
        <v>42</v>
      </c>
    </row>
    <row r="40" spans="2:5" x14ac:dyDescent="0.25">
      <c r="C40" t="s">
        <v>83</v>
      </c>
      <c r="E40" t="s">
        <v>42</v>
      </c>
    </row>
    <row r="41" spans="2:5" x14ac:dyDescent="0.25">
      <c r="C41" t="s">
        <v>84</v>
      </c>
      <c r="E41" t="s">
        <v>42</v>
      </c>
    </row>
    <row r="42" spans="2:5" x14ac:dyDescent="0.25">
      <c r="C42" t="s">
        <v>85</v>
      </c>
      <c r="E42" t="s">
        <v>42</v>
      </c>
    </row>
    <row r="43" spans="2:5" x14ac:dyDescent="0.25">
      <c r="B43" t="s">
        <v>2</v>
      </c>
      <c r="C43" t="s">
        <v>88</v>
      </c>
      <c r="D43" t="s">
        <v>136</v>
      </c>
      <c r="E43" t="s">
        <v>92</v>
      </c>
    </row>
    <row r="44" spans="2:5" x14ac:dyDescent="0.25">
      <c r="C44" t="s">
        <v>89</v>
      </c>
      <c r="E44" t="s">
        <v>92</v>
      </c>
    </row>
    <row r="45" spans="2:5" x14ac:dyDescent="0.25">
      <c r="C45" t="s">
        <v>90</v>
      </c>
      <c r="E45" t="s">
        <v>92</v>
      </c>
    </row>
    <row r="46" spans="2:5" x14ac:dyDescent="0.25">
      <c r="C46" t="s">
        <v>91</v>
      </c>
      <c r="E46" t="s">
        <v>92</v>
      </c>
    </row>
    <row r="47" spans="2:5" x14ac:dyDescent="0.25">
      <c r="B47" t="s">
        <v>133</v>
      </c>
      <c r="C47" s="3" t="s">
        <v>134</v>
      </c>
      <c r="E47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8335-889B-4951-AA11-710FF5018BD1}">
  <dimension ref="A1:F17"/>
  <sheetViews>
    <sheetView workbookViewId="0">
      <selection activeCell="G19" sqref="G19"/>
    </sheetView>
  </sheetViews>
  <sheetFormatPr defaultRowHeight="15" x14ac:dyDescent="0.25"/>
  <cols>
    <col min="1" max="1" width="15.140625" customWidth="1"/>
    <col min="2" max="2" width="17.140625" customWidth="1"/>
    <col min="3" max="3" width="29.42578125" customWidth="1"/>
    <col min="4" max="4" width="42.42578125" customWidth="1"/>
    <col min="5" max="5" width="17.28515625" customWidth="1"/>
    <col min="6" max="6" width="23.42578125" customWidth="1"/>
  </cols>
  <sheetData>
    <row r="1" spans="1:6" ht="48.6" customHeight="1" x14ac:dyDescent="0.25">
      <c r="A1" s="1" t="s">
        <v>38</v>
      </c>
      <c r="B1" t="s">
        <v>59</v>
      </c>
      <c r="C1" t="s">
        <v>60</v>
      </c>
      <c r="D1" s="1" t="s">
        <v>24</v>
      </c>
      <c r="E1" s="1" t="s">
        <v>33</v>
      </c>
      <c r="F1" s="1" t="s">
        <v>127</v>
      </c>
    </row>
    <row r="2" spans="1:6" x14ac:dyDescent="0.25">
      <c r="B2" t="s">
        <v>121</v>
      </c>
      <c r="D2" t="s">
        <v>110</v>
      </c>
    </row>
    <row r="3" spans="1:6" x14ac:dyDescent="0.25">
      <c r="C3" t="s">
        <v>108</v>
      </c>
      <c r="E3" t="s">
        <v>42</v>
      </c>
    </row>
    <row r="4" spans="1:6" x14ac:dyDescent="0.25">
      <c r="C4" t="s">
        <v>109</v>
      </c>
      <c r="E4" t="s">
        <v>120</v>
      </c>
    </row>
    <row r="5" spans="1:6" ht="30.6" customHeight="1" x14ac:dyDescent="0.25">
      <c r="D5" s="1"/>
    </row>
    <row r="6" spans="1:6" x14ac:dyDescent="0.25">
      <c r="B6" t="s">
        <v>142</v>
      </c>
      <c r="C6" t="s">
        <v>114</v>
      </c>
      <c r="D6" s="33" t="s">
        <v>131</v>
      </c>
      <c r="E6" t="s">
        <v>120</v>
      </c>
    </row>
    <row r="7" spans="1:6" x14ac:dyDescent="0.25">
      <c r="C7" t="s">
        <v>115</v>
      </c>
      <c r="D7" s="33"/>
      <c r="E7" t="s">
        <v>120</v>
      </c>
    </row>
    <row r="8" spans="1:6" x14ac:dyDescent="0.25">
      <c r="C8" t="s">
        <v>116</v>
      </c>
      <c r="D8" s="33"/>
      <c r="E8" t="s">
        <v>120</v>
      </c>
    </row>
    <row r="9" spans="1:6" x14ac:dyDescent="0.25">
      <c r="C9" t="s">
        <v>117</v>
      </c>
      <c r="D9" s="33"/>
      <c r="E9" t="s">
        <v>120</v>
      </c>
    </row>
    <row r="10" spans="1:6" x14ac:dyDescent="0.25">
      <c r="C10" t="s">
        <v>118</v>
      </c>
      <c r="D10" s="33"/>
      <c r="E10" t="s">
        <v>120</v>
      </c>
    </row>
    <row r="11" spans="1:6" x14ac:dyDescent="0.25">
      <c r="C11" t="s">
        <v>119</v>
      </c>
      <c r="D11" s="33"/>
      <c r="E11" t="s">
        <v>120</v>
      </c>
    </row>
    <row r="13" spans="1:6" x14ac:dyDescent="0.25">
      <c r="B13" t="s">
        <v>141</v>
      </c>
      <c r="D13" t="s">
        <v>111</v>
      </c>
    </row>
    <row r="14" spans="1:6" x14ac:dyDescent="0.25">
      <c r="C14" t="s">
        <v>108</v>
      </c>
    </row>
    <row r="15" spans="1:6" x14ac:dyDescent="0.25">
      <c r="C15" t="s">
        <v>112</v>
      </c>
      <c r="E15" t="s">
        <v>120</v>
      </c>
    </row>
    <row r="17" spans="2:3" x14ac:dyDescent="0.25">
      <c r="B17" t="s">
        <v>143</v>
      </c>
      <c r="C17" t="s">
        <v>113</v>
      </c>
    </row>
  </sheetData>
  <mergeCells count="1">
    <mergeCell ref="D6:D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7DA7-3C2C-45D0-9AF0-6FFA33519AD9}">
  <dimension ref="A1:R54"/>
  <sheetViews>
    <sheetView tabSelected="1" zoomScale="70" zoomScaleNormal="70" workbookViewId="0">
      <selection activeCell="L21" sqref="L21"/>
    </sheetView>
  </sheetViews>
  <sheetFormatPr defaultRowHeight="15" x14ac:dyDescent="0.25"/>
  <cols>
    <col min="1" max="1" width="23.5703125" customWidth="1"/>
    <col min="2" max="2" width="16.42578125" customWidth="1"/>
    <col min="3" max="3" width="11" bestFit="1" customWidth="1"/>
    <col min="4" max="4" width="11.140625" customWidth="1"/>
    <col min="5" max="6" width="9.28515625" bestFit="1" customWidth="1"/>
    <col min="7" max="7" width="11.85546875" customWidth="1"/>
    <col min="8" max="8" width="13.140625" customWidth="1"/>
    <col min="9" max="9" width="9.28515625" bestFit="1" customWidth="1"/>
    <col min="10" max="10" width="9.28515625" customWidth="1"/>
  </cols>
  <sheetData>
    <row r="1" spans="1:18" ht="44.25" customHeight="1" x14ac:dyDescent="0.25">
      <c r="A1" s="25"/>
      <c r="B1" s="25" t="s">
        <v>190</v>
      </c>
      <c r="C1" s="25" t="s">
        <v>179</v>
      </c>
      <c r="D1" s="25" t="s">
        <v>180</v>
      </c>
      <c r="E1" s="26" t="s">
        <v>104</v>
      </c>
      <c r="F1" s="26" t="s">
        <v>191</v>
      </c>
      <c r="G1" s="26" t="s">
        <v>192</v>
      </c>
      <c r="H1" s="26" t="s">
        <v>181</v>
      </c>
      <c r="I1" s="26" t="s">
        <v>172</v>
      </c>
      <c r="J1" s="26" t="s">
        <v>183</v>
      </c>
      <c r="Q1" s="28"/>
      <c r="R1" s="26" t="s">
        <v>104</v>
      </c>
    </row>
    <row r="2" spans="1:18" x14ac:dyDescent="0.25">
      <c r="A2" s="17"/>
      <c r="B2" s="17" t="s">
        <v>173</v>
      </c>
      <c r="C2" s="17" t="s">
        <v>173</v>
      </c>
      <c r="D2" s="17" t="s">
        <v>182</v>
      </c>
      <c r="E2" s="18" t="s">
        <v>177</v>
      </c>
      <c r="F2" s="18" t="s">
        <v>177</v>
      </c>
      <c r="G2" s="18" t="s">
        <v>177</v>
      </c>
      <c r="H2" s="18"/>
      <c r="I2" s="18" t="s">
        <v>178</v>
      </c>
      <c r="J2" s="17" t="s">
        <v>184</v>
      </c>
      <c r="R2" s="18" t="s">
        <v>177</v>
      </c>
    </row>
    <row r="3" spans="1:18" x14ac:dyDescent="0.25">
      <c r="A3" s="17" t="s">
        <v>144</v>
      </c>
      <c r="B3" s="19">
        <v>2400000</v>
      </c>
      <c r="C3" s="17">
        <f>VLOOKUP(A3,[1]fixedCosts!$A$1:$B$23,2,0)</f>
        <v>61676</v>
      </c>
      <c r="D3" s="20">
        <f>VLOOKUP($A3,[1]techspecs!$A$1:$G$23,2,0)</f>
        <v>2.6</v>
      </c>
      <c r="E3" s="17">
        <f>R3*100</f>
        <v>30.9</v>
      </c>
      <c r="F3" s="20">
        <f>VLOOKUP($A3,[1]techspecs!$A$1:$G$23,4,0)</f>
        <v>0</v>
      </c>
      <c r="G3" s="20">
        <f>VLOOKUP($A3,[1]techspecs!$A$1:$G$23,6,0)</f>
        <v>0</v>
      </c>
      <c r="H3" s="20">
        <f>VLOOKUP($A3,[1]techspecs!$A$1:$G$23,5,0)</f>
        <v>0</v>
      </c>
      <c r="I3" s="17">
        <f>VLOOKUP($A3,[1]techspecs!$A$1:$G$23,7,0)</f>
        <v>25</v>
      </c>
      <c r="J3" s="17">
        <f>VLOOKUP(A3,[1]NL!$A$1:$B$7,2,0)</f>
        <v>12040</v>
      </c>
      <c r="R3" s="20">
        <f>VLOOKUP($A3,[1]techspecs!$A$1:$G$23,3,0)</f>
        <v>0.309</v>
      </c>
    </row>
    <row r="4" spans="1:18" x14ac:dyDescent="0.25">
      <c r="A4" s="17" t="s">
        <v>150</v>
      </c>
      <c r="B4" s="17">
        <v>435982.81438000005</v>
      </c>
      <c r="C4" s="17">
        <f>VLOOKUP(A4,[1]fixedCosts!$A$1:$B$23,2,0)</f>
        <v>7892.9478017180809</v>
      </c>
      <c r="D4" s="20">
        <f>VLOOKUP($A4,[1]techspecs!$A$1:$G$23,2,0)</f>
        <v>4.79</v>
      </c>
      <c r="E4" s="17">
        <f>R4*100</f>
        <v>43</v>
      </c>
      <c r="F4" s="20">
        <f>VLOOKUP($A4,[1]techspecs!$A$1:$G$23,4,0)</f>
        <v>0</v>
      </c>
      <c r="G4" s="20">
        <f>VLOOKUP($A4,[1]techspecs!$A$1:$G$23,6,0)</f>
        <v>0</v>
      </c>
      <c r="H4" s="20">
        <f>VLOOKUP($A4,[1]techspecs!$A$1:$G$23,5,0)</f>
        <v>0</v>
      </c>
      <c r="I4" s="17">
        <f>VLOOKUP($A4,[1]techspecs!$A$1:$G$23,7,0)</f>
        <v>25</v>
      </c>
      <c r="J4" s="17" t="s">
        <v>42</v>
      </c>
      <c r="R4" s="20">
        <f>VLOOKUP($A4,[1]techspecs!$A$1:$G$23,3,0)</f>
        <v>0.43</v>
      </c>
    </row>
    <row r="5" spans="1:18" x14ac:dyDescent="0.25">
      <c r="A5" s="17" t="s">
        <v>151</v>
      </c>
      <c r="B5" s="17">
        <v>850698.174</v>
      </c>
      <c r="C5" s="17">
        <f>VLOOKUP(A5,[1]fixedCosts!$A$1:$B$23,2,0)</f>
        <v>27647</v>
      </c>
      <c r="D5" s="20">
        <f>VLOOKUP($A5,[1]techspecs!$A$1:$G$23,2,0)</f>
        <v>4.24</v>
      </c>
      <c r="E5" s="17">
        <f>R5*100</f>
        <v>60</v>
      </c>
      <c r="F5" s="20">
        <f>VLOOKUP($A5,[1]techspecs!$A$1:$G$23,4,0)</f>
        <v>0</v>
      </c>
      <c r="G5" s="20">
        <f>VLOOKUP($A5,[1]techspecs!$A$1:$G$23,6,0)</f>
        <v>0</v>
      </c>
      <c r="H5" s="20">
        <f>VLOOKUP($A5,[1]techspecs!$A$1:$G$23,5,0)</f>
        <v>0</v>
      </c>
      <c r="I5" s="17">
        <f>VLOOKUP($A5,[1]techspecs!$A$1:$G$23,7,0)</f>
        <v>25</v>
      </c>
      <c r="J5" s="17" t="s">
        <v>42</v>
      </c>
      <c r="R5" s="20">
        <f>VLOOKUP($A5,[1]techspecs!$A$1:$G$23,3,0)</f>
        <v>0.6</v>
      </c>
    </row>
    <row r="6" spans="1:18" x14ac:dyDescent="0.25">
      <c r="A6" s="17" t="s">
        <v>154</v>
      </c>
      <c r="B6" s="17">
        <v>220000</v>
      </c>
      <c r="C6" s="17">
        <f>VLOOKUP(A6,[1]fixedCosts!$A$1:$B$23,2,0)</f>
        <v>570</v>
      </c>
      <c r="D6" s="20">
        <f>VLOOKUP($A6,[1]techspecs!$A$1:$G$23,2,0)</f>
        <v>1.8</v>
      </c>
      <c r="E6" s="17" t="s">
        <v>42</v>
      </c>
      <c r="F6" s="17">
        <f>VLOOKUP($A6,[1]techspecs!$A$1:$G$23,4,0)*100</f>
        <v>92</v>
      </c>
      <c r="G6" s="17">
        <f>VLOOKUP($A6,[1]techspecs!$A$1:$G$23,6,0)*100</f>
        <v>92</v>
      </c>
      <c r="H6" s="17">
        <f>VLOOKUP($A6,[1]techspecs!$A$1:$G$23,5,0)</f>
        <v>2</v>
      </c>
      <c r="I6" s="17">
        <f>VLOOKUP($A6,[1]techspecs!$A$1:$G$23,7,0)</f>
        <v>25</v>
      </c>
      <c r="J6" s="17" t="s">
        <v>42</v>
      </c>
      <c r="R6" s="20">
        <f>VLOOKUP($A6,[1]techspecs!$A$1:$G$23,3,0)</f>
        <v>0.92</v>
      </c>
    </row>
    <row r="7" spans="1:18" x14ac:dyDescent="0.25">
      <c r="A7" s="18" t="s">
        <v>165</v>
      </c>
      <c r="B7" s="17">
        <v>380000</v>
      </c>
      <c r="C7" s="17">
        <f>VLOOKUP(A7,[1]fixedCosts!$A$1:$B$23,2,0)</f>
        <v>570</v>
      </c>
      <c r="D7" s="20">
        <f>VLOOKUP($A7,[1]techspecs!$A$1:$G$23,2,0)</f>
        <v>1.8</v>
      </c>
      <c r="E7" s="17" t="s">
        <v>42</v>
      </c>
      <c r="F7" s="17">
        <f>VLOOKUP($A7,[1]techspecs!$A$1:$G$23,4,0)*100</f>
        <v>92</v>
      </c>
      <c r="G7" s="17">
        <f>VLOOKUP($A7,[1]techspecs!$A$1:$G$23,6,0)*100</f>
        <v>92</v>
      </c>
      <c r="H7" s="17">
        <f>VLOOKUP($A7,[1]techspecs!$A$1:$G$23,5,0)</f>
        <v>4</v>
      </c>
      <c r="I7" s="17">
        <f>VLOOKUP($A7,[1]techspecs!$A$1:$G$23,7,0)</f>
        <v>25</v>
      </c>
      <c r="J7" s="17" t="s">
        <v>42</v>
      </c>
      <c r="R7" s="20">
        <f>VLOOKUP($A7,[1]techspecs!$A$1:$G$23,3,0)</f>
        <v>0.92</v>
      </c>
    </row>
    <row r="8" spans="1:18" x14ac:dyDescent="0.25">
      <c r="A8" s="17" t="s">
        <v>155</v>
      </c>
      <c r="B8" s="17">
        <v>7940450</v>
      </c>
      <c r="C8" s="17">
        <f>VLOOKUP(A8,[1]fixedCosts!$A$1:$B$23,2,0)</f>
        <v>111166.3</v>
      </c>
      <c r="D8" s="20">
        <f>VLOOKUP($A8,[1]techspecs!$A$1:$G$23,2,0)</f>
        <v>3.5</v>
      </c>
      <c r="E8" s="17">
        <f>R8*100</f>
        <v>35</v>
      </c>
      <c r="F8" s="20">
        <f>VLOOKUP($A8,[1]techspecs!$A$1:$G$23,4,0)</f>
        <v>0</v>
      </c>
      <c r="G8" s="20">
        <f>VLOOKUP($A8,[1]techspecs!$A$1:$G$23,6,0)</f>
        <v>0</v>
      </c>
      <c r="H8" s="20">
        <f>VLOOKUP($A8,[1]techspecs!$A$1:$G$23,5,0)</f>
        <v>0</v>
      </c>
      <c r="I8" s="17">
        <f>VLOOKUP($A8,[1]techspecs!$A$1:$G$23,7,0)</f>
        <v>40</v>
      </c>
      <c r="J8" s="17" t="s">
        <v>42</v>
      </c>
      <c r="R8" s="20">
        <f>VLOOKUP($A8,[1]techspecs!$A$1:$G$23,3,0)</f>
        <v>0.35</v>
      </c>
    </row>
    <row r="9" spans="1:18" x14ac:dyDescent="0.25">
      <c r="A9" s="17" t="s">
        <v>159</v>
      </c>
      <c r="B9" s="17">
        <v>290000</v>
      </c>
      <c r="C9" s="17">
        <f>VLOOKUP(A9,[1]fixedCosts!$A$1:$B$23,2,0)</f>
        <v>7400</v>
      </c>
      <c r="D9" s="20">
        <f>VLOOKUP($A9,[1]techspecs!$A$1:$G$23,2,0)</f>
        <v>0.5</v>
      </c>
      <c r="E9" s="20">
        <f>VLOOKUP($A9,[1]techspecs!$A$1:$G$23,4,0)</f>
        <v>0</v>
      </c>
      <c r="F9" s="20">
        <f>VLOOKUP($A9,[1]techspecs!$A$1:$G$23,4,0)</f>
        <v>0</v>
      </c>
      <c r="G9" s="20">
        <f>VLOOKUP($A9,[1]techspecs!$A$1:$G$23,6,0)</f>
        <v>0</v>
      </c>
      <c r="H9" s="20">
        <f>VLOOKUP($A9,[1]techspecs!$A$1:$G$23,5,0)</f>
        <v>0</v>
      </c>
      <c r="I9" s="17">
        <f>VLOOKUP($A9,[1]techspecs!$A$1:$G$23,7,0)</f>
        <v>25</v>
      </c>
      <c r="J9" s="17">
        <f>VLOOKUP(A9,[1]NL!$A$1:$B$7,2,0)</f>
        <v>82099</v>
      </c>
      <c r="R9" s="20">
        <f>VLOOKUP($A9,[1]techspecs!$A$1:$G$23,3,0)</f>
        <v>1</v>
      </c>
    </row>
    <row r="10" spans="1:18" x14ac:dyDescent="0.25">
      <c r="A10" s="17" t="s">
        <v>160</v>
      </c>
      <c r="B10" s="17">
        <v>640000</v>
      </c>
      <c r="C10" s="17">
        <f>VLOOKUP(A10,[1]fixedCosts!$A$1:$B$23,2,0)</f>
        <v>8900</v>
      </c>
      <c r="D10" s="20">
        <f>VLOOKUP($A10,[1]techspecs!$A$1:$G$23,2,0)</f>
        <v>0.5</v>
      </c>
      <c r="E10" s="20">
        <f>VLOOKUP($A10,[1]techspecs!$A$1:$G$23,4,0)</f>
        <v>0</v>
      </c>
      <c r="F10" s="20">
        <f>VLOOKUP($A10,[1]techspecs!$A$1:$G$23,4,0)</f>
        <v>0</v>
      </c>
      <c r="G10" s="20">
        <f>VLOOKUP($A10,[1]techspecs!$A$1:$G$23,6,0)</f>
        <v>0</v>
      </c>
      <c r="H10" s="20">
        <f>VLOOKUP($A10,[1]techspecs!$A$1:$G$23,5,0)</f>
        <v>0</v>
      </c>
      <c r="I10" s="17">
        <f>VLOOKUP($A10,[1]techspecs!$A$1:$G$23,7,0)</f>
        <v>25</v>
      </c>
      <c r="J10" s="17">
        <f>VLOOKUP(A10,[1]NL!$A$1:$B$7,2,0)</f>
        <v>26964</v>
      </c>
      <c r="R10" s="20">
        <f>VLOOKUP($A10,[1]techspecs!$A$1:$G$23,3,0)</f>
        <v>1</v>
      </c>
    </row>
    <row r="11" spans="1:18" x14ac:dyDescent="0.25">
      <c r="A11" s="17" t="s">
        <v>161</v>
      </c>
      <c r="B11" s="17">
        <v>1640000</v>
      </c>
      <c r="C11" s="17">
        <f>VLOOKUP(A11,[1]fixedCosts!$A$1:$B$23,2,0)</f>
        <v>33000</v>
      </c>
      <c r="D11" s="20">
        <f>VLOOKUP($A11,[1]techspecs!$A$1:$G$23,2,0)</f>
        <v>0.5</v>
      </c>
      <c r="E11" s="20">
        <f>VLOOKUP($A11,[1]techspecs!$A$1:$G$23,4,0)</f>
        <v>0</v>
      </c>
      <c r="F11" s="20">
        <f>VLOOKUP($A11,[1]techspecs!$A$1:$G$23,4,0)</f>
        <v>0</v>
      </c>
      <c r="G11" s="20">
        <f>VLOOKUP($A11,[1]techspecs!$A$1:$G$23,6,0)</f>
        <v>0</v>
      </c>
      <c r="H11" s="20">
        <f>VLOOKUP($A11,[1]techspecs!$A$1:$G$23,5,0)</f>
        <v>0</v>
      </c>
      <c r="I11" s="17">
        <f>VLOOKUP($A11,[1]techspecs!$A$1:$G$23,7,0)</f>
        <v>30</v>
      </c>
      <c r="J11" s="17">
        <f>VLOOKUP(A11,[1]NL!$A$1:$B$7,2,0)</f>
        <v>70000</v>
      </c>
      <c r="R11" s="20">
        <f>VLOOKUP($A11,[1]techspecs!$A$1:$G$23,3,0)</f>
        <v>1</v>
      </c>
    </row>
    <row r="12" spans="1:18" x14ac:dyDescent="0.25">
      <c r="A12" s="17" t="s">
        <v>162</v>
      </c>
      <c r="B12" s="17">
        <v>1090288.1746699999</v>
      </c>
      <c r="C12" s="17">
        <f>VLOOKUP(A12,[1]fixedCosts!$A$1:$B$23,2,0)</f>
        <v>12058.65</v>
      </c>
      <c r="D12" s="20">
        <f>VLOOKUP($A12,[1]techspecs!$A$1:$G$23,2,0)</f>
        <v>2</v>
      </c>
      <c r="E12" s="20">
        <f>VLOOKUP($A12,[1]techspecs!$A$1:$G$23,4,0)</f>
        <v>0</v>
      </c>
      <c r="F12" s="20">
        <f>VLOOKUP($A12,[1]techspecs!$A$1:$G$23,4,0)</f>
        <v>0</v>
      </c>
      <c r="G12" s="20">
        <f>VLOOKUP($A12,[1]techspecs!$A$1:$G$23,6,0)</f>
        <v>0</v>
      </c>
      <c r="H12" s="20">
        <f>VLOOKUP($A12,[1]techspecs!$A$1:$G$23,5,0)</f>
        <v>0</v>
      </c>
      <c r="I12" s="17">
        <f>VLOOKUP($A12,[1]techspecs!$A$1:$G$23,7,0)</f>
        <v>30</v>
      </c>
      <c r="J12" s="17">
        <f>VLOOKUP(A12,[1]NL!$A$1:$B$7,2,0)</f>
        <v>12000</v>
      </c>
      <c r="R12" s="20">
        <f>VLOOKUP($A12,[1]techspecs!$A$1:$G$23,3,0)</f>
        <v>1</v>
      </c>
    </row>
    <row r="13" spans="1:18" ht="45" x14ac:dyDescent="0.25">
      <c r="A13" s="27"/>
      <c r="B13" s="26" t="s">
        <v>187</v>
      </c>
      <c r="C13" s="26" t="s">
        <v>188</v>
      </c>
      <c r="D13" s="26" t="s">
        <v>189</v>
      </c>
      <c r="E13" s="26" t="s">
        <v>186</v>
      </c>
      <c r="F13" s="26" t="s">
        <v>194</v>
      </c>
      <c r="H13" s="30"/>
      <c r="I13" s="26" t="s">
        <v>193</v>
      </c>
      <c r="K13" s="27"/>
      <c r="O13" s="31"/>
      <c r="P13" s="31"/>
      <c r="R13" s="30"/>
    </row>
    <row r="14" spans="1:18" x14ac:dyDescent="0.25">
      <c r="A14" s="27"/>
      <c r="B14" s="17" t="s">
        <v>178</v>
      </c>
      <c r="C14" s="17" t="s">
        <v>178</v>
      </c>
      <c r="D14" s="17" t="s">
        <v>178</v>
      </c>
      <c r="E14" s="17" t="s">
        <v>184</v>
      </c>
      <c r="F14" s="17" t="s">
        <v>177</v>
      </c>
      <c r="H14" s="30"/>
      <c r="I14" s="17" t="s">
        <v>177</v>
      </c>
      <c r="K14" s="27"/>
      <c r="O14" s="31"/>
      <c r="P14" s="31"/>
      <c r="R14" s="30"/>
    </row>
    <row r="15" spans="1:18" x14ac:dyDescent="0.25">
      <c r="A15" s="17" t="s">
        <v>144</v>
      </c>
      <c r="B15" s="16">
        <f>VLOOKUP(A3,[2]TechnologiesEmlab!$A$1:$I$24,6,0)</f>
        <v>6</v>
      </c>
      <c r="C15" s="16">
        <f>VLOOKUP(A3,[2]TechnologiesEmlab!$A$1:$I$23,3,0)</f>
        <v>1</v>
      </c>
      <c r="D15" s="16">
        <f>VLOOKUP(A3,[2]TechnologiesEmlab!$A$1:$I$23,4,0)</f>
        <v>3</v>
      </c>
      <c r="E15" s="16">
        <f>VLOOKUP(A3,[2]CandidatePowerPlants!$B$1:$D$9,3,0)</f>
        <v>300</v>
      </c>
      <c r="F15" s="29">
        <f>VLOOKUP(A3,[2]TechnologiesEmlab!$A$1:$I$23,9,0)*100</f>
        <v>5</v>
      </c>
      <c r="H15" s="30"/>
      <c r="I15" s="29">
        <f>VLOOKUP(A3,[2]TechnologiesEmlab!$A$1:$I$23,7,0)*100</f>
        <v>100</v>
      </c>
      <c r="K15" s="27"/>
      <c r="O15" s="31"/>
      <c r="P15" s="31"/>
      <c r="R15" s="30"/>
    </row>
    <row r="16" spans="1:18" x14ac:dyDescent="0.25">
      <c r="A16" s="17" t="s">
        <v>150</v>
      </c>
      <c r="B16" s="16">
        <f>VLOOKUP(A4,[2]TechnologiesEmlab!$A$1:$I$24,6,0)</f>
        <v>6</v>
      </c>
      <c r="C16" s="16">
        <f>VLOOKUP(A4,[2]TechnologiesEmlab!$A$1:$I$23,3,0)</f>
        <v>2</v>
      </c>
      <c r="D16" s="16">
        <f>VLOOKUP(A4,[2]TechnologiesEmlab!$A$1:$I$23,4,0)</f>
        <v>2</v>
      </c>
      <c r="E16" s="16">
        <f>VLOOKUP(A4,[2]CandidatePowerPlants!$B$1:$D$9,3,0)</f>
        <v>400</v>
      </c>
      <c r="F16" s="29">
        <f>VLOOKUP(A4,[2]TechnologiesEmlab!$A$1:$I$23,9,0)*100</f>
        <v>8</v>
      </c>
      <c r="H16" s="30"/>
      <c r="I16" s="29">
        <f>VLOOKUP(A4,[2]TechnologiesEmlab!$A$1:$I$23,7,0)*100</f>
        <v>100</v>
      </c>
      <c r="K16" s="27"/>
      <c r="O16" s="31"/>
      <c r="P16" s="31"/>
      <c r="R16" s="30"/>
    </row>
    <row r="17" spans="1:9" x14ac:dyDescent="0.25">
      <c r="A17" s="17" t="s">
        <v>151</v>
      </c>
      <c r="B17" s="16">
        <f>VLOOKUP(A5,[2]TechnologiesEmlab!$A$1:$I$24,6,0)</f>
        <v>6</v>
      </c>
      <c r="C17" s="16">
        <f>VLOOKUP(A5,[2]TechnologiesEmlab!$A$1:$I$23,3,0)</f>
        <v>2</v>
      </c>
      <c r="D17" s="16">
        <f>VLOOKUP(A5,[2]TechnologiesEmlab!$A$1:$I$23,4,0)</f>
        <v>2</v>
      </c>
      <c r="E17" s="16">
        <f>VLOOKUP(A5,[2]CandidatePowerPlants!$B$1:$D$9,3,0)</f>
        <v>400</v>
      </c>
      <c r="F17" s="29">
        <f>VLOOKUP(A5,[2]TechnologiesEmlab!$A$1:$I$23,9,0)*100</f>
        <v>8</v>
      </c>
      <c r="I17" s="29">
        <f>VLOOKUP(A5,[2]TechnologiesEmlab!$A$1:$I$23,7,0)*100</f>
        <v>100</v>
      </c>
    </row>
    <row r="18" spans="1:9" x14ac:dyDescent="0.25">
      <c r="A18" s="17" t="s">
        <v>154</v>
      </c>
      <c r="B18" s="16">
        <f>VLOOKUP(A6,[2]TechnologiesEmlab!$A$1:$I$24,6,0)</f>
        <v>1</v>
      </c>
      <c r="C18" s="16">
        <f>VLOOKUP(A6,[2]TechnologiesEmlab!$A$1:$I$23,3,0)</f>
        <v>0</v>
      </c>
      <c r="D18" s="16">
        <f>VLOOKUP(A6,[2]TechnologiesEmlab!$A$1:$I$23,4,0)</f>
        <v>1</v>
      </c>
      <c r="E18" s="16">
        <f>VLOOKUP(A6,[2]CandidatePowerPlants!$B$1:$D$9,3,0)</f>
        <v>300</v>
      </c>
      <c r="F18" s="29">
        <f>VLOOKUP(A6,[2]TechnologiesEmlab!$A$1:$I$23,9,0)*100</f>
        <v>5</v>
      </c>
      <c r="I18" s="29">
        <f>VLOOKUP(A6,[2]TechnologiesEmlab!$A$1:$I$23,7,0)*100</f>
        <v>16</v>
      </c>
    </row>
    <row r="19" spans="1:9" x14ac:dyDescent="0.25">
      <c r="A19" s="18" t="s">
        <v>165</v>
      </c>
      <c r="B19" s="16">
        <f>VLOOKUP(A7,[2]TechnologiesEmlab!$A$1:$I$24,6,0)</f>
        <v>1</v>
      </c>
      <c r="C19" s="16">
        <f>VLOOKUP(A7,[2]TechnologiesEmlab!$A$1:$I$23,3,0)</f>
        <v>0</v>
      </c>
      <c r="D19" s="16">
        <f>VLOOKUP(A7,[2]TechnologiesEmlab!$A$1:$I$23,4,0)</f>
        <v>1</v>
      </c>
      <c r="E19" s="16">
        <f>VLOOKUP(A7,[2]CandidatePowerPlants!$B$1:$D$9,3,0)</f>
        <v>300</v>
      </c>
      <c r="F19" s="29">
        <f>VLOOKUP(A7,[2]TechnologiesEmlab!$A$1:$I$23,9,0)*100</f>
        <v>5</v>
      </c>
      <c r="I19" s="29">
        <f>VLOOKUP(A7,[2]TechnologiesEmlab!$A$1:$I$23,7,0)*100</f>
        <v>25</v>
      </c>
    </row>
    <row r="20" spans="1:9" x14ac:dyDescent="0.25">
      <c r="A20" s="17" t="s">
        <v>155</v>
      </c>
      <c r="B20" s="16">
        <f>VLOOKUP(A8,[2]TechnologiesEmlab!$A$1:$I$24,6,0)</f>
        <v>20</v>
      </c>
      <c r="C20" s="16">
        <f>VLOOKUP(A8,[2]TechnologiesEmlab!$A$1:$I$23,3,0)</f>
        <v>2</v>
      </c>
      <c r="D20" s="16">
        <f>VLOOKUP(A8,[2]TechnologiesEmlab!$A$1:$I$23,4,0)</f>
        <v>5</v>
      </c>
      <c r="E20" s="16">
        <v>1000</v>
      </c>
      <c r="F20" s="29">
        <f>VLOOKUP(A8,[2]TechnologiesEmlab!$A$1:$I$23,9,0)*100</f>
        <v>8</v>
      </c>
      <c r="I20" s="29">
        <f>VLOOKUP(A8,[2]TechnologiesEmlab!$A$1:$I$23,7,0)*100</f>
        <v>100</v>
      </c>
    </row>
    <row r="21" spans="1:9" x14ac:dyDescent="0.25">
      <c r="A21" s="17" t="s">
        <v>159</v>
      </c>
      <c r="B21" s="16">
        <f>VLOOKUP(A9,[2]TechnologiesEmlab!$A$1:$I$24,6,0)</f>
        <v>3</v>
      </c>
      <c r="C21" s="16">
        <f>VLOOKUP(A9,[2]TechnologiesEmlab!$A$1:$I$23,3,0)</f>
        <v>1</v>
      </c>
      <c r="D21" s="16">
        <f>VLOOKUP(A9,[2]TechnologiesEmlab!$A$1:$I$23,4,0)</f>
        <v>1</v>
      </c>
      <c r="E21" s="16">
        <f>VLOOKUP(A9,[2]CandidatePowerPlants!$B$1:$D$9,3,0)</f>
        <v>300</v>
      </c>
      <c r="F21" s="29">
        <f>VLOOKUP(A9,[2]TechnologiesEmlab!$A$1:$I$23,9,0)*100</f>
        <v>5</v>
      </c>
      <c r="I21" s="29">
        <f>VLOOKUP(A9,[2]TechnologiesEmlab!$A$1:$I$23,7,0)*100</f>
        <v>0</v>
      </c>
    </row>
    <row r="22" spans="1:9" x14ac:dyDescent="0.25">
      <c r="A22" s="17" t="s">
        <v>160</v>
      </c>
      <c r="B22" s="16">
        <f>VLOOKUP(A10,[2]TechnologiesEmlab!$A$1:$I$24,6,0)</f>
        <v>3</v>
      </c>
      <c r="C22" s="16">
        <f>VLOOKUP(A10,[2]TechnologiesEmlab!$A$1:$I$23,3,0)</f>
        <v>1</v>
      </c>
      <c r="D22" s="16">
        <f>VLOOKUP(A10,[2]TechnologiesEmlab!$A$1:$I$23,4,0)</f>
        <v>1</v>
      </c>
      <c r="E22" s="16">
        <v>300</v>
      </c>
      <c r="F22" s="29">
        <f>VLOOKUP(A10,[2]TechnologiesEmlab!$A$1:$I$23,9,0)*100</f>
        <v>5</v>
      </c>
      <c r="I22" s="29">
        <f>VLOOKUP(A10,[2]TechnologiesEmlab!$A$1:$I$23,7,0)*100</f>
        <v>0</v>
      </c>
    </row>
    <row r="23" spans="1:9" x14ac:dyDescent="0.25">
      <c r="A23" s="17" t="s">
        <v>161</v>
      </c>
      <c r="B23" s="16">
        <f>VLOOKUP(A11,[2]TechnologiesEmlab!$A$1:$I$24,6,0)</f>
        <v>5</v>
      </c>
      <c r="C23" s="16">
        <f>VLOOKUP(A11,[2]TechnologiesEmlab!$A$1:$I$23,3,0)</f>
        <v>1</v>
      </c>
      <c r="D23" s="16">
        <f>VLOOKUP(A11,[2]TechnologiesEmlab!$A$1:$I$23,4,0)</f>
        <v>2</v>
      </c>
      <c r="E23" s="16">
        <f>VLOOKUP(A11,[2]CandidatePowerPlants!$B$1:$D$9,3,0)</f>
        <v>500</v>
      </c>
      <c r="F23" s="29">
        <f>VLOOKUP(A11,[2]TechnologiesEmlab!$A$1:$I$23,9,0)*100</f>
        <v>5</v>
      </c>
      <c r="I23" s="29">
        <f>VLOOKUP(A11,[2]TechnologiesEmlab!$A$1:$I$23,7,0)*100</f>
        <v>6</v>
      </c>
    </row>
    <row r="24" spans="1:9" x14ac:dyDescent="0.25">
      <c r="A24" s="17" t="s">
        <v>162</v>
      </c>
      <c r="B24" s="16">
        <f>VLOOKUP(A12,[2]TechnologiesEmlab!$A$1:$I$24,6,0)</f>
        <v>4</v>
      </c>
      <c r="C24" s="16">
        <f>VLOOKUP(A12,[2]TechnologiesEmlab!$A$1:$I$23,3,0)</f>
        <v>1</v>
      </c>
      <c r="D24" s="16">
        <f>VLOOKUP(A12,[2]TechnologiesEmlab!$A$1:$I$23,4,0)</f>
        <v>2</v>
      </c>
      <c r="E24" s="16">
        <f>VLOOKUP(A12,[2]CandidatePowerPlants!$B$1:$D$9,3,0)</f>
        <v>500</v>
      </c>
      <c r="F24" s="29">
        <f>VLOOKUP(A12,[2]TechnologiesEmlab!$A$1:$I$23,9,0)*100</f>
        <v>5</v>
      </c>
      <c r="I24" s="29">
        <f>VLOOKUP(A12,[2]TechnologiesEmlab!$A$1:$I$23,7,0)*100</f>
        <v>12</v>
      </c>
    </row>
    <row r="27" spans="1:9" x14ac:dyDescent="0.25">
      <c r="A27" s="5" t="s">
        <v>152</v>
      </c>
      <c r="B27" s="7">
        <f>ROUND(2970000*1.002*1.016*1.018*1.014*1.007,0)</f>
        <v>3142918</v>
      </c>
      <c r="C27" s="11">
        <f>VLOOKUP(A27,[1]fixedCosts!$A$1:$B$23,2,0)</f>
        <v>15715</v>
      </c>
      <c r="D27">
        <f>VLOOKUP($A27,[1]techspecs!$A$1:$G$23,2,0)</f>
        <v>0</v>
      </c>
      <c r="E27">
        <f>VLOOKUP($A27,[1]techspecs!$A$1:$G$23,3,0)</f>
        <v>1</v>
      </c>
      <c r="F27">
        <f>VLOOKUP($A27,[1]techspecs!$A$1:$G$23,4,0)</f>
        <v>0</v>
      </c>
      <c r="G27">
        <f>VLOOKUP($A27,[1]techspecs!$A$1:$G$23,5,0)</f>
        <v>0</v>
      </c>
      <c r="H27">
        <f>VLOOKUP($A27,[1]techspecs!$A$1:$G$23,6,0)</f>
        <v>0</v>
      </c>
      <c r="I27">
        <f>VLOOKUP($A27,[1]techspecs!$A$1:$G$23,7,0)</f>
        <v>60</v>
      </c>
    </row>
    <row r="28" spans="1:9" x14ac:dyDescent="0.25">
      <c r="A28" s="5" t="s">
        <v>153</v>
      </c>
      <c r="B28" s="8"/>
      <c r="C28" s="11">
        <f>VLOOKUP(A28,[1]fixedCosts!$A$1:$B$23,2,0)</f>
        <v>61528.160000000003</v>
      </c>
      <c r="D28">
        <f>VLOOKUP($A28,[1]techspecs!$A$1:$G$23,2,0)</f>
        <v>3.5</v>
      </c>
      <c r="E28">
        <f>VLOOKUP($A28,[1]techspecs!$A$1:$G$23,3,0)</f>
        <v>0.43</v>
      </c>
      <c r="F28">
        <f>VLOOKUP($A28,[1]techspecs!$A$1:$G$23,4,0)</f>
        <v>0</v>
      </c>
      <c r="G28">
        <f>VLOOKUP($A28,[1]techspecs!$A$1:$G$23,5,0)</f>
        <v>0</v>
      </c>
      <c r="H28">
        <f>VLOOKUP($A28,[1]techspecs!$A$1:$G$23,6,0)</f>
        <v>0</v>
      </c>
      <c r="I28">
        <f>VLOOKUP($A28,[1]techspecs!$A$1:$G$23,7,0)</f>
        <v>40</v>
      </c>
    </row>
    <row r="29" spans="1:9" x14ac:dyDescent="0.25">
      <c r="A29" s="5" t="s">
        <v>156</v>
      </c>
      <c r="B29" s="9">
        <v>412000</v>
      </c>
      <c r="C29" s="11">
        <f>VLOOKUP(A29,[1]fixedCosts!$A$1:$B$23,2,0)</f>
        <v>7423</v>
      </c>
      <c r="D29">
        <f>VLOOKUP($A29,[1]techspecs!$A$1:$G$23,2,0)</f>
        <v>4.5</v>
      </c>
      <c r="E29">
        <f>VLOOKUP($A29,[1]techspecs!$A$1:$G$23,3,0)</f>
        <v>0.43</v>
      </c>
      <c r="F29">
        <f>VLOOKUP($A29,[1]techspecs!$A$1:$G$23,4,0)</f>
        <v>0</v>
      </c>
      <c r="G29">
        <f>VLOOKUP($A29,[1]techspecs!$A$1:$G$23,5,0)</f>
        <v>0</v>
      </c>
      <c r="H29">
        <f>VLOOKUP($A29,[1]techspecs!$A$1:$G$23,6,0)</f>
        <v>0</v>
      </c>
      <c r="I29">
        <f>VLOOKUP($A29,[1]techspecs!$A$1:$G$23,7,0)</f>
        <v>25</v>
      </c>
    </row>
    <row r="30" spans="1:9" x14ac:dyDescent="0.25">
      <c r="A30" s="5" t="s">
        <v>157</v>
      </c>
      <c r="B30" s="9"/>
      <c r="C30" s="11">
        <f>VLOOKUP(A30,[1]fixedCosts!$A$1:$B$23,2,0)</f>
        <v>8815.1</v>
      </c>
      <c r="D30">
        <f>VLOOKUP($A30,[1]techspecs!$A$1:$G$23,2,0)</f>
        <v>3.5</v>
      </c>
      <c r="E30">
        <f>VLOOKUP($A30,[1]techspecs!$A$1:$G$23,3,0)</f>
        <v>0.43</v>
      </c>
      <c r="F30">
        <f>VLOOKUP($A30,[1]techspecs!$A$1:$G$23,4,0)</f>
        <v>0</v>
      </c>
      <c r="G30">
        <f>VLOOKUP($A30,[1]techspecs!$A$1:$G$23,5,0)</f>
        <v>0</v>
      </c>
      <c r="H30">
        <f>VLOOKUP($A30,[1]techspecs!$A$1:$G$23,6,0)</f>
        <v>0</v>
      </c>
      <c r="I30">
        <f>VLOOKUP($A30,[1]techspecs!$A$1:$G$23,7,0)</f>
        <v>25</v>
      </c>
    </row>
    <row r="31" spans="1:9" x14ac:dyDescent="0.25">
      <c r="A31" s="5" t="s">
        <v>158</v>
      </c>
      <c r="B31" s="6">
        <f>ROUND(2685000*1.002*1.016*1.018*1.014*1.007,0)+600000</f>
        <v>3441325</v>
      </c>
      <c r="C31" s="11">
        <f>VLOOKUP(A31,[1]fixedCosts!$A$1:$B$23,2,0)</f>
        <v>24222</v>
      </c>
      <c r="D31">
        <f>VLOOKUP($A31,[1]techspecs!$A$1:$G$23,2,0)</f>
        <v>1</v>
      </c>
      <c r="E31">
        <f>VLOOKUP($A31,[1]techspecs!$A$1:$G$23,3,0)</f>
        <v>1</v>
      </c>
      <c r="F31">
        <f>VLOOKUP($A31,[1]techspecs!$A$1:$G$23,4,0)</f>
        <v>0.89</v>
      </c>
      <c r="G31">
        <f>VLOOKUP($A31,[1]techspecs!$A$1:$G$23,5,0)</f>
        <v>10</v>
      </c>
      <c r="H31">
        <f>VLOOKUP($A31,[1]techspecs!$A$1:$G$23,6,0)</f>
        <v>0.89</v>
      </c>
      <c r="I31">
        <f>VLOOKUP($A31,[1]techspecs!$A$1:$G$23,7,0)</f>
        <v>50</v>
      </c>
    </row>
    <row r="32" spans="1:9" x14ac:dyDescent="0.25">
      <c r="A32" s="5" t="s">
        <v>163</v>
      </c>
      <c r="B32" s="6">
        <v>400000</v>
      </c>
      <c r="C32" s="11">
        <f>VLOOKUP(A32,[1]fixedCosts!$A$1:$B$23,2,0)</f>
        <v>28000.000000000004</v>
      </c>
      <c r="D32">
        <f>VLOOKUP($A32,[1]techspecs!$A$1:$G$23,2,0)</f>
        <v>0</v>
      </c>
      <c r="E32">
        <f>VLOOKUP($A32,[1]techspecs!$A$1:$G$23,3,0)</f>
        <v>0.74</v>
      </c>
      <c r="F32">
        <f>VLOOKUP($A32,[1]techspecs!$A$1:$G$23,4,0)</f>
        <v>0</v>
      </c>
      <c r="G32">
        <f>VLOOKUP($A32,[1]techspecs!$A$1:$G$23,5,0)</f>
        <v>0</v>
      </c>
      <c r="H32">
        <f>VLOOKUP($A32,[1]techspecs!$A$1:$G$23,6,0)</f>
        <v>0</v>
      </c>
      <c r="I32">
        <f>VLOOKUP($A32,[1]techspecs!$A$1:$G$23,7,0)</f>
        <v>25</v>
      </c>
    </row>
    <row r="33" spans="1:9" x14ac:dyDescent="0.25">
      <c r="A33" s="10" t="s">
        <v>164</v>
      </c>
      <c r="B33" s="10"/>
      <c r="C33" s="11">
        <f>VLOOKUP(A33,[1]fixedCosts!$A$1:$B$23,2,0)</f>
        <v>1700</v>
      </c>
      <c r="D33">
        <f>VLOOKUP($A33,[1]techspecs!$A$1:$G$23,2,0)</f>
        <v>1</v>
      </c>
      <c r="E33">
        <f>VLOOKUP($A33,[1]techspecs!$A$1:$G$23,3,0)</f>
        <v>1.04</v>
      </c>
      <c r="F33">
        <f>VLOOKUP($A33,[1]techspecs!$A$1:$G$23,4,0)</f>
        <v>0</v>
      </c>
      <c r="G33">
        <f>VLOOKUP($A33,[1]techspecs!$A$1:$G$23,5,0)</f>
        <v>0</v>
      </c>
      <c r="H33">
        <f>VLOOKUP($A33,[1]techspecs!$A$1:$G$23,6,0)</f>
        <v>0</v>
      </c>
      <c r="I33">
        <f>VLOOKUP($A33,[1]techspecs!$A$1:$G$23,7,0)</f>
        <v>25</v>
      </c>
    </row>
    <row r="34" spans="1:9" x14ac:dyDescent="0.25">
      <c r="A34" s="5" t="s">
        <v>145</v>
      </c>
      <c r="B34" s="7">
        <v>850698.174</v>
      </c>
      <c r="C34" s="11">
        <f>VLOOKUP(A34,[1]fixedCosts!$A$1:$B$23,2,0)</f>
        <v>27647.69067</v>
      </c>
      <c r="D34">
        <f>VLOOKUP($A34,[1]techspecs!$A$1:$G$23,2,0)</f>
        <v>4.4000000000000004</v>
      </c>
      <c r="E34">
        <f>VLOOKUP($A34,[1]techspecs!$A$1:$G$23,3,0)</f>
        <v>0.6</v>
      </c>
      <c r="F34">
        <f>VLOOKUP($A34,[1]techspecs!$A$1:$G$23,4,0)</f>
        <v>0</v>
      </c>
      <c r="G34">
        <f>VLOOKUP($A34,[1]techspecs!$A$1:$G$23,5,0)</f>
        <v>0</v>
      </c>
      <c r="H34">
        <f>VLOOKUP($A34,[1]techspecs!$A$1:$G$23,6,0)</f>
        <v>0</v>
      </c>
      <c r="I34">
        <f>VLOOKUP($A34,[1]techspecs!$A$1:$G$23,7,0)</f>
        <v>25</v>
      </c>
    </row>
    <row r="35" spans="1:9" x14ac:dyDescent="0.25">
      <c r="A35" s="5" t="s">
        <v>146</v>
      </c>
      <c r="B35" s="8"/>
      <c r="C35" s="11">
        <f>VLOOKUP(A35,[1]fixedCosts!$A$1:$B$23,2,0)</f>
        <v>32000</v>
      </c>
      <c r="D35">
        <f>VLOOKUP($A35,[1]techspecs!$A$1:$G$23,2,0)</f>
        <v>3</v>
      </c>
      <c r="E35">
        <f>VLOOKUP($A35,[1]techspecs!$A$1:$G$23,3,0)</f>
        <v>0.43</v>
      </c>
      <c r="F35">
        <f>VLOOKUP($A35,[1]techspecs!$A$1:$G$23,4,0)</f>
        <v>0</v>
      </c>
      <c r="G35">
        <f>VLOOKUP($A35,[1]techspecs!$A$1:$G$23,5,0)</f>
        <v>0</v>
      </c>
      <c r="H35">
        <f>VLOOKUP($A35,[1]techspecs!$A$1:$G$23,6,0)</f>
        <v>0</v>
      </c>
      <c r="I35">
        <f>VLOOKUP($A35,[1]techspecs!$A$1:$G$23,7,0)</f>
        <v>40</v>
      </c>
    </row>
    <row r="36" spans="1:9" x14ac:dyDescent="0.25">
      <c r="A36" s="5" t="s">
        <v>147</v>
      </c>
      <c r="B36" s="8"/>
      <c r="C36" s="11">
        <f>VLOOKUP(A36,[1]fixedCosts!$A$1:$B$23,2,0)</f>
        <v>61528.160000000003</v>
      </c>
      <c r="D36">
        <f>VLOOKUP($A36,[1]techspecs!$A$1:$G$23,2,0)</f>
        <v>3.5</v>
      </c>
      <c r="E36">
        <f>VLOOKUP($A36,[1]techspecs!$A$1:$G$23,3,0)</f>
        <v>0.43</v>
      </c>
      <c r="F36">
        <f>VLOOKUP($A36,[1]techspecs!$A$1:$G$23,4,0)</f>
        <v>0</v>
      </c>
      <c r="G36">
        <f>VLOOKUP($A36,[1]techspecs!$A$1:$G$23,5,0)</f>
        <v>0</v>
      </c>
      <c r="H36">
        <f>VLOOKUP($A36,[1]techspecs!$A$1:$G$23,6,0)</f>
        <v>0</v>
      </c>
      <c r="I36">
        <f>VLOOKUP($A36,[1]techspecs!$A$1:$G$23,7,0)</f>
        <v>40</v>
      </c>
    </row>
    <row r="37" spans="1:9" x14ac:dyDescent="0.25">
      <c r="A37" s="5" t="s">
        <v>148</v>
      </c>
      <c r="B37" s="7">
        <f>ROUND(2685000*1.002*1.016*1.018*1.014*1.007,0)</f>
        <v>2841325</v>
      </c>
      <c r="C37" s="11">
        <f>VLOOKUP(A37,[1]fixedCosts!$A$1:$B$23,2,0)</f>
        <v>14207</v>
      </c>
      <c r="D37">
        <f>VLOOKUP($A37,[1]techspecs!$A$1:$G$23,2,0)</f>
        <v>1</v>
      </c>
      <c r="E37">
        <f>VLOOKUP($A37,[1]techspecs!$A$1:$G$23,3,0)</f>
        <v>1</v>
      </c>
      <c r="F37">
        <f>VLOOKUP($A37,[1]techspecs!$A$1:$G$23,4,0)</f>
        <v>0</v>
      </c>
      <c r="G37">
        <f>VLOOKUP($A37,[1]techspecs!$A$1:$G$23,5,0)</f>
        <v>0</v>
      </c>
      <c r="H37">
        <f>VLOOKUP($A37,[1]techspecs!$A$1:$G$23,6,0)</f>
        <v>0</v>
      </c>
      <c r="I37">
        <f>VLOOKUP($A37,[1]techspecs!$A$1:$G$23,7,0)</f>
        <v>60</v>
      </c>
    </row>
    <row r="38" spans="1:9" x14ac:dyDescent="0.25">
      <c r="A38" s="5" t="s">
        <v>149</v>
      </c>
      <c r="B38" s="9">
        <v>730000</v>
      </c>
      <c r="C38" s="11">
        <f>VLOOKUP(A38,[1]fixedCosts!$A$1:$B$23,2,0)</f>
        <v>30000</v>
      </c>
      <c r="D38">
        <f>VLOOKUP($A38,[1]techspecs!$A$1:$G$23,2,0)</f>
        <v>2.7</v>
      </c>
      <c r="E38">
        <f>VLOOKUP($A38,[1]techspecs!$A$1:$G$23,3,0)</f>
        <v>0.85</v>
      </c>
      <c r="F38">
        <f>VLOOKUP($A38,[1]techspecs!$A$1:$G$23,4,0)</f>
        <v>0</v>
      </c>
      <c r="G38">
        <f>VLOOKUP($A38,[1]techspecs!$A$1:$G$23,5,0)</f>
        <v>0</v>
      </c>
      <c r="H38">
        <f>VLOOKUP($A38,[1]techspecs!$A$1:$G$23,6,0)</f>
        <v>0</v>
      </c>
      <c r="I38">
        <f>VLOOKUP($A38,[1]techspecs!$A$1:$G$23,7,0)</f>
        <v>30</v>
      </c>
    </row>
    <row r="40" spans="1:9" x14ac:dyDescent="0.25">
      <c r="A40" s="12" t="s">
        <v>166</v>
      </c>
      <c r="B40" s="13">
        <v>2050</v>
      </c>
    </row>
    <row r="41" spans="1:9" x14ac:dyDescent="0.25">
      <c r="B41" s="14" t="s">
        <v>171</v>
      </c>
    </row>
    <row r="42" spans="1:9" x14ac:dyDescent="0.25">
      <c r="A42" s="14" t="s">
        <v>167</v>
      </c>
      <c r="B42" s="20">
        <v>1.69</v>
      </c>
    </row>
    <row r="43" spans="1:9" x14ac:dyDescent="0.25">
      <c r="A43" s="14" t="s">
        <v>185</v>
      </c>
      <c r="B43" s="20">
        <v>50.29</v>
      </c>
    </row>
    <row r="44" spans="1:9" x14ac:dyDescent="0.25">
      <c r="A44" s="14" t="s">
        <v>169</v>
      </c>
      <c r="B44" s="20">
        <v>45.07</v>
      </c>
    </row>
    <row r="45" spans="1:9" x14ac:dyDescent="0.25">
      <c r="A45" s="14" t="s">
        <v>170</v>
      </c>
      <c r="B45" s="20">
        <v>168</v>
      </c>
    </row>
    <row r="48" spans="1:9" x14ac:dyDescent="0.25">
      <c r="A48" s="14" t="s">
        <v>168</v>
      </c>
      <c r="B48" s="15">
        <v>15</v>
      </c>
    </row>
    <row r="50" spans="1:2" x14ac:dyDescent="0.25">
      <c r="A50" s="21" t="s">
        <v>174</v>
      </c>
      <c r="B50" s="21" t="s">
        <v>175</v>
      </c>
    </row>
    <row r="51" spans="1:2" x14ac:dyDescent="0.25">
      <c r="A51" s="22" t="s">
        <v>157</v>
      </c>
      <c r="B51" s="23">
        <v>270</v>
      </c>
    </row>
    <row r="52" spans="1:2" x14ac:dyDescent="0.25">
      <c r="A52" s="22" t="s">
        <v>176</v>
      </c>
      <c r="B52" s="24">
        <v>202</v>
      </c>
    </row>
    <row r="53" spans="1:2" x14ac:dyDescent="0.25">
      <c r="A53" s="22" t="s">
        <v>147</v>
      </c>
      <c r="B53" s="24">
        <v>340</v>
      </c>
    </row>
    <row r="54" spans="1:2" x14ac:dyDescent="0.25">
      <c r="A54" s="22" t="s">
        <v>153</v>
      </c>
      <c r="B54" s="23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VREprofilesandload2019-2050</vt:lpstr>
      <vt:lpstr>40weatheryears</vt:lpstr>
      <vt:lpstr>Powerplants</vt:lpstr>
      <vt:lpstr>EMLABparameters</vt:lpstr>
      <vt:lpstr>Traderes_data</vt:lpstr>
      <vt:lpstr>CRM2050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2023-01-25T13:52:08Z</dcterms:created>
  <dcterms:modified xsi:type="dcterms:W3CDTF">2024-07-16T15:59:34Z</dcterms:modified>
</cp:coreProperties>
</file>