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D06EE39-D8F5-4C01-90EF-AEACA0150CD1}" xr6:coauthVersionLast="47" xr6:coauthVersionMax="47" xr10:uidLastSave="{00000000-0000-0000-0000-000000000000}"/>
  <bookViews>
    <workbookView xWindow="-120" yWindow="-120" windowWidth="29040" windowHeight="17640" tabRatio="998" firstSheet="10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CapacitySubscriptionConsumer" sheetId="70" r:id="rId8"/>
    <sheet name="CS_subscribed" sheetId="76" r:id="rId9"/>
    <sheet name="LoadShedders" sheetId="65" r:id="rId10"/>
    <sheet name="yearlyLoadShifterCap" sheetId="78" r:id="rId11"/>
    <sheet name="yearlyHydrogen" sheetId="77" r:id="rId12"/>
    <sheet name="LoadShifterCap" sheetId="64" r:id="rId13"/>
    <sheet name="LSyearly" sheetId="69" r:id="rId14"/>
    <sheet name="peakLoad" sheetId="67" r:id="rId15"/>
    <sheet name="Fuels" sheetId="29" r:id="rId16"/>
    <sheet name="FuelPriceTrends" sheetId="30" r:id="rId17"/>
    <sheet name="CandidatePowerPlants" sheetId="45" r:id="rId18"/>
    <sheet name="TechnologiesEmlab" sheetId="33" r:id="rId19"/>
    <sheet name="TechnologyTrends" sheetId="63" r:id="rId20"/>
    <sheet name="EnergyProducers" sheetId="17" r:id="rId21"/>
    <sheet name="weatherYears40" sheetId="61" r:id="rId22"/>
    <sheet name="Dismantled" sheetId="49" r:id="rId23"/>
    <sheet name="Sheet1" sheetId="79" r:id="rId24"/>
    <sheet name="derating" sheetId="74" r:id="rId25"/>
    <sheet name="VOLLs" sheetId="72" r:id="rId26"/>
    <sheet name="LoadShedders_feb24" sheetId="73" r:id="rId27"/>
    <sheet name="LoadShedders (2)" sheetId="75" r:id="rId28"/>
    <sheet name="LoadShedders2" sheetId="68" r:id="rId29"/>
    <sheet name="LoadShedders_copy" sheetId="71" r:id="rId30"/>
    <sheet name="dictvariables" sheetId="43" r:id="rId31"/>
    <sheet name="StepTrends" sheetId="18" r:id="rId32"/>
    <sheet name="EnergyConsumers" sheetId="16" r:id="rId33"/>
    <sheet name="yearlytechnologyPotentials2" sheetId="58" r:id="rId34"/>
    <sheet name="graphs" sheetId="56" r:id="rId35"/>
    <sheet name="CO2DE" sheetId="44" r:id="rId36"/>
    <sheet name="backup" sheetId="50" r:id="rId37"/>
    <sheet name="weatherYearsOLD" sheetId="66" r:id="rId38"/>
    <sheet name="sources" sheetId="54" r:id="rId39"/>
    <sheet name="NewTechnologies" sheetId="35" r:id="rId40"/>
  </sheets>
  <definedNames>
    <definedName name="_xlnm._FilterDatabase" localSheetId="17" hidden="1">CandidatePowerPlants!$A$1:$D$1</definedName>
    <definedName name="_xlnm._FilterDatabase" localSheetId="1" hidden="1">dictTech!$A$1:$C$1</definedName>
    <definedName name="_xlnm._FilterDatabase" localSheetId="20" hidden="1">EnergyProducers!#REF!</definedName>
    <definedName name="_xlnm._FilterDatabase" localSheetId="39" hidden="1">NewTechnologies!$A$1:$I$11</definedName>
    <definedName name="_xlnm._FilterDatabase" localSheetId="18" hidden="1">TechnologiesEmlab!$A$1:$I$23</definedName>
    <definedName name="_xlnm._FilterDatabase" localSheetId="25" hidden="1">VOLLs!$A$1:$D$1</definedName>
    <definedName name="ExternalData_19" localSheetId="15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8" l="1"/>
  <c r="B2" i="78"/>
  <c r="B2" i="69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3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G24" i="33"/>
  <c r="H24" i="33"/>
  <c r="I24" i="33"/>
  <c r="C24" i="33"/>
  <c r="C4" i="27"/>
  <c r="C3" i="27"/>
  <c r="D11" i="27"/>
  <c r="D10" i="27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3" i="69" l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<sst xmlns="http://schemas.openxmlformats.org/spreadsheetml/2006/main" count="1122" uniqueCount="542">
  <si>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</si>
  <si>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</si>
  <si>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</si>
  <si>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</si>
  <si>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</si>
  <si>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</si>
  <si>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</si>
  <si>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</si>
  <si>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</si>
  <si>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</si>
  <si>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</si>
  <si>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</si>
  <si>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</si>
  <si>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</si>
  <si>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</si>
  <si>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</si>
  <si>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</si>
  <si>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</si>
  <si>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</si>
  <si>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</si>
  <si>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</si>
  <si>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</si>
  <si>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</si>
  <si>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</si>
  <si>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</si>
  <si>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</si>
  <si>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</si>
  <si>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</si>
  <si>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</si>
  <si>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</si>
  <si>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</si>
  <si>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</si>
  <si>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</si>
  <si>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</si>
  <si>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</si>
  <si>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</si>
  <si>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</si>
  <si>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</si>
  <si>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</si>
  <si>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</si>
  <si>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</si>
  <si>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</si>
  <si>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</si>
  <si>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</si>
  <si>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</si>
  <si>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</si>
  <si>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</si>
  <si>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</si>
  <si>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</si>
  <si>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</si>
  <si>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</si>
  <si>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</si>
  <si>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</si>
  <si>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</si>
  <si>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</si>
  <si>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</si>
  <si>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</si>
  <si>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</si>
  <si>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</si>
  <si>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</si>
  <si>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</si>
  <si>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</si>
  <si>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</si>
  <si>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</si>
  <si>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</si>
  <si>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</si>
  <si>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</si>
  <si>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</si>
  <si>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</si>
  <si>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</si>
  <si>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</si>
  <si>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</si>
  <si>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</si>
  <si>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</si>
  <si>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</si>
  <si>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</si>
  <si>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</si>
  <si>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</si>
  <si>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</si>
  <si>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</si>
  <si>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</si>
  <si>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</si>
  <si>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</si>
  <si>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</si>
  <si>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</si>
  <si>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</si>
  <si>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</si>
  <si>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</si>
  <si>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</si>
  <si>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</si>
  <si>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</si>
  <si>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</si>
  <si>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</si>
  <si>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</si>
  <si>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</si>
  <si>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</si>
  <si>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</si>
  <si>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</si>
  <si>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</si>
  <si>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</si>
  <si>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</si>
  <si>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</si>
  <si>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</si>
  <si>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</si>
  <si>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</si>
  <si>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</si>
  <si>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</si>
  <si>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</si>
  <si>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</si>
  <si>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</si>
  <si>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</si>
  <si>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</si>
  <si>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</si>
  <si>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</si>
  <si>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</si>
  <si>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</si>
  <si>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</si>
  <si>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</si>
  <si>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</si>
  <si>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</si>
  <si>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</si>
  <si>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</si>
  <si>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</si>
  <si>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</si>
  <si>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</si>
  <si>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</si>
  <si>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</si>
  <si>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</si>
  <si>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</si>
  <si>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</si>
  <si>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</si>
  <si>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</si>
  <si>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</si>
  <si>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</si>
  <si>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</si>
  <si>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</si>
  <si>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</si>
  <si>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</si>
  <si>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</si>
  <si>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</si>
  <si>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</si>
  <si>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</si>
  <si>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</si>
  <si>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</si>
  <si>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</si>
  <si>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</si>
  <si>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</si>
  <si>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</si>
  <si>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</si>
  <si>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</si>
  <si>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</si>
  <si>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</si>
  <si>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</si>
  <si>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</si>
  <si>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</si>
  <si>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</si>
  <si>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</si>
  <si>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</si>
  <si>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</si>
  <si>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</si>
  <si>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</si>
  <si>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</si>
  <si>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</si>
  <si>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</si>
  <si>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</si>
  <si>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</si>
  <si>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</si>
  <si>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</si>
  <si>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</si>
  <si>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</si>
  <si>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</si>
  <si>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</si>
  <si>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</si>
  <si>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</si>
  <si>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</si>
  <si>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</si>
  <si>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</si>
  <si>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</si>
  <si>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</si>
  <si>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</si>
  <si>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</si>
  <si>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</si>
  <si>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</si>
  <si>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</si>
  <si>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</si>
  <si>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</si>
  <si>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</si>
  <si>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</si>
  <si>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</si>
  <si>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</si>
  <si>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</si>
  <si>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</si>
  <si>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</si>
  <si>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</si>
  <si>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</si>
  <si>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</si>
  <si>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</si>
  <si>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</si>
  <si>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</si>
  <si>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</si>
  <si>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</si>
  <si>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</si>
  <si>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</si>
  <si>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</si>
  <si>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</si>
  <si>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</si>
  <si>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</si>
  <si>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</si>
  <si>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</si>
  <si>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</si>
  <si>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</si>
  <si>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</si>
  <si>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</si>
  <si>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</si>
  <si>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</si>
  <si>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</si>
  <si>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</si>
  <si>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</si>
  <si>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</si>
  <si>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</si>
  <si>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</si>
  <si>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</si>
  <si>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</si>
  <si>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</si>
  <si>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</si>
  <si>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</si>
  <si>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</si>
  <si>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</si>
  <si>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</si>
  <si>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</si>
  <si>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</si>
  <si>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</si>
  <si>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</si>
  <si>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</si>
  <si>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</si>
  <si>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</si>
  <si>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</si>
  <si>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</si>
  <si>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</si>
  <si>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</si>
  <si>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</si>
  <si>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</si>
  <si>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</si>
  <si>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</si>
  <si>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</si>
  <si>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</si>
  <si>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</si>
  <si>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</si>
  <si>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</si>
  <si>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</si>
  <si>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</si>
  <si>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</si>
  <si>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</si>
  <si>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</si>
  <si>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</si>
  <si>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</si>
  <si>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</si>
  <si>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</si>
  <si>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</si>
  <si>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</si>
  <si>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</si>
  <si>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</si>
  <si>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</si>
  <si>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</si>
  <si>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</si>
  <si>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</si>
  <si>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</si>
  <si>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</si>
  <si>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</si>
  <si>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</si>
  <si>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</si>
  <si>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</si>
  <si>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</si>
  <si>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</si>
  <si>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</si>
  <si>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</si>
  <si>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</si>
  <si>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</si>
  <si>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</si>
  <si>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</si>
  <si>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</si>
  <si>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</si>
  <si>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</si>
  <si>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</si>
  <si>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</si>
  <si>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</si>
  <si>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</si>
  <si>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</si>
  <si>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</si>
  <si>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</si>
  <si>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</si>
  <si>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</si>
  <si>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</si>
  <si>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</si>
  <si>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</si>
  <si>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</si>
  <si>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</si>
  <si>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</si>
  <si>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</si>
  <si>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</si>
  <si>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</si>
  <si>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</si>
  <si>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</si>
  <si>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</si>
  <si>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</si>
  <si>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</si>
  <si>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</si>
  <si>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</si>
  <si>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</si>
  <si>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</si>
  <si>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</si>
  <si>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</si>
  <si>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</si>
  <si>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</si>
  <si>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</si>
  <si>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</si>
  <si>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</si>
  <si>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</si>
  <si>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</si>
  <si>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</si>
  <si>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</si>
  <si>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</si>
  <si>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</si>
  <si>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</si>
  <si>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</si>
  <si>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</si>
  <si>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</si>
  <si>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</si>
  <si>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</si>
  <si>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</si>
  <si>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</si>
  <si>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</si>
  <si>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</si>
  <si>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</si>
  <si>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</si>
  <si>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</si>
  <si>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</si>
  <si>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</si>
  <si>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</si>
  <si>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</si>
  <si>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</si>
  <si>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</si>
  <si>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</si>
  <si>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</si>
  <si>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</si>
  <si>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</si>
  <si>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</si>
  <si>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</si>
  <si>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</si>
  <si>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</si>
  <si>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</si>
  <si>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</si>
  <si>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</si>
  <si>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</si>
  <si>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</si>
  <si>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</si>
  <si>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</si>
  <si>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</si>
  <si>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</si>
  <si>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</si>
  <si>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</si>
  <si>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</si>
  <si>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</si>
  <si>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</si>
  <si>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</si>
  <si>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</si>
  <si>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</si>
  <si>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</si>
  <si>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</si>
  <si>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</si>
  <si>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</si>
  <si>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</si>
  <si>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</si>
  <si>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</si>
  <si>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</si>
  <si>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</si>
  <si>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</si>
  <si>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</si>
  <si>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</si>
  <si>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</si>
  <si>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</si>
  <si>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</si>
  <si>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</si>
  <si>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</si>
  <si>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</si>
  <si>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</si>
  <si>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</si>
  <si>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</si>
  <si>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</si>
  <si>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</si>
  <si>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</si>
  <si>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</si>
  <si>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</si>
  <si>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</si>
  <si>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</si>
  <si>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</si>
  <si>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</si>
  <si>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</si>
  <si>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</si>
  <si>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</si>
  <si>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</si>
  <si>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</si>
  <si>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</si>
  <si>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</si>
  <si>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</si>
  <si>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</si>
  <si>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</si>
  <si>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</si>
  <si>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</si>
  <si>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</si>
  <si>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</si>
  <si>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</si>
  <si>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</si>
  <si>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</si>
  <si>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</si>
  <si>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</si>
  <si>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</si>
  <si>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</si>
  <si>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</si>
  <si>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</si>
  <si>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</si>
  <si>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</si>
  <si>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</si>
  <si>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</si>
  <si>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</si>
  <si>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</si>
  <si>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</si>
  <si>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</si>
  <si>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</si>
  <si>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</si>
  <si>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</si>
  <si>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</si>
  <si>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</si>
  <si>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</si>
  <si>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</si>
  <si>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</si>
  <si>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</si>
  <si>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</si>
  <si>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</si>
  <si>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</si>
  <si>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</si>
  <si>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</si>
  <si>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</si>
  <si>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</si>
  <si>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</si>
  <si>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</si>
  <si>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</si>
  <si>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</si>
  <si>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</si>
  <si>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</si>
  <si>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</si>
  <si>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</si>
  <si>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</si>
  <si>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</si>
  <si>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</si>
  <si>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</si>
  <si>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</si>
  <si>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</si>
  <si>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</si>
  <si>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</si>
  <si>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</si>
  <si>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</si>
  <si>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</si>
  <si>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</si>
  <si>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</si>
  <si>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</si>
  <si>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</si>
  <si>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</si>
  <si>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</si>
  <si>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</si>
  <si>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</si>
  <si>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</si>
  <si>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</si>
  <si>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</si>
  <si>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</si>
  <si>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</si>
  <si>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</si>
  <si>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</si>
  <si>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</si>
  <si>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</si>
  <si>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</si>
  <si>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</si>
  <si>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</si>
  <si>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</si>
  <si>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</si>
  <si>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</si>
  <si>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</si>
  <si>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</si>
  <si>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</si>
  <si>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</si>
  <si>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</si>
  <si>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</si>
  <si>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</si>
  <si>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</si>
  <si>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</si>
  <si>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</si>
  <si>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</si>
  <si>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</si>
  <si>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</si>
  <si>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</si>
  <si>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</si>
  <si>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</si>
  <si>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</si>
  <si>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</si>
  <si>
    <t>low wtp</t>
  </si>
  <si>
    <t>high wtp</t>
  </si>
  <si>
    <t>no vres</t>
  </si>
  <si>
    <t>vres batteries</t>
  </si>
  <si>
    <t>vres</t>
  </si>
  <si>
    <t>23,3</t>
  </si>
  <si>
    <t>source</t>
  </si>
  <si>
    <t>Belgium</t>
  </si>
  <si>
    <t>Eur/kwh</t>
  </si>
  <si>
    <t>CMR regulation</t>
  </si>
  <si>
    <t>Nooij ecorys average</t>
  </si>
  <si>
    <t>ecorys</t>
  </si>
  <si>
    <t xml:space="preserve">industry,non energy intensive </t>
  </si>
  <si>
    <t xml:space="preserve">industry, energy intensive </t>
  </si>
  <si>
    <t xml:space="preserve">industry, non energy intensive </t>
  </si>
  <si>
    <t>Share volume</t>
  </si>
  <si>
    <t>novres</t>
  </si>
  <si>
    <t>&lt; to set CONE</t>
  </si>
  <si>
    <t>Gas</t>
  </si>
  <si>
    <t>ShedderCapacityMWyearly</t>
  </si>
  <si>
    <t>peakConsumptionInMWyearly</t>
  </si>
  <si>
    <t>averagemonthlyConsumptionMWhyearly</t>
  </si>
  <si>
    <t>&lt; initial subscribed volume</t>
  </si>
  <si>
    <t>this data overwrites LoadShifterCap</t>
  </si>
  <si>
    <t>iteration2020-2050</t>
  </si>
  <si>
    <t>RS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</si>
  <si>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</si>
  <si>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</si>
  <si>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</si>
  <si>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</si>
  <si>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</si>
  <si>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</si>
  <si>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</si>
  <si>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</si>
  <si>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 xml:space="preserve">according to ACER </t>
  </si>
  <si>
    <t>novresHH</t>
  </si>
  <si>
    <t xml:space="preserve">tennet </t>
  </si>
  <si>
    <t>resource adequacy netherlands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</si>
</sst>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  <xf numFmtId="0" fontId="0" fillId="0" borderId="1" xfId="0" applyFill="1" applyBorder="1"/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1.xml"/><Relationship Id="rId50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476249</xdr:colOff>
      <xdr:row>1</xdr:row>
      <xdr:rowOff>85502</xdr:rowOff>
    </xdr:from>
    <xdr:to>
      <xdr:col>17</xdr:col>
      <xdr:colOff>284426</xdr:colOff>
      <xdr:row>10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4" y="276002"/>
          <a:ext cx="4684977" cy="16951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1500</v>
      </c>
      <c r="H3" s="16"/>
      <c r="I3" s="16"/>
      <c r="K3" s="44"/>
      <c r="L3" s="53"/>
      <c r="M3" s="44"/>
    </row>
    <row r="4" spans="1:13">
      <c r="A4" s="13" t="s">
        <v>103</v>
      </c>
      <c r="B4" s="13" t="s">
        <v>370</v>
      </c>
      <c r="C4" s="13" t="s">
        <v>376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69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B37" sqref="B37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347</v>
      </c>
      <c r="B1" s="13" t="s">
        <v>524</v>
      </c>
      <c r="C1" s="13" t="s">
        <v>525</v>
      </c>
    </row>
    <row r="2" spans="1:6">
      <c r="A2">
        <v>2020</v>
      </c>
      <c r="B2">
        <f>3100</f>
        <v>3100</v>
      </c>
      <c r="C2">
        <f>800000</f>
        <v>800000</v>
      </c>
      <c r="F2" t="s">
        <v>527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3"/>
  <sheetViews>
    <sheetView workbookViewId="0">
      <selection activeCell="B2" sqref="B2"/>
    </sheetView>
  </sheetViews>
  <sheetFormatPr defaultRowHeight="15"/>
  <cols>
    <col min="2" max="2" width="25.85546875" customWidth="1"/>
  </cols>
  <sheetData>
    <row r="1" spans="1:2">
      <c r="A1" s="13" t="s">
        <v>259</v>
      </c>
      <c r="B1" s="81" t="s">
        <v>523</v>
      </c>
    </row>
    <row r="2" spans="1:2">
      <c r="A2">
        <v>2020</v>
      </c>
      <c r="B2">
        <v>6731</v>
      </c>
    </row>
    <row r="3" spans="1:2">
      <c r="A3" s="13">
        <v>2050</v>
      </c>
      <c r="B3" s="13">
        <f>37450</f>
        <v>37450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K3/(12)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K4">
        <f>K3/1000000</f>
        <v>36.756965000000001</v>
      </c>
    </row>
    <row r="6" spans="1:14">
      <c r="D6">
        <f>B3/B2</f>
        <v>497.65725697265094</v>
      </c>
      <c r="J6" s="1" t="s">
        <v>486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K31"/>
  <sheetViews>
    <sheetView topLeftCell="J17" zoomScale="210" workbookViewId="0">
      <selection activeCell="X15" sqref="X15"/>
    </sheetView>
  </sheetViews>
  <sheetFormatPr defaultRowHeight="15"/>
  <cols>
    <col min="1" max="1" width="34.5703125" customWidth="1"/>
    <col min="2" max="2" width="16.7109375" customWidth="1"/>
  </cols>
  <sheetData>
    <row r="1" spans="1:6">
      <c r="A1" s="13" t="s">
        <v>359</v>
      </c>
      <c r="B1" s="13">
        <v>1</v>
      </c>
      <c r="C1" s="13">
        <v>2</v>
      </c>
      <c r="D1" s="13" t="s">
        <v>103</v>
      </c>
    </row>
    <row r="2" spans="1:6">
      <c r="A2" s="13">
        <v>2020</v>
      </c>
      <c r="B2" s="13">
        <f>1-C2</f>
        <v>0.95</v>
      </c>
      <c r="C2" s="13">
        <v>0.05</v>
      </c>
      <c r="D2" s="13" t="s">
        <v>69</v>
      </c>
      <c r="F2" t="s">
        <v>538</v>
      </c>
    </row>
    <row r="3" spans="1:6">
      <c r="A3" s="13">
        <v>2050</v>
      </c>
      <c r="B3" s="13">
        <f>SUM(CS_subscribed!B:B)</f>
        <v>0.89</v>
      </c>
      <c r="C3" s="13">
        <f>1-SUM(CapacitySubscriptionConsumer!C:C)</f>
        <v>0.10999999999999999</v>
      </c>
      <c r="D3" s="13" t="s">
        <v>69</v>
      </c>
    </row>
    <row r="10" spans="1:6">
      <c r="D10" s="13">
        <v>4</v>
      </c>
    </row>
    <row r="11" spans="1:6">
      <c r="D11" s="13">
        <v>0.03</v>
      </c>
    </row>
    <row r="14" spans="1:6">
      <c r="C14" t="s">
        <v>494</v>
      </c>
      <c r="D14" t="s">
        <v>495</v>
      </c>
    </row>
    <row r="31" spans="11:11">
      <c r="K31" t="s">
        <v>540</v>
      </c>
    </row>
  </sheetData>
  <conditionalFormatting sqref="F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tabSelected="1"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>
        <v>9</v>
      </c>
      <c r="B10" s="13" t="s">
        <v>41</v>
      </c>
      <c r="C10" s="13" t="b">
        <v>1</v>
      </c>
      <c r="D10" s="13">
        <v>500</v>
      </c>
    </row>
    <row r="11" spans="1:8">
      <c r="A11" s="13">
        <v>10</v>
      </c>
      <c r="B11" s="13" t="s">
        <v>383</v>
      </c>
      <c r="C11" s="13" t="b">
        <v>1</v>
      </c>
      <c r="D11" s="13">
        <v>300</v>
      </c>
    </row>
    <row r="12" spans="1:8">
      <c r="A12" s="13">
        <v>11</v>
      </c>
      <c r="B12" s="88" t="s">
        <v>67</v>
      </c>
      <c r="C12" s="13" t="b">
        <v>1</v>
      </c>
      <c r="D12" s="13">
        <v>300</v>
      </c>
    </row>
    <row r="13" spans="1:8">
      <c r="A13" s="13">
        <v>12</v>
      </c>
      <c r="B13" s="88" t="s">
        <v>89</v>
      </c>
      <c r="C13" s="13" t="b">
        <v>1</v>
      </c>
      <c r="D13" s="88">
        <v>300</v>
      </c>
    </row>
    <row r="14" spans="1:8">
      <c r="H14" t="s">
        <v>409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L1" t="s">
        <v>506</v>
      </c>
      <c r="M1" t="s">
        <v>507</v>
      </c>
      <c r="N1" s="55" t="s">
        <v>51</v>
      </c>
      <c r="O1" s="55" t="s">
        <v>52</v>
      </c>
      <c r="P1" s="55" t="s">
        <v>316</v>
      </c>
      <c r="Q1" t="s">
        <v>393</v>
      </c>
      <c r="R1" t="s">
        <v>211</v>
      </c>
      <c r="S1" s="5" t="s">
        <v>109</v>
      </c>
      <c r="T1" s="5" t="s">
        <v>110</v>
      </c>
      <c r="U1" s="5" t="s">
        <v>111</v>
      </c>
      <c r="V1" t="s">
        <v>121</v>
      </c>
      <c r="W1" t="s">
        <v>217</v>
      </c>
      <c r="X1" s="2" t="s">
        <v>128</v>
      </c>
      <c r="Y1" t="s">
        <v>113</v>
      </c>
      <c r="Z1" s="2" t="s">
        <v>115</v>
      </c>
      <c r="AA1" s="2" t="s">
        <v>115</v>
      </c>
      <c r="AB1" t="s">
        <v>61</v>
      </c>
      <c r="AC1" t="s">
        <v>62</v>
      </c>
      <c r="AD1" t="s">
        <v>47</v>
      </c>
      <c r="AE1" t="s">
        <v>48</v>
      </c>
      <c r="AF1" t="s">
        <v>49</v>
      </c>
      <c r="AG1" t="s">
        <v>50</v>
      </c>
      <c r="AI1" s="9" t="s">
        <v>350</v>
      </c>
      <c r="AJ1" s="9"/>
    </row>
    <row r="2" spans="1:41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451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125</v>
      </c>
      <c r="Y2" s="27" t="s">
        <v>117</v>
      </c>
      <c r="Z2" s="9">
        <v>600</v>
      </c>
      <c r="AA2" s="9"/>
      <c r="AB2" s="9" t="s">
        <v>73</v>
      </c>
      <c r="AC2" s="9" t="s">
        <v>74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67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125</v>
      </c>
      <c r="Y3" s="27" t="s">
        <v>116</v>
      </c>
      <c r="Z3" s="9">
        <v>500</v>
      </c>
      <c r="AB3" s="9" t="s">
        <v>71</v>
      </c>
      <c r="AC3" s="9" t="s">
        <v>72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114</v>
      </c>
      <c r="Z4" s="9">
        <v>500</v>
      </c>
      <c r="AA4" s="9">
        <v>500</v>
      </c>
      <c r="AB4" s="9" t="s">
        <v>63</v>
      </c>
      <c r="AC4" s="9" t="s">
        <v>64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106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126</v>
      </c>
      <c r="AB8" t="s">
        <v>66</v>
      </c>
      <c r="AC8" t="s">
        <v>68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105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426</v>
      </c>
      <c r="R13">
        <v>0</v>
      </c>
      <c r="S13" s="9"/>
      <c r="T13" s="9"/>
      <c r="U13" s="9"/>
    </row>
    <row r="14" spans="1:41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105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67</v>
      </c>
      <c r="Z14" s="9">
        <v>775</v>
      </c>
      <c r="AA14" s="9">
        <v>775</v>
      </c>
      <c r="AB14" s="9" t="s">
        <v>66</v>
      </c>
      <c r="AC14" s="9" t="s">
        <v>67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105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102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103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125</v>
      </c>
      <c r="Y18" s="27" t="s">
        <v>118</v>
      </c>
      <c r="Z18" s="9">
        <v>600</v>
      </c>
      <c r="AA18" s="9"/>
      <c r="AB18" s="9" t="s">
        <v>73</v>
      </c>
      <c r="AC18" s="9" t="s">
        <v>75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125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104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103</v>
      </c>
      <c r="AL20"/>
      <c r="AM20"/>
      <c r="AN20"/>
      <c r="AO20"/>
    </row>
    <row r="21" spans="1:41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105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414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522</v>
      </c>
      <c r="B24" s="13" t="s">
        <v>119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f t="shared" si="5"/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528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541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  <c r="AA1" t="s">
        <v>510</v>
      </c>
      <c r="AD1" t="s">
        <v>512</v>
      </c>
    </row>
    <row r="2" spans="1:30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475</v>
      </c>
      <c r="U2">
        <v>33500</v>
      </c>
      <c r="V2">
        <f>U2*1.5</f>
        <v>50250</v>
      </c>
      <c r="AA2" t="s">
        <v>513</v>
      </c>
      <c r="AB2">
        <v>2017</v>
      </c>
      <c r="AC2" t="s">
        <v>511</v>
      </c>
      <c r="AD2" t="s">
        <v>509</v>
      </c>
    </row>
    <row r="3" spans="1:30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473</v>
      </c>
      <c r="U3">
        <v>18700</v>
      </c>
      <c r="V3">
        <f t="shared" ref="V3" si="5">U3*1.5</f>
        <v>28050</v>
      </c>
    </row>
    <row r="4" spans="1:30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354</v>
      </c>
      <c r="U4">
        <v>16380</v>
      </c>
      <c r="V4">
        <f>U4*1.5</f>
        <v>24570</v>
      </c>
    </row>
    <row r="5" spans="1:30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474</v>
      </c>
      <c r="U5">
        <v>12420</v>
      </c>
      <c r="V5">
        <f>U5*1.5</f>
        <v>18630</v>
      </c>
    </row>
    <row r="6" spans="1:30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  <c r="T9" s="13"/>
      <c r="U9" s="13" t="s">
        <v>438</v>
      </c>
      <c r="V9" s="13" t="s">
        <v>515</v>
      </c>
      <c r="W9" s="13" t="s">
        <v>437</v>
      </c>
      <c r="X9" s="13" t="s">
        <v>514</v>
      </c>
    </row>
    <row r="10" spans="1:30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436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470</v>
      </c>
      <c r="T11" s="13" t="s">
        <v>435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434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452</v>
      </c>
      <c r="T13" s="13" t="s">
        <v>516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445</v>
      </c>
      <c r="O14" s="16">
        <v>80</v>
      </c>
      <c r="P14" s="16">
        <f>O14</f>
        <v>80</v>
      </c>
      <c r="Q14">
        <v>4000</v>
      </c>
      <c r="T14" s="13" t="s">
        <v>517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431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444</v>
      </c>
      <c r="O16" s="16">
        <v>5</v>
      </c>
      <c r="P16" s="16">
        <f t="shared" ref="P16:P17" si="12">O16+P15</f>
        <v>95</v>
      </c>
      <c r="Q16">
        <v>500</v>
      </c>
      <c r="T16" s="13" t="s">
        <v>429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430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428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455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456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341</v>
      </c>
      <c r="X37" s="13" t="s">
        <v>519</v>
      </c>
    </row>
    <row r="38" spans="1:24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  <c r="V38" s="13" t="s">
        <v>436</v>
      </c>
      <c r="W38" s="13">
        <v>78082</v>
      </c>
      <c r="X38" s="13">
        <v>4</v>
      </c>
    </row>
    <row r="39" spans="1:24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  <c r="V39" s="13" t="s">
        <v>435</v>
      </c>
      <c r="W39" s="13">
        <v>75286.5</v>
      </c>
      <c r="X39" s="13">
        <v>9</v>
      </c>
    </row>
    <row r="40" spans="1:24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  <c r="V40" s="13" t="s">
        <v>434</v>
      </c>
      <c r="W40" s="13">
        <v>56496</v>
      </c>
      <c r="X40" s="13">
        <v>13</v>
      </c>
    </row>
    <row r="41" spans="1:24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516</v>
      </c>
      <c r="W41" s="13">
        <v>50618</v>
      </c>
      <c r="X41" s="13">
        <v>5</v>
      </c>
    </row>
    <row r="42" spans="1:24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517</v>
      </c>
      <c r="W42" s="13">
        <v>44904</v>
      </c>
      <c r="X42" s="13">
        <v>28</v>
      </c>
    </row>
    <row r="43" spans="1:24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431</v>
      </c>
      <c r="W43" s="13">
        <v>33635</v>
      </c>
      <c r="X43" s="13">
        <v>9</v>
      </c>
    </row>
    <row r="44" spans="1:24">
      <c r="V44" s="13" t="s">
        <v>429</v>
      </c>
      <c r="W44" s="13">
        <v>28646.5</v>
      </c>
      <c r="X44" s="13">
        <v>21</v>
      </c>
    </row>
    <row r="45" spans="1:24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  <c r="V45" s="13" t="s">
        <v>430</v>
      </c>
      <c r="W45" s="13">
        <v>27499.5</v>
      </c>
      <c r="X45" s="13">
        <v>8</v>
      </c>
    </row>
    <row r="46" spans="1:24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428</v>
      </c>
      <c r="W46" s="13">
        <v>19207.5</v>
      </c>
      <c r="X46" s="13">
        <v>3</v>
      </c>
    </row>
    <row r="47" spans="1:24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4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446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446</v>
      </c>
      <c r="L58" s="16">
        <f>(SUM(L48:L52) +L57)/100</f>
        <v>56139.46</v>
      </c>
    </row>
    <row r="59" spans="1:13">
      <c r="K59" t="s">
        <v>341</v>
      </c>
    </row>
    <row r="60" spans="1:13">
      <c r="K60" t="s">
        <v>393</v>
      </c>
      <c r="L60">
        <v>49877</v>
      </c>
    </row>
    <row r="61" spans="1:13">
      <c r="K61" t="s">
        <v>529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530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530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531</v>
      </c>
    </row>
    <row r="30" spans="17:20">
      <c r="Q30" t="s">
        <v>532</v>
      </c>
      <c r="R30" s="84">
        <v>2020</v>
      </c>
      <c r="S30" s="84">
        <v>2030</v>
      </c>
      <c r="T30" s="84">
        <v>2050</v>
      </c>
    </row>
    <row r="31" spans="17:20">
      <c r="Q31" t="s">
        <v>533</v>
      </c>
      <c r="R31" s="83">
        <v>21.175000000000001</v>
      </c>
      <c r="S31" s="83">
        <v>40.68</v>
      </c>
      <c r="T31">
        <v>79.69</v>
      </c>
    </row>
    <row r="32" spans="17:20">
      <c r="Q32" s="83" t="s">
        <v>103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534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104</v>
      </c>
      <c r="R34" s="85">
        <v>6.48</v>
      </c>
      <c r="S34" s="85">
        <v>6.48</v>
      </c>
      <c r="T34" s="85">
        <v>6.48</v>
      </c>
    </row>
    <row r="35" spans="17:20">
      <c r="Q35" t="s">
        <v>99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105</v>
      </c>
      <c r="R36" s="83">
        <v>13.4</v>
      </c>
      <c r="S36" s="83">
        <v>14.65</v>
      </c>
      <c r="T36">
        <v>42.74</v>
      </c>
    </row>
    <row r="37" spans="17:20">
      <c r="Q37" t="s">
        <v>106</v>
      </c>
      <c r="R37" s="83">
        <v>1.69</v>
      </c>
      <c r="S37" s="83">
        <v>1.69</v>
      </c>
      <c r="T37">
        <v>1.69</v>
      </c>
    </row>
    <row r="38" spans="17:20">
      <c r="Q38" t="s">
        <v>535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102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107</v>
      </c>
      <c r="R40" s="83">
        <v>7.5</v>
      </c>
      <c r="S40" s="83">
        <v>7.5</v>
      </c>
      <c r="T40">
        <v>7.5</v>
      </c>
    </row>
    <row r="41" spans="17:20">
      <c r="Q41" s="83" t="s">
        <v>536</v>
      </c>
      <c r="R41" s="83">
        <v>45</v>
      </c>
      <c r="S41" s="83">
        <v>45</v>
      </c>
      <c r="T41" s="83">
        <v>45</v>
      </c>
    </row>
    <row r="42" spans="17:20">
      <c r="Q42" t="s">
        <v>100</v>
      </c>
      <c r="R42" s="83">
        <v>82.5</v>
      </c>
      <c r="S42" s="83">
        <v>82.5</v>
      </c>
      <c r="T42">
        <v>82.5</v>
      </c>
    </row>
    <row r="43" spans="17:20">
      <c r="Q43" s="83" t="s">
        <v>101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537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I25" sqref="I25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  <c r="O1" t="s">
        <v>521</v>
      </c>
    </row>
    <row r="2" spans="1:15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5">
      <c r="A3" s="13" t="s">
        <v>213</v>
      </c>
      <c r="B3" s="13">
        <v>0</v>
      </c>
      <c r="C3" s="13">
        <f>D11</f>
        <v>24500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5">
      <c r="A4" s="13" t="s">
        <v>477</v>
      </c>
      <c r="B4" s="13">
        <v>0</v>
      </c>
      <c r="C4" s="13">
        <f>C3</f>
        <v>24500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</v>
      </c>
      <c r="I4" s="13" t="b">
        <v>1</v>
      </c>
      <c r="J4" s="13">
        <v>1.5</v>
      </c>
      <c r="K4" s="13">
        <v>1</v>
      </c>
      <c r="L4" s="13">
        <v>15</v>
      </c>
      <c r="M4" s="13" t="s">
        <v>500</v>
      </c>
    </row>
    <row r="6" spans="1:15">
      <c r="E6" t="s">
        <v>508</v>
      </c>
      <c r="G6" t="s">
        <v>502</v>
      </c>
    </row>
    <row r="7" spans="1:15">
      <c r="D7" s="13">
        <v>26776</v>
      </c>
      <c r="E7" t="s">
        <v>481</v>
      </c>
      <c r="F7" t="s">
        <v>503</v>
      </c>
    </row>
    <row r="8" spans="1:15">
      <c r="D8" s="13">
        <v>26500</v>
      </c>
      <c r="E8" t="s">
        <v>480</v>
      </c>
    </row>
    <row r="9" spans="1:15">
      <c r="D9">
        <v>20000</v>
      </c>
      <c r="E9" t="s">
        <v>520</v>
      </c>
    </row>
    <row r="10" spans="1:15">
      <c r="D10">
        <f>D8-D9</f>
        <v>6500</v>
      </c>
      <c r="M10" s="13"/>
    </row>
    <row r="11" spans="1:15">
      <c r="D11">
        <f>18000+D10</f>
        <v>24500</v>
      </c>
    </row>
    <row r="12" spans="1:15">
      <c r="D12">
        <v>19200</v>
      </c>
      <c r="E12" t="s">
        <v>539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v>3880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v>3880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0</v>
      </c>
      <c r="B1" s="73" t="s">
        <v>488</v>
      </c>
      <c r="C1" s="13" t="s">
        <v>489</v>
      </c>
      <c r="F1" t="s">
        <v>504</v>
      </c>
      <c r="G1" t="s">
        <v>505</v>
      </c>
    </row>
    <row r="2" spans="1:12">
      <c r="A2" s="73" t="s">
        <v>436</v>
      </c>
      <c r="B2" s="77">
        <v>78082</v>
      </c>
      <c r="C2" s="13">
        <v>0.04</v>
      </c>
      <c r="E2" s="13" t="s">
        <v>439</v>
      </c>
      <c r="F2">
        <v>50000</v>
      </c>
      <c r="G2" s="77">
        <v>102043.30769230769</v>
      </c>
    </row>
    <row r="3" spans="1:12">
      <c r="A3" s="73" t="s">
        <v>435</v>
      </c>
      <c r="B3" s="77">
        <v>75286.5</v>
      </c>
      <c r="C3" s="13">
        <v>0.09</v>
      </c>
      <c r="E3" s="13" t="s">
        <v>434</v>
      </c>
      <c r="F3">
        <v>40000</v>
      </c>
      <c r="G3" s="77">
        <v>84942</v>
      </c>
    </row>
    <row r="4" spans="1:12">
      <c r="A4" s="73" t="s">
        <v>434</v>
      </c>
      <c r="B4" s="77">
        <v>56496</v>
      </c>
      <c r="C4" s="13">
        <v>0.13</v>
      </c>
      <c r="E4" s="13" t="s">
        <v>440</v>
      </c>
      <c r="F4">
        <v>30000</v>
      </c>
      <c r="G4" s="77">
        <v>63489.515151515152</v>
      </c>
    </row>
    <row r="5" spans="1:12">
      <c r="A5" s="73" t="s">
        <v>518</v>
      </c>
      <c r="B5" s="77">
        <v>50618</v>
      </c>
      <c r="C5" s="13">
        <v>0.05</v>
      </c>
      <c r="E5" s="13" t="s">
        <v>431</v>
      </c>
      <c r="F5">
        <v>20000</v>
      </c>
      <c r="G5" s="77">
        <v>42700</v>
      </c>
    </row>
    <row r="6" spans="1:12">
      <c r="A6" s="73" t="s">
        <v>517</v>
      </c>
      <c r="B6" s="77">
        <v>44904</v>
      </c>
      <c r="C6" s="13">
        <v>0.28000000000000003</v>
      </c>
      <c r="E6" s="13" t="s">
        <v>429</v>
      </c>
      <c r="F6">
        <v>10000</v>
      </c>
      <c r="G6" s="77">
        <v>32723</v>
      </c>
      <c r="H6" t="s">
        <v>493</v>
      </c>
    </row>
    <row r="7" spans="1:12">
      <c r="A7" s="73" t="s">
        <v>431</v>
      </c>
      <c r="B7" s="34">
        <v>33635</v>
      </c>
      <c r="C7" s="13">
        <v>0.09</v>
      </c>
      <c r="H7">
        <f>SUM(C2:C8)</f>
        <v>0.89</v>
      </c>
      <c r="J7" s="13" t="s">
        <v>430</v>
      </c>
      <c r="K7" s="34">
        <v>30429</v>
      </c>
      <c r="L7" s="13">
        <v>0.08</v>
      </c>
    </row>
    <row r="8" spans="1:12">
      <c r="A8" s="73" t="s">
        <v>429</v>
      </c>
      <c r="B8" s="34">
        <v>28646.5</v>
      </c>
      <c r="C8" s="13">
        <v>0.21</v>
      </c>
      <c r="J8" s="13" t="s">
        <v>428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0</v>
      </c>
      <c r="B1" s="75" t="s">
        <v>491</v>
      </c>
      <c r="C1" s="75" t="s">
        <v>492</v>
      </c>
      <c r="D1" s="75" t="s">
        <v>499</v>
      </c>
      <c r="F1" s="82" t="s">
        <v>526</v>
      </c>
      <c r="G1" t="s">
        <v>490</v>
      </c>
    </row>
    <row r="2" spans="1:13">
      <c r="A2" s="73" t="s">
        <v>436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430</v>
      </c>
      <c r="L2" s="13">
        <f>G7-0.05</f>
        <v>0.03</v>
      </c>
      <c r="M2" s="75">
        <v>0</v>
      </c>
    </row>
    <row r="3" spans="1:13">
      <c r="A3" s="73" t="s">
        <v>435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428</v>
      </c>
      <c r="L3" s="13">
        <v>0</v>
      </c>
      <c r="M3" s="75">
        <v>0</v>
      </c>
    </row>
    <row r="4" spans="1:13">
      <c r="A4" s="73" t="s">
        <v>434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518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517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431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429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430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428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2024-09-06T16:50:43Z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