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7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9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A34DBB6-89F5-409B-876D-1CC0A2A82322}" xr6:coauthVersionLast="47" xr6:coauthVersionMax="47" xr10:uidLastSave="{00000000-0000-0000-0000-000000000000}"/>
  <bookViews>
    <workbookView xWindow="-120" yWindow="-120" windowWidth="29040" windowHeight="17640" tabRatio="998" firstSheet="4" activeTab="4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CO2Limit" sheetId="80" r:id="rId5"/>
    <sheet name="CapacityMarkets" sheetId="27" r:id="rId6"/>
    <sheet name="StrategicReserveOperator" sheetId="47" r:id="rId7"/>
    <sheet name="ElectricitySpotMarkets" sheetId="14" r:id="rId8"/>
    <sheet name="CapacitySubscriptionConsumer" sheetId="70" r:id="rId9"/>
    <sheet name="CS_subscribed" sheetId="76" r:id="rId10"/>
    <sheet name="LoadShedders" sheetId="65" r:id="rId11"/>
    <sheet name="yearlyLoadShifterCap" sheetId="78" r:id="rId12"/>
    <sheet name="yearlyHydrogen" sheetId="77" r:id="rId13"/>
    <sheet name="LoadShifterCap" sheetId="64" r:id="rId14"/>
    <sheet name="LSyearly" sheetId="69" r:id="rId15"/>
    <sheet name="peakLoad" sheetId="67" r:id="rId16"/>
    <sheet name="Fuels" sheetId="29" r:id="rId17"/>
    <sheet name="FuelPriceTrends" sheetId="30" r:id="rId18"/>
    <sheet name="CandidatePowerPlants" sheetId="45" r:id="rId19"/>
    <sheet name="TechnologiesEmlab" sheetId="33" r:id="rId20"/>
    <sheet name="TechnologyTrends" sheetId="63" r:id="rId21"/>
    <sheet name="EnergyProducers" sheetId="17" r:id="rId22"/>
    <sheet name="weatherYears40" sheetId="61" r:id="rId23"/>
    <sheet name="Dismantled" sheetId="49" r:id="rId24"/>
    <sheet name="Sheet1" sheetId="79" r:id="rId25"/>
    <sheet name="derating" sheetId="74" r:id="rId26"/>
    <sheet name="VOLLs" sheetId="72" r:id="rId27"/>
    <sheet name="LoadShedders_feb24" sheetId="73" r:id="rId28"/>
    <sheet name="LoadShedders (2)" sheetId="75" r:id="rId29"/>
    <sheet name="LoadShedders2" sheetId="68" r:id="rId30"/>
    <sheet name="LoadShedders_copy" sheetId="71" r:id="rId31"/>
    <sheet name="dictvariables" sheetId="43" r:id="rId32"/>
    <sheet name="StepTrends" sheetId="18" r:id="rId33"/>
    <sheet name="EnergyConsumers" sheetId="16" r:id="rId34"/>
    <sheet name="yearlytechnologyPotentials2" sheetId="58" r:id="rId35"/>
    <sheet name="graphs" sheetId="56" r:id="rId36"/>
    <sheet name="CO2DE" sheetId="44" r:id="rId37"/>
    <sheet name="backup" sheetId="50" r:id="rId38"/>
    <sheet name="weatherYearsOLD" sheetId="66" r:id="rId39"/>
    <sheet name="sources" sheetId="54" r:id="rId40"/>
    <sheet name="NewTechnologies" sheetId="35" r:id="rId41"/>
  </sheets>
  <definedNames>
    <definedName name="_xlnm._FilterDatabase" localSheetId="18" hidden="1">CandidatePowerPlants!$A$1:$D$1</definedName>
    <definedName name="_xlnm._FilterDatabase" localSheetId="1" hidden="1">dictTech!$A$1:$C$1</definedName>
    <definedName name="_xlnm._FilterDatabase" localSheetId="21" hidden="1">EnergyProducers!#REF!</definedName>
    <definedName name="_xlnm._FilterDatabase" localSheetId="40" hidden="1">NewTechnologies!$A$1:$I$11</definedName>
    <definedName name="_xlnm._FilterDatabase" localSheetId="19" hidden="1">TechnologiesEmlab!$A$1:$I$23</definedName>
    <definedName name="_xlnm._FilterDatabase" localSheetId="26" hidden="1">VOLLs!$A$1:$D$1</definedName>
    <definedName name="ExternalData_19" localSheetId="16" hidden="1">Fuels!#REF!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C2" i="78"/>
  <c r="B2" i="78"/>
  <c r="S24" i="54"/>
  <c r="T24" i="54"/>
  <c r="R24" i="54"/>
  <c r="L61" i="72"/>
  <c r="L58" i="72"/>
  <c r="L53" i="72"/>
  <c r="L54" i="72"/>
  <c r="L57" i="72"/>
  <c r="L55" i="72"/>
  <c r="AC13" i="61"/>
  <c r="AD13" i="61"/>
  <c r="AE13" i="61"/>
  <c r="AF13" i="61"/>
  <c r="E13" i="61"/>
  <c r="F13" i="61" s="1"/>
  <c r="G13" i="61" s="1"/>
  <c r="H13" i="61" s="1"/>
  <c r="I13" i="61" s="1"/>
  <c r="J13" i="61" s="1"/>
  <c r="K13" i="61" s="1"/>
  <c r="L13" i="61" s="1"/>
  <c r="M13" i="61" s="1"/>
  <c r="N13" i="61" s="1"/>
  <c r="O13" i="61" s="1"/>
  <c r="P13" i="61" s="1"/>
  <c r="Q13" i="61" s="1"/>
  <c r="R13" i="61" s="1"/>
  <c r="S13" i="61" s="1"/>
  <c r="T13" i="61" s="1"/>
  <c r="U13" i="61" s="1"/>
  <c r="V13" i="61" s="1"/>
  <c r="W13" i="61" s="1"/>
  <c r="X13" i="61" s="1"/>
  <c r="Y13" i="61" s="1"/>
  <c r="Z13" i="61" s="1"/>
  <c r="AA13" i="61" s="1"/>
  <c r="AB13" i="61" s="1"/>
  <c r="D13" i="61"/>
  <c r="B13" i="61"/>
  <c r="D8" i="76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L6" i="71"/>
  <c r="B4" i="77"/>
  <c r="L48" i="72"/>
  <c r="L49" i="72"/>
  <c r="L50" i="72"/>
  <c r="L51" i="72"/>
  <c r="L52" i="72"/>
  <c r="A71" i="63"/>
  <c r="A72" i="63"/>
  <c r="A48" i="63"/>
  <c r="A49" i="63"/>
  <c r="A50" i="63"/>
  <c r="A25" i="63"/>
  <c r="A26" i="63"/>
  <c r="A2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D24" i="33"/>
  <c r="E24" i="33"/>
  <c r="F24" i="33"/>
  <c r="H24" i="33"/>
  <c r="I24" i="33"/>
  <c r="C24" i="33"/>
  <c r="B3" i="64"/>
  <c r="D6" i="64" s="1"/>
  <c r="D7" i="64"/>
  <c r="D4" i="65"/>
  <c r="K4" i="64"/>
  <c r="C3" i="76" l="1"/>
  <c r="C4" i="76"/>
  <c r="C5" i="76"/>
  <c r="C6" i="76"/>
  <c r="C7" i="76"/>
  <c r="C8" i="76"/>
  <c r="B3" i="76"/>
  <c r="D3" i="76" s="1"/>
  <c r="B4" i="76"/>
  <c r="D4" i="76" s="1"/>
  <c r="B5" i="76"/>
  <c r="D5" i="76" s="1"/>
  <c r="B6" i="76"/>
  <c r="D6" i="76" s="1"/>
  <c r="B7" i="76"/>
  <c r="D7" i="76" s="1"/>
  <c r="B8" i="76"/>
  <c r="B2" i="76"/>
  <c r="D2" i="76" s="1"/>
  <c r="X14" i="72"/>
  <c r="X15" i="72"/>
  <c r="X16" i="72"/>
  <c r="X17" i="72"/>
  <c r="X18" i="72"/>
  <c r="X13" i="72"/>
  <c r="X12" i="72"/>
  <c r="X11" i="72"/>
  <c r="X10" i="72"/>
  <c r="U10" i="72"/>
  <c r="U11" i="72" s="1"/>
  <c r="U12" i="72" s="1"/>
  <c r="U13" i="72" s="1"/>
  <c r="U14" i="72" s="1"/>
  <c r="U15" i="72" s="1"/>
  <c r="U16" i="72" s="1"/>
  <c r="U17" i="72" s="1"/>
  <c r="U18" i="72" s="1"/>
  <c r="N13" i="72"/>
  <c r="V2" i="72"/>
  <c r="J4" i="72"/>
  <c r="J3" i="72"/>
  <c r="J5" i="72"/>
  <c r="E3" i="47"/>
  <c r="E2" i="47"/>
  <c r="G2" i="76" l="1"/>
  <c r="G3" i="76"/>
  <c r="G4" i="76"/>
  <c r="G5" i="76"/>
  <c r="G6" i="76"/>
  <c r="A27" i="63"/>
  <c r="C3" i="69" l="1"/>
  <c r="J13" i="76"/>
  <c r="C2" i="76"/>
  <c r="I13" i="76"/>
  <c r="H7" i="70"/>
  <c r="G7" i="76"/>
  <c r="L2" i="76" s="1"/>
  <c r="G9" i="76"/>
  <c r="D10" i="65"/>
  <c r="C10" i="65"/>
  <c r="L3" i="72"/>
  <c r="L4" i="72"/>
  <c r="L5" i="72"/>
  <c r="L6" i="72"/>
  <c r="L2" i="72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J2" i="69" l="1"/>
  <c r="K2" i="69" s="1"/>
  <c r="L2" i="69" s="1"/>
  <c r="D1" i="64"/>
  <c r="J48" i="72"/>
  <c r="J51" i="72"/>
  <c r="J52" i="72"/>
  <c r="J54" i="72"/>
  <c r="J47" i="72"/>
  <c r="I49" i="72"/>
  <c r="I50" i="72"/>
  <c r="I48" i="72"/>
  <c r="V3" i="72"/>
  <c r="V6" i="72" s="1"/>
  <c r="V5" i="72"/>
  <c r="V4" i="72"/>
  <c r="E2" i="72"/>
  <c r="F50" i="72"/>
  <c r="F49" i="72"/>
  <c r="F48" i="72"/>
  <c r="F47" i="72"/>
  <c r="F46" i="72"/>
  <c r="F43" i="72"/>
  <c r="F39" i="72"/>
  <c r="D40" i="72"/>
  <c r="F40" i="72" s="1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E11" i="72" l="1"/>
  <c r="M2" i="72"/>
  <c r="J49" i="72"/>
  <c r="J53" i="72"/>
  <c r="J6" i="72"/>
  <c r="J7" i="72"/>
  <c r="J8" i="72"/>
  <c r="I6" i="72"/>
  <c r="I52" i="72" s="1"/>
  <c r="I7" i="72"/>
  <c r="I53" i="72" s="1"/>
  <c r="I8" i="72"/>
  <c r="I54" i="72" s="1"/>
  <c r="I5" i="72"/>
  <c r="I51" i="72" s="1"/>
  <c r="J50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P2" i="72" l="1"/>
  <c r="M48" i="72" s="1"/>
  <c r="N2" i="72"/>
  <c r="K48" i="72"/>
  <c r="A73" i="63" l="1"/>
  <c r="D3" i="67" l="1"/>
  <c r="C3" i="65"/>
  <c r="B3" i="65"/>
  <c r="C2" i="65"/>
  <c r="B2" i="65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V22" i="33"/>
  <c r="V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V14" i="33"/>
  <c r="V15" i="33"/>
  <c r="V16" i="33"/>
  <c r="V17" i="33"/>
  <c r="V18" i="33"/>
  <c r="V2" i="33"/>
  <c r="V3" i="33"/>
  <c r="V6" i="33"/>
  <c r="V7" i="33"/>
  <c r="V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W18" i="33"/>
  <c r="W2" i="33"/>
  <c r="W19" i="33"/>
  <c r="W3" i="33"/>
  <c r="W14" i="33"/>
  <c r="W22" i="33"/>
  <c r="W23" i="33"/>
  <c r="W8" i="33"/>
  <c r="W16" i="33"/>
  <c r="W17" i="33"/>
  <c r="W15" i="33"/>
  <c r="W4" i="33"/>
  <c r="C3" i="18"/>
  <c r="S20" i="33"/>
  <c r="W20" i="33" s="1"/>
  <c r="T20" i="33"/>
  <c r="U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V4" i="33"/>
  <c r="V19" i="33" l="1"/>
  <c r="V8" i="33"/>
  <c r="V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N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O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<sst xmlns="http://schemas.openxmlformats.org/spreadsheetml/2006/main" count="1126" uniqueCount="545">
  <si>
    <t>tabs in yellow</t>
  </si>
  <si>
    <t>from EMLab</t>
  </si>
  <si>
    <t>columns in pink</t>
  </si>
  <si>
    <t>from traderes</t>
  </si>
  <si>
    <t>columns in green</t>
  </si>
  <si>
    <t>from AMIRIS</t>
  </si>
  <si>
    <t xml:space="preserve">columns in gray </t>
  </si>
  <si>
    <t>not in use</t>
  </si>
  <si>
    <t>Data</t>
  </si>
  <si>
    <t>comment</t>
  </si>
  <si>
    <t>Emlab parameter</t>
  </si>
  <si>
    <t>for dutch case</t>
  </si>
  <si>
    <t>Power Plants</t>
  </si>
  <si>
    <t>Installed power plants by 2020</t>
  </si>
  <si>
    <t>for now, from EMLab 2017. input from EWI merit order curve, fraunhofer, Kraftwerksliste Bundesnetzagentur</t>
  </si>
  <si>
    <t>Installed power plants by 2040</t>
  </si>
  <si>
    <t>for now ENTSOE report. Take later results from optmization models</t>
  </si>
  <si>
    <t xml:space="preserve">Potentials per technologies per country </t>
  </si>
  <si>
    <t>Biomass from TNO</t>
  </si>
  <si>
    <t>targets (start, min value, increment)</t>
  </si>
  <si>
    <t>CO2 price</t>
  </si>
  <si>
    <t>same as Germany?</t>
  </si>
  <si>
    <t>powerTechnologies</t>
  </si>
  <si>
    <t>efficiencies</t>
  </si>
  <si>
    <t>to verify</t>
  </si>
  <si>
    <t>lifetime_technical</t>
  </si>
  <si>
    <t>lifetime_economic</t>
  </si>
  <si>
    <t>Investment costs</t>
  </si>
  <si>
    <t xml:space="preserve">for missing technologies: Coal PSC from pypsa </t>
  </si>
  <si>
    <t>vom costs</t>
  </si>
  <si>
    <t>missing Lignite PSC, Hydro ROR</t>
  </si>
  <si>
    <t xml:space="preserve">fom costs </t>
  </si>
  <si>
    <t xml:space="preserve"> €/MW(h)/year  missing Fuel oil PGT, hydro, storages</t>
  </si>
  <si>
    <t xml:space="preserve">FixedOperatingCostTimeSeries -&gt; growth trend </t>
  </si>
  <si>
    <t>FixedOperatingCostModifierAfterLifetime</t>
  </si>
  <si>
    <t>fixed costs are increased after their lifetime</t>
  </si>
  <si>
    <t>x</t>
  </si>
  <si>
    <t>expectedPermittime</t>
  </si>
  <si>
    <t>expectedLeadtime</t>
  </si>
  <si>
    <t xml:space="preserve">expected building time </t>
  </si>
  <si>
    <t>MaximumInstalledCapacityFractionPerAgent</t>
  </si>
  <si>
    <t>maximum capacity installed per year per technology</t>
  </si>
  <si>
    <t>PeakSegmentDependentAvailability</t>
  </si>
  <si>
    <t>for capacity market</t>
  </si>
  <si>
    <t>EnergyToPowerRatio</t>
  </si>
  <si>
    <t>storage</t>
  </si>
  <si>
    <t>ChargingEfficiency</t>
  </si>
  <si>
    <t>DischargingEfficiency</t>
  </si>
  <si>
    <t xml:space="preserve">Fuel for technology </t>
  </si>
  <si>
    <t>dictionary</t>
  </si>
  <si>
    <t>Fuels</t>
  </si>
  <si>
    <t>prices</t>
  </si>
  <si>
    <t>use the traderes data as the trend start</t>
  </si>
  <si>
    <t>trends (min, max, top)</t>
  </si>
  <si>
    <t>Instead of trend, should use fix future prices</t>
  </si>
  <si>
    <t>co2Density</t>
  </si>
  <si>
    <t>energyDensity</t>
  </si>
  <si>
    <t>Demand</t>
  </si>
  <si>
    <t>Renewables</t>
  </si>
  <si>
    <t>YieldProfile</t>
  </si>
  <si>
    <t>Res Support</t>
  </si>
  <si>
    <t>Set</t>
  </si>
  <si>
    <t xml:space="preserve"> for AMIRIS</t>
  </si>
  <si>
    <t>SupportInstrument</t>
  </si>
  <si>
    <t>FIT</t>
  </si>
  <si>
    <t>Premium</t>
  </si>
  <si>
    <t>Lcoe</t>
  </si>
  <si>
    <t>EnergyProducers</t>
  </si>
  <si>
    <t>downpaymentFractionOfCash</t>
  </si>
  <si>
    <t>dismantlingRequiredOperatingProfit</t>
  </si>
  <si>
    <t>dismantlingProlongingYearsAfterTechnicalLifetime</t>
  </si>
  <si>
    <t>debtRatioOfInvestments</t>
  </si>
  <si>
    <t>equityInterestRate</t>
  </si>
  <si>
    <t>or use interest from technologies?</t>
  </si>
  <si>
    <t>CapacityMarkets</t>
  </si>
  <si>
    <t>InstalledReserveMargin</t>
  </si>
  <si>
    <t>LowerMargin</t>
  </si>
  <si>
    <t>UpperMargin</t>
  </si>
  <si>
    <t>PriceCap</t>
  </si>
  <si>
    <t>Strategic Reserve</t>
  </si>
  <si>
    <t>reservePriceSR</t>
  </si>
  <si>
    <t>reserveVolumePercentSR</t>
  </si>
  <si>
    <t>VOLL per consumer group</t>
  </si>
  <si>
    <t>this is not yet implemented in amiris - emlab</t>
  </si>
  <si>
    <t>Governments</t>
  </si>
  <si>
    <t>co2Penalty</t>
  </si>
  <si>
    <t>For now we can use exogenous CO2 price</t>
  </si>
  <si>
    <t>co2TaxTrend</t>
  </si>
  <si>
    <t>co2CapTrend</t>
  </si>
  <si>
    <t>minCo2PriceTrend</t>
  </si>
  <si>
    <t xml:space="preserve">Wind and PV trend </t>
  </si>
  <si>
    <t>dictTech</t>
  </si>
  <si>
    <t>dictionary to translate technology names from traderes/emlab to AMIRIS</t>
  </si>
  <si>
    <t>dictFuel</t>
  </si>
  <si>
    <t>dictionary to translate fuel names from traderes/emlab to AMIRIS</t>
  </si>
  <si>
    <t>traderes_technology</t>
  </si>
  <si>
    <t>AmirisSet</t>
  </si>
  <si>
    <t>TechNumber</t>
  </si>
  <si>
    <t>don’t move the columns order</t>
  </si>
  <si>
    <t>Biofuel</t>
  </si>
  <si>
    <t>Undefined</t>
  </si>
  <si>
    <t>This list was used to assign the power plants lists to the data from traderes</t>
  </si>
  <si>
    <t>CCGT</t>
  </si>
  <si>
    <t xml:space="preserve">the technology number is assigned to make the names of power plants, AMIRIS needs a </t>
  </si>
  <si>
    <t>CCS gas</t>
  </si>
  <si>
    <t>Hard Coal</t>
  </si>
  <si>
    <t>Hydro Reservoir</t>
  </si>
  <si>
    <t>RunOfRiver</t>
  </si>
  <si>
    <t>hydrogen CHP</t>
  </si>
  <si>
    <t>hydrogen OCGT</t>
  </si>
  <si>
    <t>hydrogen CCGT</t>
  </si>
  <si>
    <t>Hydropower ROR</t>
  </si>
  <si>
    <t>Lignite</t>
  </si>
  <si>
    <t>Lithium ion battery</t>
  </si>
  <si>
    <t>Nuclear</t>
  </si>
  <si>
    <t>OCGT</t>
  </si>
  <si>
    <t>Oil</t>
  </si>
  <si>
    <t>PHS Discharge</t>
  </si>
  <si>
    <t>Solar PV large</t>
  </si>
  <si>
    <t>OtherPV</t>
  </si>
  <si>
    <t>Solar PV rooftop</t>
  </si>
  <si>
    <t>PVRooftop</t>
  </si>
  <si>
    <t>Wind Offshore</t>
  </si>
  <si>
    <t>WindOff</t>
  </si>
  <si>
    <t>Wind Onshore</t>
  </si>
  <si>
    <t>WindOn</t>
  </si>
  <si>
    <t>electrolyzer</t>
  </si>
  <si>
    <t>Lithium ion battery 4</t>
  </si>
  <si>
    <t>TraderesFuelname</t>
  </si>
  <si>
    <t>AmirisFuelName</t>
  </si>
  <si>
    <t>FuelNumber</t>
  </si>
  <si>
    <t>Fuel Numbers are assigned to make ids</t>
  </si>
  <si>
    <t>hard_coal</t>
  </si>
  <si>
    <t>HARD_COAL</t>
  </si>
  <si>
    <t>lignite</t>
  </si>
  <si>
    <t>LIGNITE</t>
  </si>
  <si>
    <t>processing_residues</t>
  </si>
  <si>
    <t>WASTE</t>
  </si>
  <si>
    <t>LNG</t>
  </si>
  <si>
    <t>oil</t>
  </si>
  <si>
    <t>OIL</t>
  </si>
  <si>
    <t>hydrogen</t>
  </si>
  <si>
    <t>HYDROGEN</t>
  </si>
  <si>
    <t>natural_gas</t>
  </si>
  <si>
    <t>NATURAL_GAS</t>
  </si>
  <si>
    <t>nuclear</t>
  </si>
  <si>
    <t>NUCLEAR</t>
  </si>
  <si>
    <t>bioliquids</t>
  </si>
  <si>
    <t>BIOLIQUIDS</t>
  </si>
  <si>
    <t>biomethane</t>
  </si>
  <si>
    <t>BIOMASS</t>
  </si>
  <si>
    <t>biomethane is not in AMIRIS</t>
  </si>
  <si>
    <t>OTHER</t>
  </si>
  <si>
    <t>targetTrend</t>
  </si>
  <si>
    <t>targetCountry</t>
  </si>
  <si>
    <t>targetTechnology</t>
  </si>
  <si>
    <t>yearlytargetNL_windonshore</t>
  </si>
  <si>
    <t>NL</t>
  </si>
  <si>
    <t>yearlytargetNL_windoffshore</t>
  </si>
  <si>
    <t>yearlytargetNL_PV</t>
  </si>
  <si>
    <t>year</t>
  </si>
  <si>
    <t>CO2_emission_intensity_limit</t>
  </si>
  <si>
    <t>Name</t>
  </si>
  <si>
    <t>TargetCapacity</t>
  </si>
  <si>
    <t>InitialPrice</t>
  </si>
  <si>
    <t>country</t>
  </si>
  <si>
    <t>long_term</t>
  </si>
  <si>
    <t>PriceCapTimesCONE</t>
  </si>
  <si>
    <t>forward_years_CM</t>
  </si>
  <si>
    <t>years_long_term_market</t>
  </si>
  <si>
    <t>allowed_technologies</t>
  </si>
  <si>
    <t>&lt; to set CONE</t>
  </si>
  <si>
    <t>GermanCapacityMarket</t>
  </si>
  <si>
    <t>DE</t>
  </si>
  <si>
    <t>hydrogen turbine,hydrogen OCGT,Lithium ion battery,Lithium ion battery 4,hydrogen CCGT, OCGT, CCGT</t>
  </si>
  <si>
    <t>DutchCapacityMarket</t>
  </si>
  <si>
    <t>DutchForwardCapacityMarket</t>
  </si>
  <si>
    <t>vres</t>
  </si>
  <si>
    <t>pricap is used for capacity market and then rewritten</t>
  </si>
  <si>
    <t>old</t>
  </si>
  <si>
    <t>initialprice is for CS</t>
  </si>
  <si>
    <t>new</t>
  </si>
  <si>
    <t>novres</t>
  </si>
  <si>
    <t>lowTV</t>
  </si>
  <si>
    <t>novresHH</t>
  </si>
  <si>
    <t>name</t>
  </si>
  <si>
    <t>zone</t>
  </si>
  <si>
    <t>max_years_in_reserve</t>
  </si>
  <si>
    <t>years_accepted_inSR_before_decommissioned</t>
  </si>
  <si>
    <t>cash</t>
  </si>
  <si>
    <t>list_of_plants</t>
  </si>
  <si>
    <t>reserveVolume</t>
  </si>
  <si>
    <t>&lt;reserveVolume, cash and list of plants are to saved during simulations</t>
  </si>
  <si>
    <t>SRO_DE</t>
  </si>
  <si>
    <t>If max years in reserve are less than look ahead years, that can bring shortages. No time to invest in estimated reserve</t>
  </si>
  <si>
    <t>SRO_NL</t>
  </si>
  <si>
    <t>Max years in reserve should be more years than years_accepted_inSR_before_decommissioned. Otherwise plants can be decommissioned before their end of lifetime</t>
  </si>
  <si>
    <t>valueOfLostLoad</t>
  </si>
  <si>
    <t>realDemandIncrease</t>
  </si>
  <si>
    <t>WTP</t>
  </si>
  <si>
    <t>max_subscribed_percentage</t>
  </si>
  <si>
    <t>low wtp</t>
  </si>
  <si>
    <t>high wtp</t>
  </si>
  <si>
    <t>transport</t>
  </si>
  <si>
    <t>public sector and transport</t>
  </si>
  <si>
    <t xml:space="preserve">public sector </t>
  </si>
  <si>
    <t>commercial and service sector</t>
  </si>
  <si>
    <t>industry</t>
  </si>
  <si>
    <t xml:space="preserve">industry, non energy intensive </t>
  </si>
  <si>
    <t>household other</t>
  </si>
  <si>
    <t xml:space="preserve">industry, energy intensive </t>
  </si>
  <si>
    <t>household city center</t>
  </si>
  <si>
    <t>sum - unsubcribed - voluntary =1</t>
  </si>
  <si>
    <t>household feed in areas</t>
  </si>
  <si>
    <t>industrySME</t>
  </si>
  <si>
    <t>subscribed_yearly</t>
  </si>
  <si>
    <t>bid</t>
  </si>
  <si>
    <t>subscribed_volume</t>
  </si>
  <si>
    <t>&lt; initial subscribed volume</t>
  </si>
  <si>
    <t>max</t>
  </si>
  <si>
    <t>TimeSeriesFile</t>
  </si>
  <si>
    <t>TimeSeriesFileFuture</t>
  </si>
  <si>
    <t>ShedderCapacityMW</t>
  </si>
  <si>
    <t>VOLL</t>
  </si>
  <si>
    <t>-</t>
  </si>
  <si>
    <t>amiris-config/data/LS_hydrogen.csv</t>
  </si>
  <si>
    <t>amiris-config/data/future_LS_hydrogen.csv</t>
  </si>
  <si>
    <t>parameters</t>
  </si>
  <si>
    <t>peakConsumptionInMWyearly</t>
  </si>
  <si>
    <t>averagemonthlyConsumptionMWhyearly</t>
  </si>
  <si>
    <t>this data overwrites LoadShifterCap</t>
  </si>
  <si>
    <t>ShedderCapacityMWyearly</t>
  </si>
  <si>
    <t>Industrial_load_shifter</t>
  </si>
  <si>
    <t>peakConsumptionInMW</t>
  </si>
  <si>
    <t>&lt; if produce at max, every hour</t>
  </si>
  <si>
    <t>new results</t>
  </si>
  <si>
    <t>Old results</t>
  </si>
  <si>
    <t>averagemonthlyConsumptionMWh</t>
  </si>
  <si>
    <t>&lt; from competes results S3 = maximal industrial load/12</t>
  </si>
  <si>
    <t>TWh</t>
  </si>
  <si>
    <t>monthlyTimeSeriesFile</t>
  </si>
  <si>
    <t>None</t>
  </si>
  <si>
    <t>amiris-config/data/hydrogen_demand.csv</t>
  </si>
  <si>
    <t>from excel</t>
  </si>
  <si>
    <t>percentage_load</t>
  </si>
  <si>
    <t>reduction per year</t>
  </si>
  <si>
    <t>year 4</t>
  </si>
  <si>
    <t xml:space="preserve">according to ACER </t>
  </si>
  <si>
    <t xml:space="preserve">don’t change this </t>
  </si>
  <si>
    <t>1 - 3 -4-5…</t>
  </si>
  <si>
    <t>ElectricitySpotMarketNL</t>
  </si>
  <si>
    <t>this is just for initialization. The peak load is calculated in the initilization clock step</t>
  </si>
  <si>
    <t>&lt; load plus cap of industrial demand</t>
  </si>
  <si>
    <t>traderes fuels</t>
  </si>
  <si>
    <t>trend</t>
  </si>
  <si>
    <t>AmirisFuelSpecificCo2EmissionsInTperMWH</t>
  </si>
  <si>
    <t>from traderes https://github.com/PyPSA/technology-data/blob/master/outputs/costs_2020.csv</t>
  </si>
  <si>
    <t>biomethaneTrend</t>
  </si>
  <si>
    <t>electricity</t>
  </si>
  <si>
    <t>demandGrowthTrend</t>
  </si>
  <si>
    <t>hardCoalTrend</t>
  </si>
  <si>
    <t>OilTrend</t>
  </si>
  <si>
    <t>ligniteCoalTrend</t>
  </si>
  <si>
    <t>naturalGasTrend</t>
  </si>
  <si>
    <t>uraniumTrend</t>
  </si>
  <si>
    <t>residuesTrend</t>
  </si>
  <si>
    <t>hydrogenTrend</t>
  </si>
  <si>
    <t>Top</t>
  </si>
  <si>
    <t>Max</t>
  </si>
  <si>
    <t>Min</t>
  </si>
  <si>
    <t>Traderes fuel costs are taken as the start of the trend</t>
  </si>
  <si>
    <t>co2StartingPrice</t>
  </si>
  <si>
    <t>Technology</t>
  </si>
  <si>
    <t>ViableInvestment</t>
  </si>
  <si>
    <t>Realistic_capacity</t>
  </si>
  <si>
    <t>&lt; cannot model heat sector coupling, so not including CHP</t>
  </si>
  <si>
    <t>Fuel oil PGT</t>
  </si>
  <si>
    <t>hydrogen combined cycle</t>
  </si>
  <si>
    <t>traderes technology</t>
  </si>
  <si>
    <t>type</t>
  </si>
  <si>
    <t>Intermittent</t>
  </si>
  <si>
    <t>MaximumLifeExtension</t>
  </si>
  <si>
    <t>deratingFactor</t>
  </si>
  <si>
    <t>traderesfuels</t>
  </si>
  <si>
    <t>interest_rate</t>
  </si>
  <si>
    <t>no vres</t>
  </si>
  <si>
    <t>vres batteries</t>
  </si>
  <si>
    <t>CONE</t>
  </si>
  <si>
    <t>ApplicableForLongTermContract</t>
  </si>
  <si>
    <t>MaximumInstalledCapacityFractionInCountry</t>
  </si>
  <si>
    <t>permit and construction</t>
  </si>
  <si>
    <t>Complete info</t>
  </si>
  <si>
    <t xml:space="preserve">not defined </t>
  </si>
  <si>
    <t>emlabname</t>
  </si>
  <si>
    <t>capacity</t>
  </si>
  <si>
    <t>FUELNEW</t>
  </si>
  <si>
    <t>FUELTYPENEW</t>
  </si>
  <si>
    <t>EMISSIONS</t>
  </si>
  <si>
    <t>VAR O&amp;M</t>
  </si>
  <si>
    <t>FIXED O&amp;M</t>
  </si>
  <si>
    <t>CCS TRANSPORT</t>
  </si>
  <si>
    <t>lifetime extension</t>
  </si>
  <si>
    <t>ConventionalPlantOperator</t>
  </si>
  <si>
    <t>cheap one</t>
  </si>
  <si>
    <t>RES</t>
  </si>
  <si>
    <t>Onshore wind PGT</t>
  </si>
  <si>
    <t>WIND</t>
  </si>
  <si>
    <t>ONSHORE</t>
  </si>
  <si>
    <t>Photovoltaic PGT</t>
  </si>
  <si>
    <t>SUN</t>
  </si>
  <si>
    <t>PV</t>
  </si>
  <si>
    <t>Biomass CHP</t>
  </si>
  <si>
    <t>Standalone</t>
  </si>
  <si>
    <t>StorageTrader</t>
  </si>
  <si>
    <t>VariableRenewableOperator</t>
  </si>
  <si>
    <t>other</t>
  </si>
  <si>
    <t>GAS</t>
  </si>
  <si>
    <t>CCS CCGT</t>
  </si>
  <si>
    <t>central gas boiler</t>
  </si>
  <si>
    <t>&lt; here for industrial heat</t>
  </si>
  <si>
    <t>Offshore wind PGT</t>
  </si>
  <si>
    <t>OFFSHORE</t>
  </si>
  <si>
    <t>Gas</t>
  </si>
  <si>
    <t>geometricTrend</t>
  </si>
  <si>
    <t>growthRate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</si>
  <si>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</si>
  <si>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modifier</t>
  </si>
  <si>
    <t>&lt;Increase of fixed operating costs after lifetime</t>
  </si>
  <si>
    <t>geometric trend</t>
  </si>
  <si>
    <t>plus</t>
  </si>
  <si>
    <t>minus</t>
  </si>
  <si>
    <t xml:space="preserve">year </t>
  </si>
  <si>
    <t>var</t>
  </si>
  <si>
    <t>efficiency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</si>
  <si>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</si>
  <si>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</si>
  <si>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otherwise it is looked interpolating the avialable data</t>
  </si>
  <si>
    <t>&lt; TECHNOLOGIES TEND TO BE MORE CHEAPER</t>
  </si>
  <si>
    <t>&lt; must be negative. As technologies use to get cheaper</t>
  </si>
  <si>
    <t>&lt; must be negative. As efficiency tend to decrease</t>
  </si>
  <si>
    <t>investorMarket</t>
  </si>
  <si>
    <t>willingToInvest</t>
  </si>
  <si>
    <t>loanInterestRate</t>
  </si>
  <si>
    <t>longTermContractPastTimeHorizon</t>
  </si>
  <si>
    <t>longTermContractMargin</t>
  </si>
  <si>
    <t>ProducerDE</t>
  </si>
  <si>
    <t>ElectricitySpotMarketDE</t>
  </si>
  <si>
    <t>ProducerNL</t>
  </si>
  <si>
    <t>weatheryear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</si>
  <si>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</si>
  <si>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</si>
  <si>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</si>
  <si>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</si>
  <si>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</si>
  <si>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</si>
  <si>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</si>
  <si>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</si>
  <si>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</si>
  <si>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</si>
  <si>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iterationLOWtoHIGHvRES</t>
  </si>
  <si>
    <t>iteration2020-2050</t>
  </si>
  <si>
    <t>Decommissioned</t>
  </si>
  <si>
    <t>Expected</t>
  </si>
  <si>
    <t>[]</t>
  </si>
  <si>
    <t>Done</t>
  </si>
  <si>
    <t>resource adequacy netherlands 2024</t>
  </si>
  <si>
    <t>hydrogen turbine</t>
  </si>
  <si>
    <t>cummulative</t>
  </si>
  <si>
    <t>VOLL original</t>
  </si>
  <si>
    <t>Percentage</t>
  </si>
  <si>
    <t>weighted average</t>
  </si>
  <si>
    <t>VOLL simplified</t>
  </si>
  <si>
    <t>percentage load</t>
  </si>
  <si>
    <t>load_unsheddable</t>
  </si>
  <si>
    <t>divided by 10</t>
  </si>
  <si>
    <t>real VOLL/25</t>
  </si>
  <si>
    <t>de nooij</t>
  </si>
  <si>
    <t>inflation adjusted</t>
  </si>
  <si>
    <t>source</t>
  </si>
  <si>
    <t>Eur/kwh</t>
  </si>
  <si>
    <t>government</t>
  </si>
  <si>
    <t>CMR regulation</t>
  </si>
  <si>
    <t>Belgium</t>
  </si>
  <si>
    <t>23,3</t>
  </si>
  <si>
    <t>manufacturing</t>
  </si>
  <si>
    <t>household</t>
  </si>
  <si>
    <t xml:space="preserve">industry, lasrge scale,non energy intensive </t>
  </si>
  <si>
    <t>services</t>
  </si>
  <si>
    <t xml:space="preserve">industry, lasrge scale, energy intensive </t>
  </si>
  <si>
    <t>Eur/mwh</t>
  </si>
  <si>
    <t>divided by 25 (real)</t>
  </si>
  <si>
    <t>ecorys</t>
  </si>
  <si>
    <t>Nooij ecorys average</t>
  </si>
  <si>
    <t>Eur/mw</t>
  </si>
  <si>
    <t>old VOLL</t>
  </si>
  <si>
    <t xml:space="preserve">industry,non energy intensive </t>
  </si>
  <si>
    <t xml:space="preserve">Group of consumers were asked for their  willingness to pay of consumers for not being curtailed one hour. </t>
  </si>
  <si>
    <t>the interviews were done during times of high electricity prices. And it refers to the</t>
  </si>
  <si>
    <t>subscribed</t>
  </si>
  <si>
    <t>unsubscribed</t>
  </si>
  <si>
    <t>Share volume</t>
  </si>
  <si>
    <t>how it was</t>
  </si>
  <si>
    <t>wholesale market VOLL Eur/MWh</t>
  </si>
  <si>
    <t>capacity market VOLL</t>
  </si>
  <si>
    <t>shortages LOLE</t>
  </si>
  <si>
    <t>cost of non supplied</t>
  </si>
  <si>
    <t>percentage</t>
  </si>
  <si>
    <t>subscribed1</t>
  </si>
  <si>
    <t>subscribed2</t>
  </si>
  <si>
    <t>unsubscribed1</t>
  </si>
  <si>
    <t>unsubscribed2</t>
  </si>
  <si>
    <t>unsubscribed3</t>
  </si>
  <si>
    <t>how will change</t>
  </si>
  <si>
    <t>VOLL *0.04</t>
  </si>
  <si>
    <t>RS</t>
  </si>
  <si>
    <t>reliability_standard</t>
  </si>
  <si>
    <t>CSV</t>
  </si>
  <si>
    <t>wholesale market</t>
  </si>
  <si>
    <t>calculated VOLL</t>
  </si>
  <si>
    <t>cone</t>
  </si>
  <si>
    <t>peak load</t>
  </si>
  <si>
    <t>CapacityMarketVlue</t>
  </si>
  <si>
    <t>volume</t>
  </si>
  <si>
    <t>The VOLL is saved in a different tab so that it can be added per year.</t>
  </si>
  <si>
    <t>base</t>
  </si>
  <si>
    <t>amiris-config/data/LS_base.csv</t>
  </si>
  <si>
    <t>amiris-config/data/future_LS_base.csv</t>
  </si>
  <si>
    <t>high</t>
  </si>
  <si>
    <t>amiris-config/data/LS_high.csv</t>
  </si>
  <si>
    <t>amiris-config/data/future_LS_high.csv</t>
  </si>
  <si>
    <t>industrial</t>
  </si>
  <si>
    <t>mid</t>
  </si>
  <si>
    <t>amiris-config/data/LS_mid.csv</t>
  </si>
  <si>
    <t>amiris-config/data/future_LS_mid.csv</t>
  </si>
  <si>
    <t>low</t>
  </si>
  <si>
    <t>amiris-config/data/LS_low.csv</t>
  </si>
  <si>
    <t>amiris-config/data/future_LS_low.csv</t>
  </si>
  <si>
    <t>commerce</t>
  </si>
  <si>
    <t>price</t>
  </si>
  <si>
    <t>electrolyzer efficieny * H2 price</t>
  </si>
  <si>
    <t>for less flexible scenario reduce the electrolyzer MW</t>
  </si>
  <si>
    <t>&lt;last capacity</t>
  </si>
  <si>
    <t>average CONE</t>
  </si>
  <si>
    <t>Eur/MWh</t>
  </si>
  <si>
    <t>Amiris</t>
  </si>
  <si>
    <t>Traderes</t>
  </si>
  <si>
    <t>identifier</t>
  </si>
  <si>
    <t>OpexVarInEURperMWH</t>
  </si>
  <si>
    <t>variable_operating_costs</t>
  </si>
  <si>
    <t>Efficiency Minimal</t>
  </si>
  <si>
    <t>Efficiency Maximal</t>
  </si>
  <si>
    <t>BlockSizeInMW</t>
  </si>
  <si>
    <t>Capacity</t>
  </si>
  <si>
    <t>InstalledPowerInMW</t>
  </si>
  <si>
    <t>FuelType</t>
  </si>
  <si>
    <t>fuel</t>
  </si>
  <si>
    <t>duration</t>
  </si>
  <si>
    <t>start</t>
  </si>
  <si>
    <t>minValue</t>
  </si>
  <si>
    <t>increment</t>
  </si>
  <si>
    <t>max(self.min_value, self.start + math.floor(time / self.duration) * self.increment)</t>
  </si>
  <si>
    <t>windTargetTrend</t>
  </si>
  <si>
    <t>pvTargetTrendDE</t>
  </si>
  <si>
    <t>windTargetTrendNL</t>
  </si>
  <si>
    <t>pvTargetTrendNL</t>
  </si>
  <si>
    <t>Targets now covered through yearly targets</t>
  </si>
  <si>
    <t>ContractWillingnessToPayFactor</t>
  </si>
  <si>
    <t>ContractDurationPreferenceFactor</t>
  </si>
  <si>
    <t>LtcMaximumCoverageFraction</t>
  </si>
  <si>
    <t>EnergyConsumer</t>
  </si>
  <si>
    <t>traderesTechnology</t>
  </si>
  <si>
    <t>Country</t>
  </si>
  <si>
    <t>parameter</t>
  </si>
  <si>
    <t>MW</t>
  </si>
  <si>
    <t>Biomass_CHP_wood_pellets_DH</t>
  </si>
  <si>
    <t>yearlyPotential</t>
  </si>
  <si>
    <t>Type</t>
  </si>
  <si>
    <t>Year</t>
  </si>
  <si>
    <t>Germany</t>
  </si>
  <si>
    <t>Netherlands</t>
  </si>
  <si>
    <t>Unit</t>
  </si>
  <si>
    <t>From tradeRES Scenario data corrected Transformed by Ricardo to GW with availability of 0.73</t>
  </si>
  <si>
    <t>Solid Biomass</t>
  </si>
  <si>
    <t>windonshore</t>
  </si>
  <si>
    <t>windoffshore</t>
  </si>
  <si>
    <t xml:space="preserve">DE from TYNDP 2020; </t>
  </si>
  <si>
    <t>€/TCO2</t>
  </si>
  <si>
    <t>PV_commercial_systems</t>
  </si>
  <si>
    <t>investment_limit</t>
  </si>
  <si>
    <t>PV_residential</t>
  </si>
  <si>
    <t>Biomass_CHP_wood_pellets_PH</t>
  </si>
  <si>
    <t>PV_utility_systems</t>
  </si>
  <si>
    <t>WTG_offshore</t>
  </si>
  <si>
    <t>WTG_onshore</t>
  </si>
  <si>
    <t>ReleaseTrend</t>
  </si>
  <si>
    <t>Wave_energy</t>
  </si>
  <si>
    <t>UpperTriggerTrend</t>
  </si>
  <si>
    <t>LowerTriggerTrend</t>
  </si>
  <si>
    <t>Power_to_Jet_Fuel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</si>
  <si>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</si>
  <si>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</si>
  <si>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</si>
  <si>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</si>
  <si>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</si>
  <si>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</si>
  <si>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</si>
  <si>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CCGT_CHP_backpressure_DH</t>
  </si>
  <si>
    <t>CCGT_CHP_backpressure_PH</t>
  </si>
  <si>
    <t>CCS</t>
  </si>
  <si>
    <t>Nuclear_CHP_DH</t>
  </si>
  <si>
    <t>Nuclear_CHP_PH</t>
  </si>
  <si>
    <t>PEM_Electrolyzer</t>
  </si>
  <si>
    <t>Lithium_ion_battery</t>
  </si>
  <si>
    <t>Pumped_hydro</t>
  </si>
  <si>
    <t>Coal PSC</t>
  </si>
  <si>
    <t>Lignite PSC</t>
  </si>
  <si>
    <t>iteration11</t>
  </si>
  <si>
    <t>iteration12</t>
  </si>
  <si>
    <t>iteration13</t>
  </si>
  <si>
    <t>iteration14</t>
  </si>
  <si>
    <t>iteration15</t>
  </si>
  <si>
    <t>iteration16</t>
  </si>
  <si>
    <t>https://www.umweltbundesamt.de/sites/default/files/medien/378/publikationen/energieziel_2050_kurz.pdf</t>
  </si>
  <si>
    <t>https://www.sciencedirect.com/science/article/pii/S1364032116002240#f0010</t>
  </si>
  <si>
    <t>RE H2 imports eur/mwh</t>
  </si>
  <si>
    <t>&lt; Benjamin lux study said 81 eur/mwh from outside europe. COMPETES 84 eur/mwh</t>
  </si>
  <si>
    <t>old prices</t>
  </si>
  <si>
    <t>heavy_oil</t>
  </si>
  <si>
    <t>light_oil</t>
  </si>
  <si>
    <t>oil_shale</t>
  </si>
  <si>
    <t>wood_pellets</t>
  </si>
  <si>
    <t>collectable_residues</t>
  </si>
  <si>
    <t>Category</t>
  </si>
  <si>
    <t>Commodity</t>
  </si>
  <si>
    <t>direction</t>
  </si>
  <si>
    <t>Vintage</t>
  </si>
  <si>
    <t>Scenario</t>
  </si>
  <si>
    <t>Unit size</t>
  </si>
  <si>
    <t>original unit size</t>
  </si>
  <si>
    <t>Electricity-only production</t>
  </si>
  <si>
    <t>output</t>
  </si>
  <si>
    <t>Heating and cooling (electric and fuel-based)</t>
  </si>
  <si>
    <t>CCGT CHP backpressure</t>
  </si>
  <si>
    <t>Storage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</si>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</sst>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6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ptos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rgb="FFF2DCDB"/>
      </patternFill>
    </fill>
    <fill>
      <patternFill patternType="solid">
        <fgColor rgb="FFC6EFCE"/>
        <bgColor rgb="FFDCE6F2"/>
      </patternFill>
    </fill>
    <fill>
      <patternFill patternType="solid">
        <fgColor rgb="FFFFC000"/>
        <bgColor rgb="FFF7964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  <xf numFmtId="0" fontId="32" fillId="0" borderId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/>
    <xf numFmtId="0" fontId="27" fillId="0" borderId="0" applyBorder="0" applyProtection="0">
      <alignment horizontal="left"/>
    </xf>
    <xf numFmtId="0" fontId="33" fillId="0" borderId="0" applyBorder="0" applyProtection="0">
      <alignment horizontal="left"/>
    </xf>
    <xf numFmtId="0" fontId="33" fillId="0" borderId="0" applyBorder="0" applyProtection="0"/>
    <xf numFmtId="0" fontId="34" fillId="18" borderId="0" applyBorder="0" applyProtection="0"/>
    <xf numFmtId="0" fontId="35" fillId="19" borderId="0" applyBorder="0" applyProtection="0"/>
    <xf numFmtId="43" fontId="27" fillId="0" borderId="0" applyFont="0" applyFill="0" applyBorder="0" applyAlignment="0" applyProtection="0"/>
  </cellStyleXfs>
  <cellXfs count="88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29" fillId="16" borderId="2" xfId="7" applyBorder="1"/>
    <xf numFmtId="0" fontId="31" fillId="0" borderId="1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20" borderId="0" xfId="0" applyFill="1"/>
    <xf numFmtId="0" fontId="32" fillId="0" borderId="0" xfId="8"/>
    <xf numFmtId="0" fontId="34" fillId="18" borderId="0" xfId="15" applyBorder="1" applyProtection="1"/>
    <xf numFmtId="1" fontId="27" fillId="0" borderId="1" xfId="5" applyNumberFormat="1" applyBorder="1"/>
    <xf numFmtId="0" fontId="17" fillId="0" borderId="0" xfId="0" applyFont="1" applyAlignment="1">
      <alignment horizontal="center" wrapText="1"/>
    </xf>
  </cellXfs>
  <cellStyles count="18">
    <cellStyle name="Bad" xfId="3" builtinId="27"/>
    <cellStyle name="Comma 2" xfId="6" xr:uid="{BF3EB6FC-FC95-4FE7-813F-81CB67931BA3}"/>
    <cellStyle name="Comma 3" xfId="17" xr:uid="{EC3F74C3-E658-4B8E-8E2D-1D204471E535}"/>
    <cellStyle name="Excel Built-in Bad" xfId="15" xr:uid="{FC3567C3-8CB5-48B0-A638-E9E56C1F295B}"/>
    <cellStyle name="Excel Built-in Good" xfId="16" xr:uid="{651E5F43-1029-4C21-ADB0-979C3207B0A7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Normal 2 2" xfId="8" xr:uid="{A01D160F-0C8C-41E9-9536-F0F70C7D2080}"/>
    <cellStyle name="Percent" xfId="4" builtinId="5"/>
    <cellStyle name="Pivot Table Category" xfId="12" xr:uid="{490B0C4A-8B55-4C85-A6EC-626AB4F4C002}"/>
    <cellStyle name="Pivot Table Corner" xfId="10" xr:uid="{39431C57-6D60-4AA1-A352-56B126537FAA}"/>
    <cellStyle name="Pivot Table Field" xfId="9" xr:uid="{6E662220-3590-41A0-8849-6CB7E314BABD}"/>
    <cellStyle name="Pivot Table Result" xfId="14" xr:uid="{1775B612-0A38-43E0-B28F-C3B2118022AA}"/>
    <cellStyle name="Pivot Table Title" xfId="13" xr:uid="{29723493-A899-4EB9-A66F-095DE0911528}"/>
    <cellStyle name="Pivot Table Value" xfId="11" xr:uid="{476FF3DB-81F8-4526-8518-020DE9636A0C}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onnections" Target="connections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industrial</a:t>
            </a:r>
            <a:r>
              <a:rPr lang="nl-NL" baseline="0"/>
              <a:t> heating capacity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yearlyLoadShifterCap!$B$1</c:f>
              <c:strCache>
                <c:ptCount val="1"/>
                <c:pt idx="0">
                  <c:v>peakConsumptionInMWyearly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yearlyLoadShifterCap!$A$2:$A$4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yearlyLoadShifterCap!$B$2:$B$4</c:f>
              <c:numCache>
                <c:formatCode>General</c:formatCode>
                <c:ptCount val="3"/>
                <c:pt idx="0">
                  <c:v>3100</c:v>
                </c:pt>
                <c:pt idx="1">
                  <c:v>3676</c:v>
                </c:pt>
                <c:pt idx="2">
                  <c:v>6155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0-427D-BE3C-FCFC3DFB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97472"/>
        <c:axId val="222719072"/>
      </c:scatterChart>
      <c:valAx>
        <c:axId val="2226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2719072"/>
        <c:crosses val="autoZero"/>
        <c:crossBetween val="midCat"/>
      </c:valAx>
      <c:valAx>
        <c:axId val="222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2269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electrolyzers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yearlyHydrogen!$B$1</c:f>
              <c:strCache>
                <c:ptCount val="1"/>
                <c:pt idx="0">
                  <c:v>ShedderCapacityMWyearly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yearlyHydrogen!$A$2:$A$4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yearlyHydrogen!$B$2:$B$4</c:f>
              <c:numCache>
                <c:formatCode>General</c:formatCode>
                <c:ptCount val="3"/>
                <c:pt idx="0">
                  <c:v>3000</c:v>
                </c:pt>
                <c:pt idx="1">
                  <c:v>6731</c:v>
                </c:pt>
                <c:pt idx="2">
                  <c:v>37450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3-47A4-A944-9FD95C1F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62448"/>
        <c:axId val="1352621984"/>
      </c:scatterChart>
      <c:valAx>
        <c:axId val="17054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52621984"/>
        <c:crosses val="autoZero"/>
        <c:crossBetween val="midCat"/>
      </c:valAx>
      <c:valAx>
        <c:axId val="13526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0546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VOLLs!$C$1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VOLLs!$B$2:$B$10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VOLLs!$Q$13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VOLLs!$P$14:$P$17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VOLLs!$P$29:$P$30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VOLLs!$Q$29:$Q$30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VOLLs!$R$32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VOLLs!$P$31:$P$34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VOLLs!$Q$31:$Q$34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VOLLs!$J$1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VOLLs!$M$2:$M$8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VOLLs!$J$2:$J$8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VOLLs!$V$9</c:f>
              <c:strCache>
                <c:ptCount val="1"/>
                <c:pt idx="0">
                  <c:v>ecorys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VOLLs!$V$10:$V$18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22-4965-B49B-03A4FD67DDF9}"/>
            </c:ext>
          </c:extLst>
        </c:ser>
        <c:ser>
          <c:idx val="2"/>
          <c:order val="1"/>
          <c:tx>
            <c:strRef>
              <c:f>VOLLs!$X$9</c:f>
              <c:strCache>
                <c:ptCount val="1"/>
                <c:pt idx="0">
                  <c:v>Nooij ecorys average</c:v>
                </c:pt>
              </c:strCache>
            </c:strRef>
          </c:tx>
          <c:xVal>
            <c:numRef>
              <c:f>VOLLs!$U$10:$U$18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VOLLs!$X$10:$X$18</c:f>
              <c:numCache>
                <c:formatCode>General</c:formatCode>
                <c:ptCount val="9"/>
                <c:pt idx="0">
                  <c:v>78082</c:v>
                </c:pt>
                <c:pt idx="1">
                  <c:v>75286.5</c:v>
                </c:pt>
                <c:pt idx="2" formatCode="0">
                  <c:v>56496</c:v>
                </c:pt>
                <c:pt idx="3" formatCode="0">
                  <c:v>50618</c:v>
                </c:pt>
                <c:pt idx="4" formatCode="0">
                  <c:v>44904</c:v>
                </c:pt>
                <c:pt idx="5" formatCode="0">
                  <c:v>33635</c:v>
                </c:pt>
                <c:pt idx="6" formatCode="0">
                  <c:v>28646.5</c:v>
                </c:pt>
                <c:pt idx="7" formatCode="0">
                  <c:v>27499.5</c:v>
                </c:pt>
                <c:pt idx="8" formatCode="0">
                  <c:v>19207.5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22-4965-B49B-03A4FD67D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126686</xdr:rowOff>
    </xdr:from>
    <xdr:to>
      <xdr:col>12</xdr:col>
      <xdr:colOff>73199</xdr:colOff>
      <xdr:row>21</xdr:row>
      <xdr:rowOff>2201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A63393-80C2-4816-B343-8132E90C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75" y="1841186"/>
          <a:ext cx="3730799" cy="2161515"/>
        </a:xfrm>
        <a:prstGeom prst="rect">
          <a:avLst/>
        </a:prstGeom>
      </xdr:spPr>
    </xdr:pic>
    <xdr:clientData/>
  </xdr:twoCellAnchor>
  <xdr:twoCellAnchor editAs="oneCell">
    <xdr:from>
      <xdr:col>13</xdr:col>
      <xdr:colOff>262836</xdr:colOff>
      <xdr:row>8</xdr:row>
      <xdr:rowOff>0</xdr:rowOff>
    </xdr:from>
    <xdr:to>
      <xdr:col>17</xdr:col>
      <xdr:colOff>605191</xdr:colOff>
      <xdr:row>21</xdr:row>
      <xdr:rowOff>97189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ED80BE-C67D-4A8C-808B-21BCE7A01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0911" y="1524000"/>
          <a:ext cx="2780755" cy="2573689"/>
        </a:xfrm>
        <a:prstGeom prst="rect">
          <a:avLst/>
        </a:prstGeom>
      </xdr:spPr>
    </xdr:pic>
    <xdr:clientData/>
  </xdr:twoCellAnchor>
  <xdr:twoCellAnchor>
    <xdr:from>
      <xdr:col>7</xdr:col>
      <xdr:colOff>498475</xdr:colOff>
      <xdr:row>23</xdr:row>
      <xdr:rowOff>130175</xdr:rowOff>
    </xdr:from>
    <xdr:to>
      <xdr:col>15</xdr:col>
      <xdr:colOff>193675</xdr:colOff>
      <xdr:row>38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C342C3-8A0C-A74F-75CA-0A3EF32B8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19</xdr:row>
      <xdr:rowOff>34925</xdr:rowOff>
    </xdr:from>
    <xdr:to>
      <xdr:col>21</xdr:col>
      <xdr:colOff>333375</xdr:colOff>
      <xdr:row>33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907B4-DD91-D817-D660-F45C7FF84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542924</xdr:colOff>
      <xdr:row>6</xdr:row>
      <xdr:rowOff>85502</xdr:rowOff>
    </xdr:from>
    <xdr:to>
      <xdr:col>20</xdr:col>
      <xdr:colOff>351101</xdr:colOff>
      <xdr:row>15</xdr:row>
      <xdr:rowOff>66196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01C6A8-0173-EE5A-8469-E1660C1C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8799" y="1228502"/>
          <a:ext cx="4684977" cy="16951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104776</xdr:colOff>
      <xdr:row>1</xdr:row>
      <xdr:rowOff>47625</xdr:rowOff>
    </xdr:from>
    <xdr:to>
      <xdr:col>6</xdr:col>
      <xdr:colOff>593048</xdr:colOff>
      <xdr:row>15</xdr:row>
      <xdr:rowOff>75442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6B368D-C84C-F4F9-F254-09079591C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6" y="238125"/>
          <a:ext cx="4145872" cy="269481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42496</xdr:colOff>
      <xdr:row>21</xdr:row>
      <xdr:rowOff>175847</xdr:rowOff>
    </xdr:from>
    <xdr:to>
      <xdr:col>14</xdr:col>
      <xdr:colOff>373674</xdr:colOff>
      <xdr:row>29</xdr:row>
      <xdr:rowOff>59593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534552</xdr:colOff>
      <xdr:row>18</xdr:row>
      <xdr:rowOff>170008</xdr:rowOff>
    </xdr:from>
    <xdr:to>
      <xdr:col>26</xdr:col>
      <xdr:colOff>850456</xdr:colOff>
      <xdr:row>33</xdr:row>
      <xdr:rowOff>54689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24A65F-276B-4675-83CC-50DD16C9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</xdr:row>
      <xdr:rowOff>190499</xdr:rowOff>
    </xdr:from>
    <xdr:to>
      <xdr:col>13</xdr:col>
      <xdr:colOff>390525</xdr:colOff>
      <xdr:row>41</xdr:row>
      <xdr:rowOff>85724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4B4BBF-4A26-41CC-B135-94BD4B7804AC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438400" y="3619499"/>
          <a:ext cx="5876925" cy="4276725"/>
        </a:xfrm>
        <a:prstGeom prst="rect">
          <a:avLst/>
        </a:prstGeom>
        <a:ln w="0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N1" dT="2022-06-08T21:52:01.09" personId="{9E95C7A5-7FDF-48FF-95DD-9C4C7D0F3D8F}" id="{81BA12EC-87B6-4F63-88B8-8B70CD12E2EF}">
    <text>must be  at least 1, later change downpayment to</text>
  </threadedComment>
  <threadedComment ref="O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22" activePane="bottomLeft" state="frozen"/>
      <selection pane="bottomLeft" activeCell="F60" sqref="F60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0</v>
      </c>
      <c r="B1" t="s">
        <v>1</v>
      </c>
    </row>
    <row r="2" spans="1:5">
      <c r="A2" s="6" t="s">
        <v>2</v>
      </c>
      <c r="B2" t="s">
        <v>3</v>
      </c>
    </row>
    <row r="3" spans="1:5">
      <c r="A3" s="21" t="s">
        <v>4</v>
      </c>
      <c r="B3" t="s">
        <v>5</v>
      </c>
    </row>
    <row r="4" spans="1:5">
      <c r="A4" s="33" t="s">
        <v>6</v>
      </c>
      <c r="B4" t="s">
        <v>7</v>
      </c>
    </row>
    <row r="6" spans="1:5">
      <c r="A6" s="13"/>
      <c r="B6" s="13" t="s">
        <v>8</v>
      </c>
      <c r="C6" s="13" t="s">
        <v>9</v>
      </c>
      <c r="D6" s="13" t="s">
        <v>10</v>
      </c>
      <c r="E6" s="13" t="s">
        <v>11</v>
      </c>
    </row>
    <row r="7" spans="1:5">
      <c r="A7" s="13" t="s">
        <v>12</v>
      </c>
      <c r="B7" s="13" t="s">
        <v>13</v>
      </c>
      <c r="C7" s="13" t="s">
        <v>14</v>
      </c>
      <c r="D7" s="13"/>
      <c r="E7" s="13"/>
    </row>
    <row r="8" spans="1:5">
      <c r="A8" s="13"/>
      <c r="B8" s="13" t="s">
        <v>15</v>
      </c>
      <c r="C8" s="13" t="s">
        <v>16</v>
      </c>
      <c r="D8" s="13"/>
      <c r="E8" s="13"/>
    </row>
    <row r="9" spans="1:5">
      <c r="B9" s="19" t="s">
        <v>17</v>
      </c>
      <c r="C9" s="13" t="s">
        <v>18</v>
      </c>
      <c r="D9" s="13"/>
      <c r="E9" s="13"/>
    </row>
    <row r="10" spans="1:5">
      <c r="B10" s="13" t="s">
        <v>19</v>
      </c>
      <c r="C10" s="13"/>
      <c r="D10" s="13"/>
      <c r="E10" s="13"/>
    </row>
    <row r="11" spans="1:5">
      <c r="B11" s="13" t="s">
        <v>20</v>
      </c>
      <c r="C11" s="13" t="s">
        <v>21</v>
      </c>
      <c r="D11" s="13"/>
      <c r="E11" s="13"/>
    </row>
    <row r="12" spans="1:5">
      <c r="A12" s="13" t="s">
        <v>22</v>
      </c>
      <c r="B12" s="6" t="s">
        <v>23</v>
      </c>
      <c r="C12" s="13" t="s">
        <v>24</v>
      </c>
      <c r="D12" s="13"/>
      <c r="E12" s="13"/>
    </row>
    <row r="13" spans="1:5">
      <c r="A13" s="13"/>
      <c r="B13" s="6" t="s">
        <v>25</v>
      </c>
      <c r="C13" s="13" t="s">
        <v>24</v>
      </c>
      <c r="D13" s="13"/>
    </row>
    <row r="14" spans="1:5">
      <c r="A14" s="13"/>
      <c r="B14" s="6" t="s">
        <v>26</v>
      </c>
      <c r="C14" s="13" t="s">
        <v>24</v>
      </c>
      <c r="D14" s="13"/>
      <c r="E14" s="13"/>
    </row>
    <row r="15" spans="1:5">
      <c r="A15" s="13"/>
      <c r="B15" s="6" t="s">
        <v>27</v>
      </c>
      <c r="C15" s="13" t="s">
        <v>28</v>
      </c>
      <c r="D15" s="13"/>
      <c r="E15" s="13"/>
    </row>
    <row r="16" spans="1:5">
      <c r="A16" s="13"/>
      <c r="B16" s="6" t="s">
        <v>29</v>
      </c>
      <c r="C16" s="13" t="s">
        <v>30</v>
      </c>
      <c r="D16" s="13"/>
      <c r="E16" s="13"/>
    </row>
    <row r="17" spans="1:5">
      <c r="A17" s="13"/>
      <c r="B17" s="6" t="s">
        <v>31</v>
      </c>
      <c r="C17" s="13" t="s">
        <v>32</v>
      </c>
      <c r="D17" s="13"/>
      <c r="E17" s="13"/>
    </row>
    <row r="18" spans="1:5">
      <c r="A18" s="13"/>
      <c r="B18" s="13" t="s">
        <v>33</v>
      </c>
      <c r="C18" s="13"/>
      <c r="D18" s="13"/>
      <c r="E18" s="13"/>
    </row>
    <row r="19" spans="1:5">
      <c r="A19" s="13"/>
      <c r="B19" s="13" t="s">
        <v>34</v>
      </c>
      <c r="C19" s="13" t="s">
        <v>35</v>
      </c>
      <c r="D19" s="13" t="s">
        <v>36</v>
      </c>
      <c r="E19" s="13"/>
    </row>
    <row r="20" spans="1:5">
      <c r="A20" s="13"/>
      <c r="B20" s="13" t="s">
        <v>37</v>
      </c>
      <c r="C20" s="13"/>
      <c r="D20" s="13" t="s">
        <v>36</v>
      </c>
      <c r="E20" s="13"/>
    </row>
    <row r="21" spans="1:5">
      <c r="A21" s="13"/>
      <c r="B21" s="13" t="s">
        <v>38</v>
      </c>
      <c r="C21" s="13" t="s">
        <v>39</v>
      </c>
      <c r="D21" s="13" t="s">
        <v>36</v>
      </c>
      <c r="E21" s="13"/>
    </row>
    <row r="22" spans="1:5">
      <c r="A22" s="13"/>
      <c r="B22" s="13" t="s">
        <v>40</v>
      </c>
      <c r="C22" s="13" t="s">
        <v>41</v>
      </c>
      <c r="D22" s="13" t="s">
        <v>36</v>
      </c>
      <c r="E22" s="13"/>
    </row>
    <row r="23" spans="1:5">
      <c r="A23" s="13"/>
      <c r="B23" s="13" t="s">
        <v>42</v>
      </c>
      <c r="C23" s="18" t="s">
        <v>43</v>
      </c>
      <c r="D23" s="13" t="s">
        <v>36</v>
      </c>
      <c r="E23" s="13"/>
    </row>
    <row r="24" spans="1:5">
      <c r="A24" s="13"/>
      <c r="B24" s="13" t="s">
        <v>44</v>
      </c>
      <c r="C24" s="13" t="s">
        <v>45</v>
      </c>
      <c r="D24" s="13" t="s">
        <v>36</v>
      </c>
    </row>
    <row r="25" spans="1:5">
      <c r="A25" s="13"/>
      <c r="B25" s="13" t="s">
        <v>46</v>
      </c>
      <c r="C25" s="13" t="s">
        <v>45</v>
      </c>
      <c r="D25" s="13"/>
      <c r="E25" s="13"/>
    </row>
    <row r="26" spans="1:5">
      <c r="A26" s="13"/>
      <c r="B26" s="13" t="s">
        <v>47</v>
      </c>
      <c r="C26" s="13" t="s">
        <v>45</v>
      </c>
      <c r="D26" s="13"/>
      <c r="E26" s="13"/>
    </row>
    <row r="27" spans="1:5" ht="17.100000000000001" customHeight="1">
      <c r="A27" s="13"/>
      <c r="B27" s="13" t="s">
        <v>48</v>
      </c>
      <c r="C27" s="13"/>
      <c r="D27" s="13" t="s">
        <v>49</v>
      </c>
      <c r="E27" s="13"/>
    </row>
    <row r="28" spans="1:5">
      <c r="A28" s="13" t="s">
        <v>50</v>
      </c>
      <c r="B28" s="19" t="s">
        <v>51</v>
      </c>
      <c r="C28" s="13" t="s">
        <v>52</v>
      </c>
      <c r="D28" s="13"/>
      <c r="E28" s="13"/>
    </row>
    <row r="29" spans="1:5">
      <c r="A29" s="13"/>
      <c r="B29" s="13" t="s">
        <v>53</v>
      </c>
      <c r="C29" s="13" t="s">
        <v>54</v>
      </c>
      <c r="D29" s="13" t="s">
        <v>36</v>
      </c>
      <c r="E29" s="13"/>
    </row>
    <row r="30" spans="1:5">
      <c r="A30" s="13"/>
      <c r="B30" s="13" t="s">
        <v>55</v>
      </c>
      <c r="C30" s="13"/>
      <c r="D30" s="13"/>
      <c r="E30" s="13"/>
    </row>
    <row r="31" spans="1:5">
      <c r="A31" s="13"/>
      <c r="B31" s="13" t="s">
        <v>56</v>
      </c>
      <c r="C31" s="13"/>
      <c r="D31" s="13"/>
      <c r="E31" s="13"/>
    </row>
    <row r="32" spans="1:5">
      <c r="A32" s="13" t="s">
        <v>57</v>
      </c>
      <c r="B32" s="13" t="s">
        <v>53</v>
      </c>
      <c r="C32" s="13" t="s">
        <v>54</v>
      </c>
      <c r="D32" s="13" t="s">
        <v>36</v>
      </c>
      <c r="E32" s="13"/>
    </row>
    <row r="33" spans="1:5">
      <c r="A33" s="13" t="s">
        <v>58</v>
      </c>
      <c r="B33" s="13" t="s">
        <v>59</v>
      </c>
      <c r="C33" s="13"/>
      <c r="D33" s="13"/>
      <c r="E33" s="13"/>
    </row>
    <row r="34" spans="1:5">
      <c r="A34" s="13" t="s">
        <v>60</v>
      </c>
      <c r="B34" s="13" t="s">
        <v>61</v>
      </c>
      <c r="C34" s="13" t="s">
        <v>62</v>
      </c>
      <c r="D34" s="13"/>
      <c r="E34" s="13"/>
    </row>
    <row r="35" spans="1:5">
      <c r="A35" s="13"/>
      <c r="B35" s="13" t="s">
        <v>63</v>
      </c>
      <c r="C35" s="13" t="s">
        <v>62</v>
      </c>
      <c r="D35" s="13"/>
      <c r="E35" s="13"/>
    </row>
    <row r="36" spans="1:5">
      <c r="A36" s="13"/>
      <c r="B36" s="13" t="s">
        <v>64</v>
      </c>
      <c r="C36" s="13" t="s">
        <v>62</v>
      </c>
      <c r="D36" s="13"/>
      <c r="E36" s="13"/>
    </row>
    <row r="37" spans="1:5">
      <c r="A37" s="13"/>
      <c r="B37" s="13" t="s">
        <v>65</v>
      </c>
      <c r="C37" s="13" t="s">
        <v>62</v>
      </c>
      <c r="D37" s="13"/>
      <c r="E37" s="13"/>
    </row>
    <row r="38" spans="1:5">
      <c r="A38" s="13"/>
      <c r="B38" s="13" t="s">
        <v>66</v>
      </c>
      <c r="C38" s="13" t="s">
        <v>62</v>
      </c>
      <c r="D38" s="13"/>
      <c r="E38" s="13"/>
    </row>
    <row r="39" spans="1:5">
      <c r="A39" s="13" t="s">
        <v>67</v>
      </c>
      <c r="B39" s="13" t="s">
        <v>68</v>
      </c>
      <c r="C39" s="13"/>
      <c r="D39" s="13" t="s">
        <v>36</v>
      </c>
      <c r="E39" s="13"/>
    </row>
    <row r="40" spans="1:5">
      <c r="A40" s="13"/>
      <c r="B40" s="13" t="s">
        <v>69</v>
      </c>
      <c r="C40" s="13"/>
      <c r="D40" s="13" t="s">
        <v>36</v>
      </c>
      <c r="E40" s="13"/>
    </row>
    <row r="41" spans="1:5">
      <c r="A41" s="13"/>
      <c r="B41" s="13" t="s">
        <v>70</v>
      </c>
      <c r="C41" s="13"/>
      <c r="D41" s="13" t="s">
        <v>36</v>
      </c>
      <c r="E41" s="13"/>
    </row>
    <row r="42" spans="1:5">
      <c r="A42" s="13"/>
      <c r="B42" s="13" t="s">
        <v>71</v>
      </c>
      <c r="C42" s="13"/>
      <c r="D42" s="13" t="s">
        <v>36</v>
      </c>
      <c r="E42" s="13"/>
    </row>
    <row r="43" spans="1:5">
      <c r="A43" s="13"/>
      <c r="B43" s="13" t="s">
        <v>72</v>
      </c>
      <c r="C43" s="13" t="s">
        <v>73</v>
      </c>
      <c r="D43" s="13" t="s">
        <v>36</v>
      </c>
      <c r="E43" s="13"/>
    </row>
    <row r="44" spans="1:5">
      <c r="A44" s="13" t="s">
        <v>74</v>
      </c>
      <c r="B44" s="13" t="s">
        <v>75</v>
      </c>
      <c r="C44" s="13"/>
      <c r="D44" s="13" t="s">
        <v>36</v>
      </c>
      <c r="E44" s="13"/>
    </row>
    <row r="45" spans="1:5">
      <c r="A45" s="13"/>
      <c r="B45" s="13" t="s">
        <v>76</v>
      </c>
      <c r="C45" s="13"/>
      <c r="D45" s="13" t="s">
        <v>36</v>
      </c>
      <c r="E45" s="13"/>
    </row>
    <row r="46" spans="1:5">
      <c r="A46" s="13"/>
      <c r="B46" s="13" t="s">
        <v>77</v>
      </c>
      <c r="C46" s="13"/>
      <c r="D46" s="13" t="s">
        <v>36</v>
      </c>
      <c r="E46" s="13"/>
    </row>
    <row r="47" spans="1:5">
      <c r="A47" s="13"/>
      <c r="B47" s="13" t="s">
        <v>78</v>
      </c>
      <c r="C47" s="13"/>
      <c r="D47" s="13" t="s">
        <v>36</v>
      </c>
      <c r="E47" s="13"/>
    </row>
    <row r="48" spans="1:5">
      <c r="A48" s="13" t="s">
        <v>79</v>
      </c>
      <c r="B48" s="13" t="s">
        <v>80</v>
      </c>
      <c r="C48" s="13"/>
      <c r="D48" s="13" t="s">
        <v>36</v>
      </c>
      <c r="E48" s="13"/>
    </row>
    <row r="49" spans="1:5">
      <c r="A49" s="13"/>
      <c r="B49" s="13" t="s">
        <v>81</v>
      </c>
      <c r="C49" s="13"/>
      <c r="D49" s="13" t="s">
        <v>36</v>
      </c>
      <c r="E49" s="13"/>
    </row>
    <row r="50" spans="1:5">
      <c r="A50" s="13" t="s">
        <v>79</v>
      </c>
      <c r="B50" s="13" t="s">
        <v>82</v>
      </c>
      <c r="C50" s="13" t="s">
        <v>83</v>
      </c>
      <c r="D50" s="13" t="s">
        <v>36</v>
      </c>
      <c r="E50" s="13"/>
    </row>
    <row r="51" spans="1:5">
      <c r="A51" s="13" t="s">
        <v>84</v>
      </c>
      <c r="B51" s="13" t="s">
        <v>85</v>
      </c>
      <c r="C51" s="13" t="s">
        <v>86</v>
      </c>
      <c r="D51" s="13" t="s">
        <v>36</v>
      </c>
      <c r="E51" s="13"/>
    </row>
    <row r="52" spans="1:5">
      <c r="A52" s="13"/>
      <c r="B52" s="13" t="s">
        <v>87</v>
      </c>
      <c r="C52" s="13" t="s">
        <v>86</v>
      </c>
      <c r="D52" s="13" t="s">
        <v>36</v>
      </c>
      <c r="E52" s="13"/>
    </row>
    <row r="53" spans="1:5">
      <c r="A53" s="13"/>
      <c r="B53" s="13" t="s">
        <v>88</v>
      </c>
      <c r="C53" s="13" t="s">
        <v>86</v>
      </c>
      <c r="D53" s="13" t="s">
        <v>36</v>
      </c>
      <c r="E53" s="13"/>
    </row>
    <row r="54" spans="1:5">
      <c r="A54" s="13"/>
      <c r="B54" s="13" t="s">
        <v>89</v>
      </c>
      <c r="C54" s="13" t="s">
        <v>86</v>
      </c>
      <c r="D54" s="13" t="s">
        <v>36</v>
      </c>
      <c r="E54" s="13"/>
    </row>
    <row r="55" spans="1:5">
      <c r="A55" s="13"/>
      <c r="B55" s="13" t="s">
        <v>90</v>
      </c>
      <c r="C55" s="13" t="s">
        <v>86</v>
      </c>
      <c r="D55" s="13" t="s">
        <v>36</v>
      </c>
      <c r="E55" s="13"/>
    </row>
    <row r="56" spans="1:5">
      <c r="A56" t="s">
        <v>91</v>
      </c>
      <c r="C56" s="18" t="s">
        <v>92</v>
      </c>
    </row>
    <row r="57" spans="1:5">
      <c r="A57" t="s">
        <v>93</v>
      </c>
      <c r="C57" s="18" t="s">
        <v>94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M15"/>
  <sheetViews>
    <sheetView zoomScale="85" zoomScaleNormal="85" workbookViewId="0">
      <selection activeCell="C2" sqref="C2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6" width="33.42578125" customWidth="1"/>
    <col min="7" max="8" width="17.85546875" customWidth="1"/>
  </cols>
  <sheetData>
    <row r="1" spans="1:13">
      <c r="A1" s="13" t="s">
        <v>162</v>
      </c>
      <c r="B1" s="75" t="s">
        <v>215</v>
      </c>
      <c r="C1" s="75" t="s">
        <v>216</v>
      </c>
      <c r="D1" s="75" t="s">
        <v>217</v>
      </c>
      <c r="F1" s="82" t="s">
        <v>218</v>
      </c>
      <c r="G1" t="s">
        <v>219</v>
      </c>
    </row>
    <row r="2" spans="1:13">
      <c r="A2" s="73" t="s">
        <v>203</v>
      </c>
      <c r="B2" s="13">
        <f>CapacitySubscriptionConsumer!C2</f>
        <v>0.04</v>
      </c>
      <c r="C2" s="78">
        <f>CapacitySubscriptionConsumer!B2</f>
        <v>78082</v>
      </c>
      <c r="D2" s="78">
        <f>+B2*20000</f>
        <v>800</v>
      </c>
      <c r="G2" s="13">
        <f>H2/100</f>
        <v>0.13</v>
      </c>
      <c r="H2">
        <v>13</v>
      </c>
      <c r="K2" s="13" t="s">
        <v>213</v>
      </c>
      <c r="L2" s="13">
        <f>G7-0.05</f>
        <v>0.03</v>
      </c>
      <c r="M2" s="75">
        <v>0</v>
      </c>
    </row>
    <row r="3" spans="1:13">
      <c r="A3" s="73" t="s">
        <v>205</v>
      </c>
      <c r="B3" s="13">
        <f>CapacitySubscriptionConsumer!C3</f>
        <v>0.09</v>
      </c>
      <c r="C3" s="78">
        <f>CapacitySubscriptionConsumer!B3</f>
        <v>75286.5</v>
      </c>
      <c r="D3" s="78">
        <f t="shared" ref="D3:D7" si="0">+B3*20000</f>
        <v>1800</v>
      </c>
      <c r="G3" s="13">
        <f t="shared" ref="G3:G6" si="1">H3/100</f>
        <v>0.13</v>
      </c>
      <c r="H3">
        <v>13</v>
      </c>
      <c r="K3" s="13" t="s">
        <v>214</v>
      </c>
      <c r="L3" s="13">
        <v>0</v>
      </c>
      <c r="M3" s="75">
        <v>0</v>
      </c>
    </row>
    <row r="4" spans="1:13">
      <c r="A4" s="73" t="s">
        <v>206</v>
      </c>
      <c r="B4" s="13">
        <f>CapacitySubscriptionConsumer!C4</f>
        <v>0.13</v>
      </c>
      <c r="C4" s="78">
        <f>CapacitySubscriptionConsumer!B4</f>
        <v>56496</v>
      </c>
      <c r="D4" s="78">
        <f t="shared" si="0"/>
        <v>2600</v>
      </c>
      <c r="G4" s="13">
        <f t="shared" si="1"/>
        <v>0.33</v>
      </c>
      <c r="H4">
        <v>33</v>
      </c>
    </row>
    <row r="5" spans="1:13">
      <c r="A5" s="73" t="s">
        <v>208</v>
      </c>
      <c r="B5" s="13">
        <f>CapacitySubscriptionConsumer!C5</f>
        <v>0.05</v>
      </c>
      <c r="C5" s="78">
        <f>CapacitySubscriptionConsumer!B5</f>
        <v>50618</v>
      </c>
      <c r="D5" s="78">
        <f t="shared" si="0"/>
        <v>1000</v>
      </c>
      <c r="G5" s="13">
        <f t="shared" si="1"/>
        <v>0.09</v>
      </c>
      <c r="H5">
        <v>9</v>
      </c>
    </row>
    <row r="6" spans="1:13">
      <c r="A6" s="73" t="s">
        <v>210</v>
      </c>
      <c r="B6" s="13">
        <f>CapacitySubscriptionConsumer!C6</f>
        <v>0.28000000000000003</v>
      </c>
      <c r="C6" s="78">
        <f>CapacitySubscriptionConsumer!B6</f>
        <v>44904</v>
      </c>
      <c r="D6" s="78">
        <f t="shared" si="0"/>
        <v>5600.0000000000009</v>
      </c>
      <c r="G6" s="13">
        <f t="shared" si="1"/>
        <v>0.21</v>
      </c>
      <c r="H6">
        <v>21</v>
      </c>
    </row>
    <row r="7" spans="1:13">
      <c r="A7" s="73" t="s">
        <v>209</v>
      </c>
      <c r="B7" s="13">
        <f>CapacitySubscriptionConsumer!C7</f>
        <v>0.09</v>
      </c>
      <c r="C7" s="78">
        <f>CapacitySubscriptionConsumer!B7</f>
        <v>33635</v>
      </c>
      <c r="D7" s="78">
        <f t="shared" si="0"/>
        <v>1800</v>
      </c>
      <c r="G7" s="13">
        <f>H7/100</f>
        <v>0.08</v>
      </c>
      <c r="H7">
        <v>8</v>
      </c>
    </row>
    <row r="8" spans="1:13">
      <c r="A8" s="73" t="s">
        <v>211</v>
      </c>
      <c r="B8" s="13">
        <f>CapacitySubscriptionConsumer!C8</f>
        <v>0.21</v>
      </c>
      <c r="C8" s="78">
        <f>CapacitySubscriptionConsumer!B8</f>
        <v>28646.5</v>
      </c>
      <c r="D8" s="78">
        <f>+B8*20000</f>
        <v>4200</v>
      </c>
    </row>
    <row r="9" spans="1:13">
      <c r="G9" s="13">
        <f>H9/100</f>
        <v>0.03</v>
      </c>
      <c r="H9">
        <v>3</v>
      </c>
    </row>
    <row r="13" spans="1:13">
      <c r="H13" s="13" t="s">
        <v>213</v>
      </c>
      <c r="I13" s="13">
        <f>CapacitySubscriptionConsumer!C8-0.04</f>
        <v>0.16999999999999998</v>
      </c>
      <c r="J13" s="78">
        <f>CapacitySubscriptionConsumer!B8</f>
        <v>28646.5</v>
      </c>
    </row>
    <row r="14" spans="1:13">
      <c r="H14" s="13" t="s">
        <v>214</v>
      </c>
      <c r="I14" s="13">
        <v>0.03</v>
      </c>
      <c r="J14" s="75">
        <v>0</v>
      </c>
    </row>
    <row r="15" spans="1:13">
      <c r="I15" s="76"/>
      <c r="J15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2"/>
  <sheetViews>
    <sheetView zoomScale="85" zoomScaleNormal="85" workbookViewId="0">
      <selection activeCell="C37" sqref="C37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20.14062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223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224</v>
      </c>
      <c r="E2" s="34">
        <v>4001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1500</v>
      </c>
      <c r="H3" s="16"/>
      <c r="I3" s="16"/>
      <c r="K3" s="44"/>
      <c r="L3" s="53"/>
      <c r="M3" s="44"/>
    </row>
    <row r="4" spans="1:13">
      <c r="A4" s="13" t="s">
        <v>141</v>
      </c>
      <c r="B4" s="13" t="s">
        <v>225</v>
      </c>
      <c r="C4" s="13" t="s">
        <v>226</v>
      </c>
      <c r="D4" s="13">
        <f>37450</f>
        <v>37450</v>
      </c>
      <c r="E4" s="13"/>
    </row>
    <row r="5" spans="1:13">
      <c r="K5" s="44"/>
      <c r="L5" s="54"/>
      <c r="M5" s="54"/>
    </row>
    <row r="6" spans="1:13">
      <c r="K6" s="44"/>
      <c r="L6" s="54"/>
      <c r="M6" s="54"/>
    </row>
    <row r="7" spans="1:13">
      <c r="K7" s="44"/>
      <c r="L7" s="44"/>
      <c r="M7" s="44"/>
    </row>
    <row r="8" spans="1:13">
      <c r="K8" s="44"/>
      <c r="L8" s="44"/>
      <c r="M8" s="44"/>
    </row>
    <row r="9" spans="1:13" ht="17.45" customHeight="1">
      <c r="F9" s="16"/>
      <c r="H9" s="16"/>
      <c r="I9" s="16"/>
      <c r="K9" s="44"/>
      <c r="L9" s="53"/>
      <c r="M9" s="44"/>
    </row>
    <row r="10" spans="1:13" ht="17.45" customHeight="1">
      <c r="B10" s="18">
        <v>4</v>
      </c>
      <c r="C10" s="13" t="str">
        <f t="shared" ref="C10" si="2">CONCATENATE("amiris-config/data/LS_",B10,".csv")</f>
        <v>amiris-config/data/LS_4.csv</v>
      </c>
      <c r="D10" s="13" t="str">
        <f t="shared" ref="D10" si="3">CONCATENATE("amiris-config/data/future_LS_",B10,".csv")</f>
        <v>amiris-config/data/future_LS_4.csv</v>
      </c>
      <c r="E10" s="13" t="s">
        <v>224</v>
      </c>
      <c r="F10" s="34">
        <v>800</v>
      </c>
      <c r="H10" s="16"/>
      <c r="I10" s="16"/>
      <c r="K10" s="44"/>
      <c r="L10" s="53"/>
      <c r="M10" s="44"/>
    </row>
    <row r="11" spans="1:13">
      <c r="K11" s="44"/>
      <c r="L11" s="44"/>
      <c r="M11" s="44"/>
    </row>
    <row r="12" spans="1:13">
      <c r="K12" s="44"/>
      <c r="L12" s="44"/>
      <c r="M12" s="4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039D-1F8B-4751-B680-FFCAE50C266A}">
  <sheetPr>
    <tabColor theme="5" tint="0.59999389629810485"/>
  </sheetPr>
  <dimension ref="A1:F4"/>
  <sheetViews>
    <sheetView workbookViewId="0">
      <selection activeCell="S25" sqref="S25"/>
    </sheetView>
  </sheetViews>
  <sheetFormatPr defaultRowHeight="15"/>
  <cols>
    <col min="1" max="1" width="38.85546875" customWidth="1"/>
    <col min="2" max="2" width="29.5703125" customWidth="1"/>
  </cols>
  <sheetData>
    <row r="1" spans="1:6">
      <c r="A1" s="13" t="s">
        <v>227</v>
      </c>
      <c r="B1" s="13" t="s">
        <v>228</v>
      </c>
      <c r="C1" s="13" t="s">
        <v>229</v>
      </c>
    </row>
    <row r="2" spans="1:6">
      <c r="A2">
        <v>2020</v>
      </c>
      <c r="B2">
        <f>3100</f>
        <v>3100</v>
      </c>
      <c r="C2">
        <f>800000</f>
        <v>800000</v>
      </c>
      <c r="F2" t="s">
        <v>230</v>
      </c>
    </row>
    <row r="3" spans="1:6">
      <c r="A3" s="13">
        <v>2030</v>
      </c>
      <c r="B3" s="13">
        <v>3676</v>
      </c>
      <c r="C3" s="13">
        <v>1009075</v>
      </c>
    </row>
    <row r="4" spans="1:6">
      <c r="A4" s="13">
        <v>2050</v>
      </c>
      <c r="B4" s="13">
        <v>6155</v>
      </c>
      <c r="C4" s="13">
        <v>3063077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F0F-8755-4295-80EB-E405A1B57DC6}">
  <sheetPr>
    <tabColor theme="5" tint="0.39997558519241921"/>
  </sheetPr>
  <dimension ref="A1:B4"/>
  <sheetViews>
    <sheetView workbookViewId="0">
      <selection activeCell="W21" sqref="W21"/>
    </sheetView>
  </sheetViews>
  <sheetFormatPr defaultRowHeight="15"/>
  <cols>
    <col min="2" max="2" width="25.85546875" customWidth="1"/>
  </cols>
  <sheetData>
    <row r="1" spans="1:2">
      <c r="A1" s="13" t="s">
        <v>160</v>
      </c>
      <c r="B1" s="81" t="s">
        <v>231</v>
      </c>
    </row>
    <row r="2" spans="1:2">
      <c r="A2" s="13">
        <v>2020</v>
      </c>
      <c r="B2" s="13">
        <v>3000</v>
      </c>
    </row>
    <row r="3" spans="1:2">
      <c r="A3" s="13">
        <v>2030</v>
      </c>
      <c r="B3" s="13">
        <v>6731</v>
      </c>
    </row>
    <row r="4" spans="1:2">
      <c r="A4" s="13">
        <v>2050</v>
      </c>
      <c r="B4" s="13">
        <f>37450</f>
        <v>37450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7"/>
  <sheetViews>
    <sheetView zoomScale="115" zoomScaleNormal="115" workbookViewId="0">
      <selection activeCell="B12" sqref="B12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227</v>
      </c>
      <c r="B1" s="13" t="s">
        <v>232</v>
      </c>
      <c r="D1">
        <f>D2*2</f>
        <v>8392.0011415525114</v>
      </c>
    </row>
    <row r="2" spans="1:14">
      <c r="A2" s="13" t="s">
        <v>233</v>
      </c>
      <c r="B2" s="13">
        <v>6155</v>
      </c>
      <c r="D2">
        <f>B3/730</f>
        <v>4196.0005707762557</v>
      </c>
      <c r="E2" t="s">
        <v>234</v>
      </c>
      <c r="K2" t="s">
        <v>235</v>
      </c>
      <c r="L2" t="s">
        <v>236</v>
      </c>
    </row>
    <row r="3" spans="1:14">
      <c r="A3" s="13" t="s">
        <v>237</v>
      </c>
      <c r="B3" s="34">
        <f>K3/(12)</f>
        <v>3063080.4166666665</v>
      </c>
      <c r="D3" t="s">
        <v>238</v>
      </c>
      <c r="K3">
        <v>36756965</v>
      </c>
      <c r="L3">
        <v>51575940</v>
      </c>
      <c r="M3">
        <v>51.575940000000003</v>
      </c>
      <c r="N3" t="s">
        <v>239</v>
      </c>
    </row>
    <row r="4" spans="1:14">
      <c r="A4" s="13" t="s">
        <v>240</v>
      </c>
      <c r="B4" s="13" t="s">
        <v>241</v>
      </c>
      <c r="D4" s="36" t="s">
        <v>242</v>
      </c>
      <c r="K4">
        <f>K3/1000000</f>
        <v>36.756965000000001</v>
      </c>
    </row>
    <row r="6" spans="1:14">
      <c r="D6">
        <f>B3/B2</f>
        <v>497.65725697265094</v>
      </c>
      <c r="J6" s="1" t="s">
        <v>243</v>
      </c>
      <c r="K6">
        <v>6155</v>
      </c>
    </row>
    <row r="7" spans="1:14">
      <c r="D7">
        <f>30*24</f>
        <v>720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L14"/>
  <sheetViews>
    <sheetView zoomScaleNormal="100" workbookViewId="0">
      <selection activeCell="J20" sqref="J20"/>
    </sheetView>
  </sheetViews>
  <sheetFormatPr defaultRowHeight="15"/>
  <cols>
    <col min="1" max="1" width="34.5703125" customWidth="1"/>
    <col min="2" max="2" width="16.7109375" customWidth="1"/>
  </cols>
  <sheetData>
    <row r="1" spans="1:12">
      <c r="A1" s="13" t="s">
        <v>244</v>
      </c>
      <c r="B1" s="13">
        <v>1</v>
      </c>
      <c r="C1" s="13">
        <v>2</v>
      </c>
      <c r="D1" s="13" t="s">
        <v>141</v>
      </c>
      <c r="J1" t="s">
        <v>245</v>
      </c>
      <c r="K1" t="s">
        <v>246</v>
      </c>
    </row>
    <row r="2" spans="1:12">
      <c r="A2" s="13">
        <v>2020</v>
      </c>
      <c r="B2" s="13">
        <f>1-C2</f>
        <v>0.95</v>
      </c>
      <c r="C2" s="13">
        <v>0.05</v>
      </c>
      <c r="D2" s="13" t="s">
        <v>224</v>
      </c>
      <c r="G2" t="s">
        <v>247</v>
      </c>
      <c r="J2">
        <f>(B2-B3)/30</f>
        <v>1.9999999999999979E-3</v>
      </c>
      <c r="K2">
        <f>J2*4</f>
        <v>7.9999999999999915E-3</v>
      </c>
      <c r="L2">
        <f>B2-K2</f>
        <v>0.94199999999999995</v>
      </c>
    </row>
    <row r="3" spans="1:12">
      <c r="A3" s="13">
        <v>2050</v>
      </c>
      <c r="B3" s="13">
        <f>1-C3</f>
        <v>0.89</v>
      </c>
      <c r="C3" s="13">
        <f>1-SUM(CapacitySubscriptionConsumer!C:C)</f>
        <v>0.10999999999999999</v>
      </c>
      <c r="D3" s="13" t="s">
        <v>224</v>
      </c>
    </row>
    <row r="10" spans="1:12">
      <c r="D10" s="13">
        <v>4</v>
      </c>
    </row>
    <row r="11" spans="1:12">
      <c r="D11" s="13">
        <v>0.03</v>
      </c>
    </row>
    <row r="14" spans="1:12">
      <c r="C14" t="s">
        <v>248</v>
      </c>
      <c r="D14" t="s">
        <v>249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160</v>
      </c>
      <c r="B1" s="13" t="s">
        <v>250</v>
      </c>
    </row>
    <row r="2" spans="1:9">
      <c r="A2" s="13">
        <v>2020</v>
      </c>
      <c r="B2" s="13">
        <v>20000</v>
      </c>
      <c r="E2" t="s">
        <v>251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252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C1" sqref="C1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253</v>
      </c>
      <c r="B1" s="50" t="s">
        <v>254</v>
      </c>
      <c r="C1" s="51" t="s">
        <v>255</v>
      </c>
      <c r="E1" s="52" t="s">
        <v>55</v>
      </c>
      <c r="F1" s="52" t="s">
        <v>256</v>
      </c>
      <c r="G1" s="52"/>
    </row>
    <row r="2" spans="1:10">
      <c r="A2" s="13" t="s">
        <v>149</v>
      </c>
      <c r="B2" s="13" t="s">
        <v>257</v>
      </c>
      <c r="C2" s="13">
        <v>0</v>
      </c>
      <c r="D2" s="59"/>
      <c r="E2" s="52"/>
      <c r="F2" s="52"/>
      <c r="G2" s="52"/>
    </row>
    <row r="3" spans="1:10">
      <c r="A3" s="13" t="s">
        <v>258</v>
      </c>
      <c r="B3" s="13" t="s">
        <v>259</v>
      </c>
      <c r="C3" s="13">
        <v>0</v>
      </c>
      <c r="D3" s="59"/>
      <c r="E3" s="52"/>
      <c r="F3" s="52"/>
      <c r="G3" s="52"/>
    </row>
    <row r="4" spans="1:10">
      <c r="A4" s="13" t="s">
        <v>132</v>
      </c>
      <c r="B4" s="13" t="s">
        <v>260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139</v>
      </c>
      <c r="B5" s="13" t="s">
        <v>261</v>
      </c>
      <c r="C5" s="13">
        <v>0.26676</v>
      </c>
      <c r="D5" s="59"/>
      <c r="E5" s="52"/>
      <c r="F5" s="52"/>
      <c r="G5" s="52"/>
    </row>
    <row r="6" spans="1:10">
      <c r="A6" s="13" t="s">
        <v>134</v>
      </c>
      <c r="B6" s="13" t="s">
        <v>262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143</v>
      </c>
      <c r="B7" s="13" t="s">
        <v>263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145</v>
      </c>
      <c r="B8" s="13" t="s">
        <v>264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136</v>
      </c>
      <c r="B9" s="13" t="s">
        <v>265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141</v>
      </c>
      <c r="B10" s="13" t="s">
        <v>266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162</v>
      </c>
      <c r="B1" s="13" t="s">
        <v>267</v>
      </c>
      <c r="C1" s="13" t="s">
        <v>268</v>
      </c>
      <c r="D1" s="13" t="s">
        <v>269</v>
      </c>
      <c r="E1" s="13"/>
      <c r="H1" t="s">
        <v>270</v>
      </c>
    </row>
    <row r="2" spans="1:8">
      <c r="A2" s="13" t="s">
        <v>257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264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261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260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262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263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271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266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259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265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J32" sqref="J32"/>
    </sheetView>
  </sheetViews>
  <sheetFormatPr defaultRowHeight="15"/>
  <cols>
    <col min="1" max="1" width="15.85546875" customWidth="1"/>
    <col min="2" max="2" width="33.42578125" customWidth="1"/>
    <col min="3" max="3" width="14.42578125" customWidth="1"/>
    <col min="4" max="4" width="14.5703125" customWidth="1"/>
    <col min="7" max="7" width="15.42578125" customWidth="1"/>
  </cols>
  <sheetData>
    <row r="1" spans="1:8">
      <c r="A1" s="13" t="s">
        <v>162</v>
      </c>
      <c r="B1" s="13" t="s">
        <v>272</v>
      </c>
      <c r="C1" s="13" t="s">
        <v>273</v>
      </c>
      <c r="D1" s="13" t="s">
        <v>274</v>
      </c>
    </row>
    <row r="2" spans="1:8">
      <c r="A2" s="13">
        <v>1</v>
      </c>
      <c r="B2" s="13" t="s">
        <v>113</v>
      </c>
      <c r="C2" s="13" t="b">
        <v>1</v>
      </c>
      <c r="D2" s="13">
        <v>300</v>
      </c>
    </row>
    <row r="3" spans="1:8">
      <c r="A3" s="13">
        <v>2</v>
      </c>
      <c r="B3" s="13" t="s">
        <v>122</v>
      </c>
      <c r="C3" s="13" t="b">
        <v>1</v>
      </c>
      <c r="D3" s="13">
        <v>500</v>
      </c>
    </row>
    <row r="4" spans="1:8">
      <c r="A4" s="13">
        <v>3</v>
      </c>
      <c r="B4" s="13" t="s">
        <v>110</v>
      </c>
      <c r="C4" s="13" t="b">
        <v>1</v>
      </c>
      <c r="D4" s="13">
        <v>400</v>
      </c>
    </row>
    <row r="5" spans="1:8">
      <c r="A5" s="13">
        <v>4</v>
      </c>
      <c r="B5" s="13" t="s">
        <v>118</v>
      </c>
      <c r="C5" s="13" t="b">
        <v>1</v>
      </c>
      <c r="D5" s="13">
        <v>300</v>
      </c>
    </row>
    <row r="6" spans="1:8">
      <c r="A6" s="13">
        <v>5</v>
      </c>
      <c r="B6" s="13" t="s">
        <v>124</v>
      </c>
      <c r="C6" s="13" t="b">
        <v>1</v>
      </c>
      <c r="D6" s="13">
        <v>500</v>
      </c>
    </row>
    <row r="7" spans="1:8">
      <c r="A7" s="13">
        <v>6</v>
      </c>
      <c r="B7" s="13" t="s">
        <v>99</v>
      </c>
      <c r="C7" s="13" t="b">
        <v>1</v>
      </c>
      <c r="D7" s="13">
        <v>300</v>
      </c>
    </row>
    <row r="8" spans="1:8">
      <c r="A8" s="13">
        <v>7</v>
      </c>
      <c r="B8" s="13" t="s">
        <v>109</v>
      </c>
      <c r="C8" s="13" t="b">
        <v>1</v>
      </c>
      <c r="D8" s="13">
        <v>400</v>
      </c>
    </row>
    <row r="9" spans="1:8">
      <c r="A9" s="13">
        <v>8</v>
      </c>
      <c r="B9" s="13" t="s">
        <v>127</v>
      </c>
      <c r="C9" s="13" t="b">
        <v>1</v>
      </c>
      <c r="D9" s="13">
        <v>300</v>
      </c>
    </row>
    <row r="10" spans="1:8">
      <c r="A10" s="13">
        <v>9</v>
      </c>
      <c r="B10" s="13" t="s">
        <v>114</v>
      </c>
      <c r="C10" s="13" t="b">
        <v>1</v>
      </c>
      <c r="D10" s="13">
        <v>500</v>
      </c>
    </row>
    <row r="11" spans="1:8">
      <c r="A11" s="13">
        <v>10</v>
      </c>
      <c r="B11" s="13" t="s">
        <v>120</v>
      </c>
      <c r="C11" s="13" t="b">
        <v>1</v>
      </c>
      <c r="D11" s="13">
        <v>300</v>
      </c>
    </row>
    <row r="12" spans="1:8">
      <c r="A12" s="13">
        <v>11</v>
      </c>
      <c r="B12" s="13" t="s">
        <v>102</v>
      </c>
      <c r="C12" s="13" t="b">
        <v>1</v>
      </c>
      <c r="D12" s="13">
        <v>300</v>
      </c>
    </row>
    <row r="13" spans="1:8">
      <c r="A13" s="13">
        <v>12</v>
      </c>
      <c r="B13" s="13" t="s">
        <v>115</v>
      </c>
      <c r="C13" s="13" t="b">
        <v>1</v>
      </c>
      <c r="D13" s="13">
        <v>300</v>
      </c>
    </row>
    <row r="14" spans="1:8">
      <c r="H14" t="s">
        <v>275</v>
      </c>
    </row>
    <row r="18" spans="1:10">
      <c r="G18" s="13">
        <v>10</v>
      </c>
      <c r="H18" s="13" t="s">
        <v>102</v>
      </c>
      <c r="I18" s="13" t="b">
        <v>1</v>
      </c>
      <c r="J18" s="13">
        <v>300</v>
      </c>
    </row>
    <row r="19" spans="1:10">
      <c r="G19" s="13">
        <v>11</v>
      </c>
      <c r="H19" s="13" t="s">
        <v>276</v>
      </c>
      <c r="I19" s="13" t="b">
        <v>1</v>
      </c>
      <c r="J19" s="13">
        <v>100</v>
      </c>
    </row>
    <row r="20" spans="1:10">
      <c r="G20" s="13">
        <v>12</v>
      </c>
      <c r="H20" s="13" t="s">
        <v>108</v>
      </c>
      <c r="I20" s="13" t="b">
        <v>1</v>
      </c>
      <c r="J20" s="13">
        <v>300</v>
      </c>
    </row>
    <row r="21" spans="1:10">
      <c r="G21" s="13">
        <v>13</v>
      </c>
      <c r="H21" s="13" t="s">
        <v>277</v>
      </c>
      <c r="I21" s="13" t="b">
        <v>1</v>
      </c>
      <c r="J21" s="13">
        <v>500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F40" sqref="F40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95</v>
      </c>
      <c r="B1" s="38" t="s">
        <v>96</v>
      </c>
      <c r="C1" s="38" t="s">
        <v>97</v>
      </c>
      <c r="E1" s="15" t="s">
        <v>98</v>
      </c>
    </row>
    <row r="2" spans="1:7">
      <c r="A2" s="62" t="s">
        <v>99</v>
      </c>
      <c r="B2" s="13" t="s">
        <v>100</v>
      </c>
      <c r="C2" s="13">
        <v>1</v>
      </c>
      <c r="E2" t="s">
        <v>101</v>
      </c>
    </row>
    <row r="3" spans="1:7">
      <c r="A3" s="62" t="s">
        <v>102</v>
      </c>
      <c r="B3" s="13" t="s">
        <v>100</v>
      </c>
      <c r="C3" s="13">
        <v>2</v>
      </c>
      <c r="E3" t="s">
        <v>103</v>
      </c>
    </row>
    <row r="4" spans="1:7">
      <c r="A4" s="62" t="s">
        <v>104</v>
      </c>
      <c r="B4" s="13" t="s">
        <v>100</v>
      </c>
      <c r="C4" s="13">
        <v>3</v>
      </c>
    </row>
    <row r="5" spans="1:7">
      <c r="A5" s="62" t="s">
        <v>105</v>
      </c>
      <c r="B5" s="13" t="s">
        <v>100</v>
      </c>
      <c r="C5" s="13">
        <v>4</v>
      </c>
    </row>
    <row r="6" spans="1:7">
      <c r="A6" s="62" t="s">
        <v>106</v>
      </c>
      <c r="B6" s="13" t="s">
        <v>107</v>
      </c>
      <c r="C6" s="13">
        <v>5</v>
      </c>
    </row>
    <row r="7" spans="1:7">
      <c r="A7" s="62" t="s">
        <v>108</v>
      </c>
      <c r="B7" s="13" t="s">
        <v>100</v>
      </c>
      <c r="C7" s="13">
        <v>6</v>
      </c>
      <c r="G7" s="9"/>
    </row>
    <row r="8" spans="1:7">
      <c r="A8" s="62" t="s">
        <v>109</v>
      </c>
      <c r="B8" s="13" t="s">
        <v>100</v>
      </c>
      <c r="C8" s="13">
        <v>7</v>
      </c>
      <c r="G8" s="9"/>
    </row>
    <row r="9" spans="1:7">
      <c r="A9" s="62" t="s">
        <v>110</v>
      </c>
      <c r="B9" s="13" t="s">
        <v>100</v>
      </c>
      <c r="C9" s="13">
        <v>8</v>
      </c>
      <c r="G9" s="9"/>
    </row>
    <row r="10" spans="1:7">
      <c r="A10" s="62" t="s">
        <v>111</v>
      </c>
      <c r="B10" s="13" t="s">
        <v>107</v>
      </c>
      <c r="C10" s="13">
        <v>9</v>
      </c>
      <c r="G10" s="9"/>
    </row>
    <row r="11" spans="1:7">
      <c r="A11" s="62" t="s">
        <v>112</v>
      </c>
      <c r="B11" s="13" t="s">
        <v>100</v>
      </c>
      <c r="C11" s="13">
        <v>10</v>
      </c>
      <c r="G11" s="9"/>
    </row>
    <row r="12" spans="1:7">
      <c r="A12" s="62" t="s">
        <v>113</v>
      </c>
      <c r="B12" s="13" t="s">
        <v>100</v>
      </c>
      <c r="C12" s="13">
        <v>11</v>
      </c>
      <c r="G12" s="9"/>
    </row>
    <row r="13" spans="1:7">
      <c r="A13" s="62" t="s">
        <v>114</v>
      </c>
      <c r="B13" s="13" t="s">
        <v>100</v>
      </c>
      <c r="C13" s="13">
        <v>12</v>
      </c>
    </row>
    <row r="14" spans="1:7">
      <c r="A14" s="62" t="s">
        <v>115</v>
      </c>
      <c r="B14" s="13" t="s">
        <v>100</v>
      </c>
      <c r="C14" s="13">
        <v>13</v>
      </c>
    </row>
    <row r="15" spans="1:7">
      <c r="A15" s="62" t="s">
        <v>116</v>
      </c>
      <c r="B15" s="13" t="s">
        <v>100</v>
      </c>
      <c r="C15" s="13">
        <v>14</v>
      </c>
    </row>
    <row r="16" spans="1:7">
      <c r="A16" s="62" t="s">
        <v>117</v>
      </c>
      <c r="B16" s="13" t="s">
        <v>100</v>
      </c>
      <c r="C16" s="13">
        <v>15</v>
      </c>
    </row>
    <row r="17" spans="1:7">
      <c r="A17" s="62" t="s">
        <v>118</v>
      </c>
      <c r="B17" s="13" t="s">
        <v>119</v>
      </c>
      <c r="C17" s="13">
        <v>16</v>
      </c>
    </row>
    <row r="18" spans="1:7">
      <c r="A18" s="62" t="s">
        <v>120</v>
      </c>
      <c r="B18" s="13" t="s">
        <v>121</v>
      </c>
      <c r="C18" s="13">
        <v>17</v>
      </c>
    </row>
    <row r="19" spans="1:7">
      <c r="A19" s="62" t="s">
        <v>122</v>
      </c>
      <c r="B19" s="13" t="s">
        <v>123</v>
      </c>
      <c r="C19" s="13">
        <v>18</v>
      </c>
    </row>
    <row r="20" spans="1:7">
      <c r="A20" s="62" t="s">
        <v>124</v>
      </c>
      <c r="B20" s="13" t="s">
        <v>125</v>
      </c>
      <c r="C20" s="13">
        <v>19</v>
      </c>
    </row>
    <row r="21" spans="1:7">
      <c r="A21" s="62" t="s">
        <v>126</v>
      </c>
      <c r="B21" s="13" t="s">
        <v>100</v>
      </c>
      <c r="C21" s="13">
        <v>20</v>
      </c>
    </row>
    <row r="22" spans="1:7">
      <c r="A22" s="62" t="s">
        <v>127</v>
      </c>
      <c r="B22" s="13" t="s">
        <v>100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O25"/>
  <sheetViews>
    <sheetView zoomScale="94" zoomScaleNormal="33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1" sqref="I31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5" width="14" customWidth="1"/>
    <col min="16" max="18" width="33.85546875" customWidth="1"/>
    <col min="19" max="19" width="18.42578125" customWidth="1"/>
    <col min="20" max="20" width="15.140625" customWidth="1"/>
    <col min="21" max="21" width="6.42578125" customWidth="1"/>
    <col min="22" max="22" width="15.140625" customWidth="1"/>
    <col min="23" max="23" width="11.140625" customWidth="1"/>
    <col min="24" max="24" width="15.140625" customWidth="1"/>
    <col min="25" max="27" width="10.140625" customWidth="1"/>
    <col min="28" max="30" width="8.42578125" customWidth="1"/>
    <col min="34" max="34" width="11.140625" customWidth="1"/>
    <col min="35" max="35" width="19.28515625" customWidth="1"/>
  </cols>
  <sheetData>
    <row r="1" spans="1:41" ht="55.5" customHeight="1">
      <c r="A1" s="38" t="s">
        <v>278</v>
      </c>
      <c r="B1" s="38" t="s">
        <v>279</v>
      </c>
      <c r="C1" s="55" t="s">
        <v>37</v>
      </c>
      <c r="D1" s="55" t="s">
        <v>38</v>
      </c>
      <c r="E1" s="55" t="s">
        <v>280</v>
      </c>
      <c r="F1" s="55" t="s">
        <v>281</v>
      </c>
      <c r="G1" s="56" t="s">
        <v>282</v>
      </c>
      <c r="H1" s="38" t="s">
        <v>283</v>
      </c>
      <c r="I1" s="38" t="s">
        <v>284</v>
      </c>
      <c r="L1" t="s">
        <v>285</v>
      </c>
      <c r="M1" t="s">
        <v>286</v>
      </c>
      <c r="N1" s="55" t="s">
        <v>37</v>
      </c>
      <c r="O1" s="55" t="s">
        <v>38</v>
      </c>
      <c r="P1" s="55" t="s">
        <v>281</v>
      </c>
      <c r="Q1" t="s">
        <v>287</v>
      </c>
      <c r="R1" t="s">
        <v>42</v>
      </c>
      <c r="S1" s="5" t="s">
        <v>288</v>
      </c>
      <c r="T1" s="5" t="s">
        <v>40</v>
      </c>
      <c r="U1" s="5" t="s">
        <v>289</v>
      </c>
      <c r="V1" t="s">
        <v>290</v>
      </c>
      <c r="W1" t="s">
        <v>291</v>
      </c>
      <c r="X1" s="2" t="s">
        <v>292</v>
      </c>
      <c r="Y1" t="s">
        <v>293</v>
      </c>
      <c r="Z1" s="2" t="s">
        <v>294</v>
      </c>
      <c r="AA1" s="2" t="s">
        <v>294</v>
      </c>
      <c r="AB1" t="s">
        <v>295</v>
      </c>
      <c r="AC1" t="s">
        <v>296</v>
      </c>
      <c r="AD1" t="s">
        <v>297</v>
      </c>
      <c r="AE1" t="s">
        <v>298</v>
      </c>
      <c r="AF1" t="s">
        <v>299</v>
      </c>
      <c r="AG1" t="s">
        <v>300</v>
      </c>
      <c r="AI1" s="9" t="s">
        <v>301</v>
      </c>
      <c r="AJ1" s="9"/>
    </row>
    <row r="2" spans="1:41">
      <c r="A2" s="13" t="s">
        <v>109</v>
      </c>
      <c r="B2" s="13" t="s">
        <v>302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141</v>
      </c>
      <c r="I2" s="63">
        <v>0.08</v>
      </c>
      <c r="K2" s="13">
        <v>6</v>
      </c>
      <c r="L2" s="65">
        <v>1</v>
      </c>
      <c r="M2" s="65">
        <v>1</v>
      </c>
      <c r="N2" s="13">
        <v>2</v>
      </c>
      <c r="O2" s="13">
        <v>2</v>
      </c>
      <c r="P2" s="13">
        <v>5</v>
      </c>
      <c r="Q2" s="64" t="s">
        <v>303</v>
      </c>
      <c r="R2" s="64">
        <v>0.92</v>
      </c>
      <c r="S2" s="9" t="b">
        <v>1</v>
      </c>
      <c r="T2" s="9">
        <v>1</v>
      </c>
      <c r="U2" s="9">
        <v>1</v>
      </c>
      <c r="V2">
        <f>D2+C2</f>
        <v>4</v>
      </c>
      <c r="W2" s="9">
        <f>IF(S2&lt;&gt;"",1,0)</f>
        <v>1</v>
      </c>
      <c r="X2" s="9" t="s">
        <v>304</v>
      </c>
      <c r="Y2" s="27" t="s">
        <v>305</v>
      </c>
      <c r="Z2" s="9">
        <v>600</v>
      </c>
      <c r="AA2" s="9"/>
      <c r="AB2" s="9" t="s">
        <v>306</v>
      </c>
      <c r="AC2" s="9" t="s">
        <v>307</v>
      </c>
      <c r="AD2" s="9">
        <v>0</v>
      </c>
      <c r="AE2" s="9">
        <v>1.5</v>
      </c>
      <c r="AF2" s="9">
        <v>33.9</v>
      </c>
      <c r="AG2" s="9">
        <v>0</v>
      </c>
      <c r="AH2" s="9"/>
      <c r="AI2" s="9"/>
      <c r="AJ2" s="9"/>
      <c r="AK2" s="9"/>
      <c r="AL2" s="9"/>
      <c r="AM2" s="9"/>
      <c r="AN2" s="9"/>
      <c r="AO2" s="9"/>
    </row>
    <row r="3" spans="1:41" s="9" customFormat="1">
      <c r="A3" s="13" t="s">
        <v>110</v>
      </c>
      <c r="B3" s="13" t="s">
        <v>302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141</v>
      </c>
      <c r="I3" s="63">
        <v>0.08</v>
      </c>
      <c r="J3"/>
      <c r="K3" s="13">
        <v>6</v>
      </c>
      <c r="L3" s="65">
        <v>1</v>
      </c>
      <c r="M3" s="65">
        <v>1</v>
      </c>
      <c r="N3" s="13">
        <v>2</v>
      </c>
      <c r="O3" s="13">
        <v>2</v>
      </c>
      <c r="P3" s="13">
        <v>3</v>
      </c>
      <c r="Q3" s="64" t="s">
        <v>102</v>
      </c>
      <c r="R3" s="64">
        <v>0.91</v>
      </c>
      <c r="S3" s="9" t="b">
        <v>1</v>
      </c>
      <c r="T3" s="9">
        <v>1</v>
      </c>
      <c r="U3" s="9">
        <v>1</v>
      </c>
      <c r="V3">
        <f>D3+C3</f>
        <v>4</v>
      </c>
      <c r="W3" s="9">
        <f>IF(S3&lt;&gt;"",1,0)</f>
        <v>1</v>
      </c>
      <c r="X3" s="9" t="s">
        <v>304</v>
      </c>
      <c r="Y3" s="27" t="s">
        <v>308</v>
      </c>
      <c r="Z3" s="9">
        <v>500</v>
      </c>
      <c r="AB3" s="9" t="s">
        <v>309</v>
      </c>
      <c r="AC3" s="9" t="s">
        <v>310</v>
      </c>
      <c r="AD3" s="9">
        <v>0</v>
      </c>
      <c r="AE3" s="9">
        <v>0</v>
      </c>
      <c r="AF3" s="9">
        <v>6.3</v>
      </c>
      <c r="AG3" s="9">
        <v>0</v>
      </c>
      <c r="AH3"/>
      <c r="AK3"/>
    </row>
    <row r="4" spans="1:41" s="9" customFormat="1">
      <c r="A4" s="13" t="s">
        <v>99</v>
      </c>
      <c r="B4" s="13" t="s">
        <v>302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149</v>
      </c>
      <c r="I4" s="63">
        <v>0.05</v>
      </c>
      <c r="J4"/>
      <c r="K4" s="13">
        <v>6</v>
      </c>
      <c r="L4" s="65">
        <v>1</v>
      </c>
      <c r="M4" s="65">
        <v>1</v>
      </c>
      <c r="N4" s="13">
        <v>1</v>
      </c>
      <c r="O4" s="13">
        <v>3</v>
      </c>
      <c r="P4" s="13">
        <v>5</v>
      </c>
      <c r="Q4" s="64"/>
      <c r="R4" s="64">
        <v>0.93</v>
      </c>
      <c r="S4" s="9" t="b">
        <v>1</v>
      </c>
      <c r="T4" s="9">
        <v>1</v>
      </c>
      <c r="U4" s="9">
        <v>1</v>
      </c>
      <c r="V4" s="9">
        <f>D4+C4</f>
        <v>4</v>
      </c>
      <c r="W4" s="9">
        <f t="shared" ref="W4" si="0">IF(S4&lt;&gt;"",1,0)</f>
        <v>1</v>
      </c>
      <c r="Y4" s="9" t="s">
        <v>311</v>
      </c>
      <c r="Z4" s="9">
        <v>500</v>
      </c>
      <c r="AA4" s="9">
        <v>500</v>
      </c>
      <c r="AB4" s="9" t="s">
        <v>150</v>
      </c>
      <c r="AC4" s="9" t="s">
        <v>312</v>
      </c>
      <c r="AD4" s="9">
        <v>0</v>
      </c>
      <c r="AE4" s="9">
        <v>2.2999999999999998</v>
      </c>
      <c r="AF4" s="9">
        <v>69.542579720367115</v>
      </c>
      <c r="AG4" s="9">
        <v>0</v>
      </c>
    </row>
    <row r="5" spans="1:41">
      <c r="A5" s="13" t="s">
        <v>127</v>
      </c>
      <c r="B5" s="13" t="s">
        <v>313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</v>
      </c>
      <c r="M5" s="65">
        <v>0.25</v>
      </c>
    </row>
    <row r="6" spans="1:41" s="9" customFormat="1">
      <c r="A6" s="13" t="s">
        <v>113</v>
      </c>
      <c r="B6" s="13" t="s">
        <v>313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</v>
      </c>
      <c r="M6" s="65">
        <v>0.16</v>
      </c>
      <c r="N6" s="57">
        <v>0</v>
      </c>
      <c r="O6" s="57">
        <v>1</v>
      </c>
      <c r="P6" s="13">
        <v>0</v>
      </c>
      <c r="Q6" s="65">
        <v>0.79</v>
      </c>
      <c r="R6" s="67">
        <v>0.56000000000000005</v>
      </c>
      <c r="S6"/>
      <c r="T6"/>
      <c r="U6"/>
      <c r="V6">
        <f t="shared" ref="V6:V7" si="1">D6+C6</f>
        <v>1</v>
      </c>
      <c r="W6"/>
      <c r="X6"/>
      <c r="Y6"/>
      <c r="Z6"/>
      <c r="AA6"/>
      <c r="AB6"/>
      <c r="AC6"/>
      <c r="AD6"/>
      <c r="AE6"/>
      <c r="AF6"/>
      <c r="AG6"/>
      <c r="AH6"/>
      <c r="AK6"/>
    </row>
    <row r="7" spans="1:41">
      <c r="A7" s="13" t="s">
        <v>114</v>
      </c>
      <c r="B7" s="13" t="s">
        <v>302</v>
      </c>
      <c r="C7" s="13">
        <v>2</v>
      </c>
      <c r="D7" s="13">
        <v>5</v>
      </c>
      <c r="E7" s="13" t="b">
        <v>0</v>
      </c>
      <c r="F7" s="13">
        <v>10</v>
      </c>
      <c r="G7" s="65">
        <v>1</v>
      </c>
      <c r="H7" s="13" t="s">
        <v>145</v>
      </c>
      <c r="I7" s="63">
        <v>0.08</v>
      </c>
      <c r="K7" s="13">
        <v>20</v>
      </c>
      <c r="L7" s="65">
        <v>1</v>
      </c>
      <c r="M7" s="65">
        <v>1</v>
      </c>
      <c r="N7" s="13">
        <v>2</v>
      </c>
      <c r="O7" s="13">
        <v>5</v>
      </c>
      <c r="P7" s="13">
        <v>10</v>
      </c>
      <c r="Q7" s="64"/>
      <c r="R7" s="64">
        <v>0.8</v>
      </c>
      <c r="V7">
        <f t="shared" si="1"/>
        <v>7</v>
      </c>
      <c r="AI7" s="9"/>
      <c r="AJ7" s="9"/>
    </row>
    <row r="8" spans="1:41">
      <c r="A8" s="13" t="s">
        <v>118</v>
      </c>
      <c r="B8" s="13" t="s">
        <v>314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65">
        <v>0</v>
      </c>
      <c r="N8" s="13">
        <v>1</v>
      </c>
      <c r="O8" s="13">
        <v>1</v>
      </c>
      <c r="P8" s="13">
        <v>1</v>
      </c>
      <c r="Q8" s="64"/>
      <c r="R8" s="64">
        <v>0.01</v>
      </c>
      <c r="V8" t="e">
        <f>#REF!+#REF!</f>
        <v>#REF!</v>
      </c>
      <c r="W8">
        <f>IF(S8&lt;&gt;"",1,0)</f>
        <v>0</v>
      </c>
      <c r="X8" t="s">
        <v>315</v>
      </c>
      <c r="AB8" t="s">
        <v>316</v>
      </c>
      <c r="AC8" t="s">
        <v>317</v>
      </c>
      <c r="AD8">
        <v>8.52</v>
      </c>
      <c r="AE8">
        <v>6.11</v>
      </c>
      <c r="AF8">
        <v>32</v>
      </c>
      <c r="AG8">
        <v>14</v>
      </c>
    </row>
    <row r="9" spans="1:41">
      <c r="A9" s="13" t="s">
        <v>120</v>
      </c>
      <c r="B9" s="13" t="s">
        <v>314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65">
        <v>0</v>
      </c>
      <c r="N9" s="13">
        <v>1</v>
      </c>
      <c r="O9" s="13">
        <v>1</v>
      </c>
      <c r="P9" s="13">
        <v>1</v>
      </c>
      <c r="Q9" s="64"/>
      <c r="R9" s="64">
        <v>0.01</v>
      </c>
    </row>
    <row r="10" spans="1:41">
      <c r="A10" s="13" t="s">
        <v>122</v>
      </c>
      <c r="B10" s="13" t="s">
        <v>314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</v>
      </c>
      <c r="M10" s="65">
        <v>0.06</v>
      </c>
      <c r="N10" s="13">
        <v>1</v>
      </c>
      <c r="O10" s="13">
        <v>2</v>
      </c>
      <c r="P10" s="13">
        <v>3</v>
      </c>
      <c r="Q10" s="64"/>
      <c r="R10" s="64">
        <v>0.13</v>
      </c>
    </row>
    <row r="11" spans="1:41">
      <c r="A11" s="13" t="s">
        <v>124</v>
      </c>
      <c r="B11" s="13" t="s">
        <v>314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</v>
      </c>
      <c r="M11" s="65">
        <v>0.12</v>
      </c>
      <c r="N11" s="13">
        <v>1</v>
      </c>
      <c r="O11" s="13">
        <v>2</v>
      </c>
      <c r="P11" s="13">
        <v>2</v>
      </c>
      <c r="Q11" s="64"/>
      <c r="R11" s="64">
        <v>0.09</v>
      </c>
    </row>
    <row r="12" spans="1:41">
      <c r="A12" s="13" t="s">
        <v>126</v>
      </c>
      <c r="B12" s="13" t="s">
        <v>302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65">
        <v>0</v>
      </c>
      <c r="N12" s="13">
        <v>0</v>
      </c>
      <c r="O12" s="13">
        <v>0</v>
      </c>
      <c r="P12" s="13">
        <v>0</v>
      </c>
      <c r="Q12" s="64"/>
      <c r="R12" s="64">
        <v>0</v>
      </c>
    </row>
    <row r="13" spans="1:41">
      <c r="A13" s="13" t="s">
        <v>318</v>
      </c>
      <c r="B13" s="13" t="s">
        <v>302</v>
      </c>
      <c r="C13" s="13">
        <v>0</v>
      </c>
      <c r="D13" s="13">
        <v>0</v>
      </c>
      <c r="E13" s="13" t="b">
        <v>0</v>
      </c>
      <c r="F13" s="13">
        <v>0</v>
      </c>
      <c r="G13" s="65">
        <v>1</v>
      </c>
      <c r="H13" s="13" t="s">
        <v>143</v>
      </c>
      <c r="I13" s="63">
        <v>7.0000000000000007E-2</v>
      </c>
      <c r="J13" s="64"/>
      <c r="K13" s="13">
        <v>0</v>
      </c>
      <c r="L13" s="65">
        <v>1</v>
      </c>
      <c r="M13" s="65">
        <v>1</v>
      </c>
      <c r="N13" s="13">
        <v>0</v>
      </c>
      <c r="O13" s="13">
        <v>0</v>
      </c>
      <c r="P13" s="13">
        <v>0</v>
      </c>
      <c r="Q13" t="s">
        <v>319</v>
      </c>
      <c r="R13">
        <v>0</v>
      </c>
      <c r="S13" s="9"/>
      <c r="T13" s="9"/>
      <c r="U13" s="9"/>
    </row>
    <row r="14" spans="1:41">
      <c r="A14" s="13" t="s">
        <v>102</v>
      </c>
      <c r="B14" s="13" t="s">
        <v>302</v>
      </c>
      <c r="C14" s="13">
        <v>1</v>
      </c>
      <c r="D14" s="13">
        <v>2</v>
      </c>
      <c r="E14" s="13" t="b">
        <v>0</v>
      </c>
      <c r="F14" s="13">
        <v>5</v>
      </c>
      <c r="G14" s="65">
        <v>1</v>
      </c>
      <c r="H14" s="13" t="s">
        <v>143</v>
      </c>
      <c r="I14" s="13">
        <v>7.0000000000000007E-2</v>
      </c>
      <c r="K14" s="13">
        <v>5</v>
      </c>
      <c r="L14" s="65">
        <v>1</v>
      </c>
      <c r="M14" s="65">
        <v>1</v>
      </c>
      <c r="N14" s="13">
        <v>1</v>
      </c>
      <c r="O14" s="13">
        <v>2</v>
      </c>
      <c r="P14" s="13">
        <v>5</v>
      </c>
      <c r="Q14" s="64"/>
      <c r="R14" s="64">
        <v>0.92</v>
      </c>
      <c r="S14" s="9" t="b">
        <v>1</v>
      </c>
      <c r="T14" s="9">
        <v>1</v>
      </c>
      <c r="U14" s="9">
        <v>1</v>
      </c>
      <c r="V14">
        <f t="shared" ref="V14:V23" si="2">D14+C14</f>
        <v>3</v>
      </c>
      <c r="W14" s="9">
        <f t="shared" ref="W14:W19" si="3">IF(S14&lt;&gt;"",1,0)</f>
        <v>1</v>
      </c>
      <c r="X14" s="9"/>
      <c r="Y14" s="9" t="s">
        <v>102</v>
      </c>
      <c r="Z14" s="9">
        <v>775</v>
      </c>
      <c r="AA14" s="9">
        <v>775</v>
      </c>
      <c r="AB14" s="9" t="s">
        <v>316</v>
      </c>
      <c r="AC14" s="9" t="s">
        <v>102</v>
      </c>
      <c r="AD14" s="9">
        <v>56.8</v>
      </c>
      <c r="AE14" s="9">
        <v>1.5</v>
      </c>
      <c r="AF14" s="9">
        <v>10.473234339905167</v>
      </c>
      <c r="AG14" s="9">
        <v>0</v>
      </c>
      <c r="AH14" s="9"/>
      <c r="AI14" s="9"/>
      <c r="AJ14" s="9"/>
      <c r="AK14" s="9"/>
    </row>
    <row r="15" spans="1:41">
      <c r="A15" s="62" t="s">
        <v>104</v>
      </c>
      <c r="B15" s="13" t="s">
        <v>302</v>
      </c>
      <c r="C15" s="13">
        <v>1</v>
      </c>
      <c r="D15" s="13">
        <v>2</v>
      </c>
      <c r="E15" s="13" t="b">
        <v>0</v>
      </c>
      <c r="F15" s="13">
        <v>5</v>
      </c>
      <c r="G15" s="65">
        <v>1</v>
      </c>
      <c r="H15" s="13" t="s">
        <v>143</v>
      </c>
      <c r="I15" s="13">
        <v>7.0000000000000007E-2</v>
      </c>
      <c r="K15" s="13">
        <v>5</v>
      </c>
      <c r="L15" s="65">
        <v>1</v>
      </c>
      <c r="M15" s="65">
        <v>1</v>
      </c>
      <c r="N15" s="13">
        <v>1</v>
      </c>
      <c r="O15" s="13">
        <v>2</v>
      </c>
      <c r="P15" s="13">
        <v>5</v>
      </c>
      <c r="Q15" s="64"/>
      <c r="R15" s="64">
        <v>0.9</v>
      </c>
      <c r="S15" s="9" t="b">
        <v>1</v>
      </c>
      <c r="T15" s="9">
        <v>1</v>
      </c>
      <c r="U15" s="9">
        <v>1</v>
      </c>
      <c r="V15">
        <f t="shared" si="2"/>
        <v>3</v>
      </c>
      <c r="W15" s="9">
        <f t="shared" si="3"/>
        <v>1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I15" s="9"/>
      <c r="AJ15" s="9"/>
    </row>
    <row r="16" spans="1:41">
      <c r="A16" s="13" t="s">
        <v>105</v>
      </c>
      <c r="B16" s="13" t="s">
        <v>302</v>
      </c>
      <c r="C16" s="13">
        <v>1</v>
      </c>
      <c r="D16" s="13">
        <v>4</v>
      </c>
      <c r="E16" s="13" t="b">
        <v>0</v>
      </c>
      <c r="F16" s="13">
        <v>10</v>
      </c>
      <c r="G16" s="65">
        <v>1</v>
      </c>
      <c r="H16" s="13" t="s">
        <v>132</v>
      </c>
      <c r="I16" s="13">
        <v>7.0000000000000007E-2</v>
      </c>
      <c r="K16" s="13">
        <v>10</v>
      </c>
      <c r="L16" s="65">
        <v>1</v>
      </c>
      <c r="M16" s="65">
        <v>1</v>
      </c>
      <c r="N16" s="13">
        <v>1</v>
      </c>
      <c r="O16" s="13">
        <v>4</v>
      </c>
      <c r="P16" s="13">
        <v>5</v>
      </c>
      <c r="Q16" s="64"/>
      <c r="R16" s="64">
        <v>0.9</v>
      </c>
      <c r="S16" s="28" t="b">
        <v>0</v>
      </c>
      <c r="T16" s="28">
        <v>1</v>
      </c>
      <c r="U16" s="28">
        <v>1</v>
      </c>
      <c r="V16">
        <f t="shared" si="2"/>
        <v>5</v>
      </c>
      <c r="W16" s="9">
        <f t="shared" si="3"/>
        <v>1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41">
      <c r="A17" s="13" t="s">
        <v>106</v>
      </c>
      <c r="B17" s="13" t="s">
        <v>314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65">
        <v>0.9</v>
      </c>
      <c r="N17" s="13">
        <v>5</v>
      </c>
      <c r="O17" s="13">
        <v>5</v>
      </c>
      <c r="P17" s="13">
        <v>20</v>
      </c>
      <c r="Q17" s="64"/>
      <c r="R17" s="64">
        <v>0.9</v>
      </c>
      <c r="S17" s="28" t="b">
        <v>0</v>
      </c>
      <c r="T17" s="28">
        <v>1</v>
      </c>
      <c r="U17" s="28">
        <v>1</v>
      </c>
      <c r="V17">
        <f t="shared" si="2"/>
        <v>10</v>
      </c>
      <c r="W17" s="9">
        <f t="shared" si="3"/>
        <v>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I17" s="9"/>
      <c r="AJ17" s="9"/>
      <c r="AL17" s="9"/>
      <c r="AM17" s="9"/>
      <c r="AN17" s="9"/>
      <c r="AO17" s="9"/>
    </row>
    <row r="18" spans="1:41">
      <c r="A18" s="13" t="s">
        <v>108</v>
      </c>
      <c r="B18" s="13" t="s">
        <v>302</v>
      </c>
      <c r="C18" s="13">
        <v>2</v>
      </c>
      <c r="D18" s="13">
        <v>2</v>
      </c>
      <c r="E18" s="13" t="b">
        <v>0</v>
      </c>
      <c r="F18" s="13">
        <v>5</v>
      </c>
      <c r="G18" s="65">
        <v>1</v>
      </c>
      <c r="H18" s="13" t="s">
        <v>141</v>
      </c>
      <c r="I18" s="13">
        <v>7.0000000000000007E-2</v>
      </c>
      <c r="K18" s="13">
        <v>5</v>
      </c>
      <c r="L18" s="65">
        <v>1</v>
      </c>
      <c r="M18" s="65">
        <v>1</v>
      </c>
      <c r="N18" s="13">
        <v>2</v>
      </c>
      <c r="O18" s="13">
        <v>2</v>
      </c>
      <c r="P18" s="13">
        <v>5</v>
      </c>
      <c r="Q18" s="64"/>
      <c r="R18" s="64">
        <v>0.92</v>
      </c>
      <c r="S18" s="9" t="b">
        <v>1</v>
      </c>
      <c r="T18" s="9">
        <v>1</v>
      </c>
      <c r="U18" s="9">
        <v>1</v>
      </c>
      <c r="V18">
        <f t="shared" si="2"/>
        <v>4</v>
      </c>
      <c r="W18" s="9">
        <f t="shared" si="3"/>
        <v>1</v>
      </c>
      <c r="X18" s="9" t="s">
        <v>304</v>
      </c>
      <c r="Y18" s="27" t="s">
        <v>320</v>
      </c>
      <c r="Z18" s="9">
        <v>600</v>
      </c>
      <c r="AA18" s="9"/>
      <c r="AB18" s="9" t="s">
        <v>306</v>
      </c>
      <c r="AC18" s="9" t="s">
        <v>321</v>
      </c>
      <c r="AD18" s="9">
        <v>0</v>
      </c>
      <c r="AE18" s="9">
        <v>2</v>
      </c>
      <c r="AF18" s="9">
        <v>47.8</v>
      </c>
      <c r="AG18" s="9">
        <v>0</v>
      </c>
      <c r="AH18" s="9"/>
      <c r="AI18" s="9"/>
      <c r="AJ18" s="9"/>
      <c r="AK18" s="9"/>
    </row>
    <row r="19" spans="1:41">
      <c r="A19" s="60" t="s">
        <v>111</v>
      </c>
      <c r="B19" s="13" t="s">
        <v>314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65">
        <v>0.41</v>
      </c>
      <c r="N19" s="13">
        <v>5</v>
      </c>
      <c r="O19" s="13">
        <v>5</v>
      </c>
      <c r="P19" s="13">
        <v>20</v>
      </c>
      <c r="Q19" s="64"/>
      <c r="R19" s="64">
        <v>0.41</v>
      </c>
      <c r="V19">
        <f t="shared" si="2"/>
        <v>10</v>
      </c>
      <c r="W19">
        <f t="shared" si="3"/>
        <v>0</v>
      </c>
      <c r="X19" t="s">
        <v>304</v>
      </c>
      <c r="Y19" s="27"/>
      <c r="Z19" s="9"/>
      <c r="AA19" s="9"/>
      <c r="AB19" s="9"/>
      <c r="AC19" s="9"/>
      <c r="AD19" s="9"/>
      <c r="AE19" s="9"/>
      <c r="AF19" s="9"/>
      <c r="AG19" s="9"/>
      <c r="AI19" s="9"/>
      <c r="AJ19" s="9"/>
    </row>
    <row r="20" spans="1:41" s="9" customFormat="1">
      <c r="A20" s="13" t="s">
        <v>112</v>
      </c>
      <c r="B20" s="13" t="s">
        <v>302</v>
      </c>
      <c r="C20" s="13">
        <v>1</v>
      </c>
      <c r="D20" s="13">
        <v>5</v>
      </c>
      <c r="E20" s="13" t="b">
        <v>0</v>
      </c>
      <c r="F20" s="13">
        <v>5</v>
      </c>
      <c r="G20" s="65">
        <v>1</v>
      </c>
      <c r="H20" s="13" t="s">
        <v>134</v>
      </c>
      <c r="I20" s="13">
        <v>7.0000000000000007E-2</v>
      </c>
      <c r="J20"/>
      <c r="K20" s="13">
        <v>5</v>
      </c>
      <c r="L20" s="65">
        <v>1</v>
      </c>
      <c r="M20" s="65">
        <v>1</v>
      </c>
      <c r="N20" s="13">
        <v>1</v>
      </c>
      <c r="O20" s="13">
        <v>5</v>
      </c>
      <c r="P20" s="13">
        <v>5</v>
      </c>
      <c r="Q20" s="64"/>
      <c r="R20" s="64">
        <v>0.9</v>
      </c>
      <c r="S20" s="9" t="e">
        <f>#REF!</f>
        <v>#REF!</v>
      </c>
      <c r="T20" s="9" t="e">
        <f>#REF!</f>
        <v>#REF!</v>
      </c>
      <c r="U20" s="9" t="e">
        <f>#REF!</f>
        <v>#REF!</v>
      </c>
      <c r="V20">
        <f t="shared" si="2"/>
        <v>6</v>
      </c>
      <c r="W20" s="9" t="e">
        <f t="shared" ref="W20" si="4">IF(S20&lt;&gt;"",1,0)</f>
        <v>#REF!</v>
      </c>
      <c r="X20" s="9" t="s">
        <v>141</v>
      </c>
      <c r="AL20"/>
      <c r="AM20"/>
      <c r="AN20"/>
      <c r="AO20"/>
    </row>
    <row r="21" spans="1:41">
      <c r="A21" s="13" t="s">
        <v>115</v>
      </c>
      <c r="B21" s="13" t="s">
        <v>302</v>
      </c>
      <c r="C21" s="13">
        <v>1</v>
      </c>
      <c r="D21" s="13">
        <v>2</v>
      </c>
      <c r="E21" s="13" t="b">
        <v>0</v>
      </c>
      <c r="F21" s="13">
        <v>5</v>
      </c>
      <c r="G21" s="65">
        <v>1</v>
      </c>
      <c r="H21" s="13" t="s">
        <v>143</v>
      </c>
      <c r="I21" s="13">
        <v>7.0000000000000007E-2</v>
      </c>
      <c r="K21" s="13">
        <v>5</v>
      </c>
      <c r="L21" s="65">
        <v>1</v>
      </c>
      <c r="M21" s="65">
        <v>1</v>
      </c>
      <c r="N21" s="13">
        <v>1</v>
      </c>
      <c r="O21" s="13">
        <v>2</v>
      </c>
      <c r="P21" s="13">
        <v>5</v>
      </c>
      <c r="Q21" s="64"/>
      <c r="R21" s="64">
        <v>0.91</v>
      </c>
      <c r="V21">
        <f t="shared" si="2"/>
        <v>3</v>
      </c>
      <c r="AI21" s="9"/>
      <c r="AJ21" s="9"/>
    </row>
    <row r="22" spans="1:41" s="9" customFormat="1">
      <c r="A22" s="60" t="s">
        <v>116</v>
      </c>
      <c r="B22" s="13" t="s">
        <v>302</v>
      </c>
      <c r="C22" s="13">
        <v>1</v>
      </c>
      <c r="D22" s="13">
        <v>1</v>
      </c>
      <c r="E22" s="13" t="b">
        <v>0</v>
      </c>
      <c r="F22" s="13">
        <v>5</v>
      </c>
      <c r="G22" s="65">
        <v>1</v>
      </c>
      <c r="H22" s="13" t="s">
        <v>139</v>
      </c>
      <c r="I22" s="13">
        <v>7.0000000000000007E-2</v>
      </c>
      <c r="J22"/>
      <c r="K22" s="13">
        <v>5</v>
      </c>
      <c r="L22" s="65">
        <v>1</v>
      </c>
      <c r="M22" s="65">
        <v>1</v>
      </c>
      <c r="N22" s="13">
        <v>1</v>
      </c>
      <c r="O22" s="13">
        <v>1</v>
      </c>
      <c r="P22" s="13">
        <v>5</v>
      </c>
      <c r="Q22" s="64"/>
      <c r="R22" s="64">
        <v>0.95</v>
      </c>
      <c r="S22" s="9" t="b">
        <v>1</v>
      </c>
      <c r="T22" s="9">
        <v>1</v>
      </c>
      <c r="U22" s="9">
        <v>1</v>
      </c>
      <c r="V22">
        <f t="shared" si="2"/>
        <v>2</v>
      </c>
      <c r="W22" s="9">
        <f>IF(S22&lt;&gt;"",1,0)</f>
        <v>1</v>
      </c>
      <c r="AK22"/>
      <c r="AL22"/>
      <c r="AM22"/>
      <c r="AN22"/>
      <c r="AO22"/>
    </row>
    <row r="23" spans="1:41">
      <c r="A23" s="61" t="s">
        <v>117</v>
      </c>
      <c r="B23" s="13" t="s">
        <v>313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65">
        <v>0.9</v>
      </c>
      <c r="N23" s="57">
        <v>3</v>
      </c>
      <c r="O23" s="57">
        <v>4</v>
      </c>
      <c r="P23" s="13">
        <v>20</v>
      </c>
      <c r="Q23" s="64"/>
      <c r="R23" s="64">
        <v>0.9</v>
      </c>
      <c r="S23" t="b">
        <v>1</v>
      </c>
      <c r="T23">
        <v>1</v>
      </c>
      <c r="U23">
        <v>1</v>
      </c>
      <c r="V23">
        <f t="shared" si="2"/>
        <v>7</v>
      </c>
      <c r="W23">
        <f>IF(S23&lt;&gt;"",1,0)</f>
        <v>1</v>
      </c>
      <c r="AJ23" s="9"/>
    </row>
    <row r="24" spans="1:41" s="9" customFormat="1">
      <c r="A24" s="60" t="s">
        <v>322</v>
      </c>
      <c r="B24" s="13" t="s">
        <v>302</v>
      </c>
      <c r="C24" s="13">
        <f>C14</f>
        <v>1</v>
      </c>
      <c r="D24" s="13">
        <f t="shared" ref="D24:I24" si="5">D14</f>
        <v>2</v>
      </c>
      <c r="E24" s="13" t="b">
        <f t="shared" si="5"/>
        <v>0</v>
      </c>
      <c r="F24" s="13">
        <f t="shared" si="5"/>
        <v>5</v>
      </c>
      <c r="G24" s="13">
        <v>1</v>
      </c>
      <c r="H24" s="13" t="str">
        <f t="shared" si="5"/>
        <v>natural_gas</v>
      </c>
      <c r="I24" s="13">
        <f t="shared" si="5"/>
        <v>7.0000000000000007E-2</v>
      </c>
      <c r="J24"/>
      <c r="K24"/>
      <c r="L24" s="80">
        <v>1</v>
      </c>
      <c r="M24" s="80">
        <v>1</v>
      </c>
      <c r="N24"/>
      <c r="O24"/>
      <c r="Y24"/>
      <c r="Z24"/>
      <c r="AA24"/>
      <c r="AB24"/>
      <c r="AC24"/>
      <c r="AD24"/>
      <c r="AE24"/>
      <c r="AF24"/>
      <c r="AG24"/>
      <c r="AI24"/>
      <c r="AJ24"/>
    </row>
    <row r="25" spans="1:41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67" zoomScaleNormal="100" workbookViewId="0">
      <selection activeCell="C103" sqref="C103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323</v>
      </c>
      <c r="B1" s="55" t="s">
        <v>324</v>
      </c>
      <c r="D1" s="5" t="s">
        <v>324</v>
      </c>
      <c r="E1" s="41" t="s">
        <v>325</v>
      </c>
      <c r="K1" t="s">
        <v>326</v>
      </c>
    </row>
    <row r="2" spans="1:13">
      <c r="A2" s="13" t="str">
        <f>_xlfn.CONCAT(TechnologiesEmlab!A2,"FixedOperatingCostTimeSeries")</f>
        <v>hydrogen OCGTFixedOperatingCostTimeSeries</v>
      </c>
      <c r="B2" s="46">
        <v>0</v>
      </c>
      <c r="C2" s="9"/>
      <c r="D2" s="9">
        <v>0</v>
      </c>
      <c r="E2" t="s">
        <v>327</v>
      </c>
      <c r="K2">
        <v>5.0000000000000001E-3</v>
      </c>
    </row>
    <row r="3" spans="1:13">
      <c r="A3" s="13" t="str">
        <f>_xlfn.CONCAT(TechnologiesEmlab!A3,"FixedOperatingCostTimeSeries")</f>
        <v>hydrogen 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_xlfn.CONCAT(TechnologiesEmlab!A4,"FixedOperatingCostTimeSeries")</f>
        <v>BiofuelFixedOperatingCostTimeSeries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_xlfn.CONCAT(TechnologiesEmlab!A5,"FixedOperatingCostTimeSeries")</f>
        <v>Lithium ion battery 4FixedOperatingCostTimeSeries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328</v>
      </c>
      <c r="L5" t="s">
        <v>329</v>
      </c>
      <c r="M5" t="s">
        <v>330</v>
      </c>
    </row>
    <row r="6" spans="1:13">
      <c r="A6" s="13" t="str">
        <f>_xlfn.CONCAT(TechnologiesEmlab!A6,"FixedOperatingCostTimeSeries")</f>
        <v>Lithium ion batteryFixedOperatingCostTimeSeries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_xlfn.CONCAT(TechnologiesEmlab!A7,"FixedOperatingCostTimeSeries")</f>
        <v>NuclearFixedOperatingCostTimeSeries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331</v>
      </c>
      <c r="J7">
        <v>0</v>
      </c>
      <c r="K7">
        <f t="shared" ref="K7" si="0">(1+$K$2)^J7</f>
        <v>1</v>
      </c>
    </row>
    <row r="8" spans="1:13">
      <c r="A8" s="13" t="str">
        <f>_xlfn.CONCAT(TechnologiesEmlab!A8,"FixedOperatingCostTimeSeries")</f>
        <v>Solar PV largeFixedOperatingCostTimeSeries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_xlfn.CONCAT(TechnologiesEmlab!A9,"FixedOperatingCostTimeSeries")</f>
        <v>Solar PV rooftopFixedOperatingCostTimeSeries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_xlfn.CONCAT(TechnologiesEmlab!A10,"FixedOperatingCostTimeSeries")</f>
        <v>Wind OffshoreFixedOperatingCostTimeSeries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_xlfn.CONCAT(TechnologiesEmlab!A11,"FixedOperatingCostTimeSeries")</f>
        <v>Wind OnshoreFixedOperatingCostTimeSeries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_xlfn.CONCAT(TechnologiesEmlab!A12,"FixedOperatingCostTimeSeries")</f>
        <v>electrolyzerFixedOperatingCostTimeSeries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_xlfn.CONCAT(TechnologiesEmlab!A13,"FixedOperatingCostTimeSeries")</f>
        <v>central gas boilerFixedOperatingCostTimeSeries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_xlfn.CONCAT(TechnologiesEmlab!A14,"FixedOperatingCostTimeSeries")</f>
        <v>CCGTFixedOperatingCostTimeSeries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_xlfn.CONCAT(TechnologiesEmlab!A15,"FixedOperatingCostTimeSeries")</f>
        <v>CCS gasFixedOperatingCostTimeSeries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_xlfn.CONCAT(TechnologiesEmlab!A16,"FixedOperatingCostTimeSeries")</f>
        <v>Hard CoalFixedOperatingCostTimeSeries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_xlfn.CONCAT(TechnologiesEmlab!A17,"FixedOperatingCostTimeSeries")</f>
        <v>Hydro ReservoirFixedOperatingCostTimeSeries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_xlfn.CONCAT(TechnologiesEmlab!A18,"FixedOperatingCostTimeSeries")</f>
        <v>hydrogen CHPFixedOperatingCostTimeSeries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_xlfn.CONCAT(TechnologiesEmlab!A19,"FixedOperatingCostTimeSeries")</f>
        <v>Hydropower RORFixedOperatingCostTimeSeries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_xlfn.CONCAT(TechnologiesEmlab!A20,"FixedOperatingCostTimeSeries")</f>
        <v>LigniteFixedOperatingCostTimeSeries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115</v>
      </c>
      <c r="K20" t="s">
        <v>332</v>
      </c>
      <c r="L20" t="s">
        <v>333</v>
      </c>
    </row>
    <row r="21" spans="1:14">
      <c r="A21" s="13" t="str">
        <f>_xlfn.CONCAT(TechnologiesEmlab!A21,"FixedOperatingCostTimeSeries")</f>
        <v>OCGTFixedOperatingCostTimeSeries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_xlfn.CONCAT(TechnologiesEmlab!A22,"FixedOperatingCostTimeSeries")</f>
        <v>OilFixedOperatingCostTimeSeries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$K$21*(1+$B$79)^J22</f>
        <v>4.5</v>
      </c>
      <c r="L22">
        <f>$L$21*(1+$B$107)^J22</f>
        <v>0.43</v>
      </c>
    </row>
    <row r="23" spans="1:14">
      <c r="A23" s="13" t="str">
        <f>_xlfn.CONCAT(TechnologiesEmlab!A23,"FixedOperatingCostTimeSeries")</f>
        <v>PHS DischargeFixedOperatingCostTimeSeries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$K$21*(1+$B$79)^J23</f>
        <v>4.5</v>
      </c>
      <c r="L23">
        <f>$L$21*(1+$B$107)^J23</f>
        <v>0.43</v>
      </c>
    </row>
    <row r="24" spans="1:14">
      <c r="A24" s="13" t="str">
        <f>_xlfn.CONCAT(TechnologiesEmlab!A24,"FixedOperatingCostTimeSeries")</f>
        <v>GasFixedOperatingCostTimeSeries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$K$21*(1+$B$79)^J24</f>
        <v>4.5</v>
      </c>
      <c r="L24">
        <f>$L$21*(1+$B$107)^J24</f>
        <v>0.43</v>
      </c>
    </row>
    <row r="25" spans="1:14">
      <c r="A25" s="58" t="str">
        <f>_xlfn.CONCAT(TechnologiesEmlab!A2,"InvestmentCostTimeSeries")</f>
        <v>hydrogen OCGTInvestmentCostTimeSeries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$K$21*(1+$B$79)^J25</f>
        <v>4.5</v>
      </c>
      <c r="L25">
        <f>$L$21*(1+$B$107)^J25</f>
        <v>0.43</v>
      </c>
    </row>
    <row r="26" spans="1:14">
      <c r="A26" s="58" t="str">
        <f>_xlfn.CONCAT(TechnologiesEmlab!A3,"InvestmentCostTimeSeries")</f>
        <v>hydrogen CCGTInvestmentCostTimeSeries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$K$21*(1+$B$79)^J26</f>
        <v>4.5</v>
      </c>
      <c r="L26">
        <f>$L$21*(1+$B$107)^J26</f>
        <v>0.43</v>
      </c>
    </row>
    <row r="27" spans="1:14">
      <c r="A27" s="58" t="str">
        <f>_xlfn.CONCAT(TechnologiesEmlab!A4,"InvestmentCostTimeSeries")</f>
        <v>BiofuelInvestmentCostTimeSeries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_xlfn.CONCAT(TechnologiesEmlab!A5,"InvestmentCostTimeSeries")</f>
        <v>Lithium ion battery 4InvestmentCostTimeSeries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310</v>
      </c>
      <c r="K28" t="s">
        <v>332</v>
      </c>
    </row>
    <row r="29" spans="1:14">
      <c r="A29" s="58" t="str">
        <f>_xlfn.CONCAT(TechnologiesEmlab!A6,"InvestmentCostTimeSeries")</f>
        <v>Lithium ion batteryInvestmentCostTimeSeries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_xlfn.CONCAT(TechnologiesEmlab!A7,"InvestmentCostTimeSeries")</f>
        <v>NuclearInvestmentCostTimeSeries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$K$29*(1+$B$87)^J30</f>
        <v>3</v>
      </c>
    </row>
    <row r="31" spans="1:14">
      <c r="A31" s="58" t="str">
        <f>_xlfn.CONCAT(TechnologiesEmlab!A8,"InvestmentCostTimeSeries")</f>
        <v>Solar PV largeInvestmentCostTimeSeries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$K$29*(1+$B$87)^J31</f>
        <v>3</v>
      </c>
    </row>
    <row r="32" spans="1:14">
      <c r="A32" s="58" t="str">
        <f>_xlfn.CONCAT(TechnologiesEmlab!A9,"InvestmentCostTimeSeries")</f>
        <v>Solar PV rooftopInvestmentCostTimeSeries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$K$29*(1+$B$87)^J32</f>
        <v>3</v>
      </c>
      <c r="N32">
        <f>K32/K29</f>
        <v>1</v>
      </c>
    </row>
    <row r="33" spans="1:10">
      <c r="A33" s="58" t="str">
        <f>_xlfn.CONCAT(TechnologiesEmlab!A10,"InvestmentCostTimeSeries")</f>
        <v>Wind OffshoreInvestmentCostTimeSeries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_xlfn.CONCAT(TechnologiesEmlab!A11,"InvestmentCostTimeSeries")</f>
        <v>Wind OnshoreInvestmentCostTimeSeries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334</v>
      </c>
    </row>
    <row r="35" spans="1:10">
      <c r="A35" s="58" t="str">
        <f>_xlfn.CONCAT(TechnologiesEmlab!A12,"InvestmentCostTimeSeries")</f>
        <v>electrolyzerInvestmentCostTimeSeries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335</v>
      </c>
    </row>
    <row r="36" spans="1:10">
      <c r="A36" s="58" t="str">
        <f>_xlfn.CONCAT(TechnologiesEmlab!A13,"InvestmentCostTimeSeries")</f>
        <v>central gas boilerInvestmentCostTimeSeries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336</v>
      </c>
    </row>
    <row r="37" spans="1:10">
      <c r="A37" s="58" t="str">
        <f>_xlfn.CONCAT(TechnologiesEmlab!A14,"InvestmentCostTimeSeries")</f>
        <v>CCGTInvestmentCostTimeSeries</v>
      </c>
      <c r="B37" s="46">
        <v>0</v>
      </c>
      <c r="C37" s="9"/>
      <c r="D37" s="40">
        <v>0</v>
      </c>
      <c r="E37" t="s">
        <v>337</v>
      </c>
    </row>
    <row r="38" spans="1:10" s="9" customFormat="1">
      <c r="A38" s="58" t="str">
        <f>_xlfn.CONCAT(TechnologiesEmlab!A15,"InvestmentCostTimeSeries")</f>
        <v>CCS gasInvestmentCostTimeSeries</v>
      </c>
      <c r="B38" s="46">
        <v>0</v>
      </c>
      <c r="D38" s="40">
        <v>0</v>
      </c>
      <c r="E38" t="s">
        <v>338</v>
      </c>
    </row>
    <row r="39" spans="1:10">
      <c r="A39" s="58" t="str">
        <f>_xlfn.CONCAT(TechnologiesEmlab!A16,"InvestmentCostTimeSeries")</f>
        <v>Hard CoalInvestmentCostTimeSeries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_xlfn.CONCAT(TechnologiesEmlab!A17,"InvestmentCostTimeSeries")</f>
        <v>Hydro ReservoirInvestmentCostTimeSeries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_xlfn.CONCAT(TechnologiesEmlab!A18,"InvestmentCostTimeSeries")</f>
        <v>hydrogen CHPInvestmentCostTimeSeries</v>
      </c>
      <c r="B41" s="46">
        <v>0</v>
      </c>
      <c r="C41" s="9"/>
      <c r="D41" s="40"/>
    </row>
    <row r="42" spans="1:10">
      <c r="A42" s="58" t="str">
        <f>_xlfn.CONCAT(TechnologiesEmlab!A19,"InvestmentCostTimeSeries")</f>
        <v>Hydropower RORInvestmentCostTimeSeries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_xlfn.CONCAT(TechnologiesEmlab!A20,"InvestmentCostTimeSeries")</f>
        <v>LigniteInvestmentCostTimeSeries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_xlfn.CONCAT(TechnologiesEmlab!A21,"InvestmentCostTimeSeries")</f>
        <v>OCGTInvestmentCostTimeSeries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_xlfn.CONCAT(TechnologiesEmlab!A22,"InvestmentCostTimeSeries")</f>
        <v>OilInvestmentCostTimeSeries</v>
      </c>
      <c r="B45" s="46">
        <v>0</v>
      </c>
      <c r="C45" s="9"/>
      <c r="D45" s="40">
        <v>0</v>
      </c>
    </row>
    <row r="46" spans="1:10">
      <c r="A46" s="58" t="str">
        <f>_xlfn.CONCAT(TechnologiesEmlab!A23,"InvestmentCostTimeSeries")</f>
        <v>PHS DischargeInvestmentCostTimeSeries</v>
      </c>
      <c r="B46" s="46">
        <v>0</v>
      </c>
      <c r="C46" s="9"/>
      <c r="D46" s="40">
        <v>0</v>
      </c>
    </row>
    <row r="47" spans="1:10">
      <c r="A47" s="58" t="str">
        <f>_xlfn.CONCAT(TechnologiesEmlab!A24,"InvestmentCostTimeSeries")</f>
        <v>GasInvestmentCostTimeSeries</v>
      </c>
      <c r="B47" s="46">
        <v>0</v>
      </c>
      <c r="C47" s="9"/>
      <c r="D47" s="40">
        <v>0</v>
      </c>
    </row>
    <row r="48" spans="1:10">
      <c r="A48" s="13" t="str">
        <f>_xlfn.CONCAT(TechnologiesEmlab!A2,"VariableCostTimeSeries")</f>
        <v>hydrogen OCGTVariableCostTimeSeries</v>
      </c>
      <c r="B48" s="46">
        <v>1E-3</v>
      </c>
      <c r="C48" s="9"/>
      <c r="D48" s="40">
        <v>0</v>
      </c>
    </row>
    <row r="49" spans="1:4">
      <c r="A49" s="13" t="str">
        <f>_xlfn.CONCAT(TechnologiesEmlab!A3,"VariableCostTimeSeries")</f>
        <v>hydrogen CCGTVariableCostTimeSeries</v>
      </c>
      <c r="B49" s="46">
        <v>1E-3</v>
      </c>
      <c r="C49" s="9"/>
      <c r="D49" s="40">
        <v>0</v>
      </c>
    </row>
    <row r="50" spans="1:4">
      <c r="A50" s="13" t="str">
        <f>_xlfn.CONCAT(TechnologiesEmlab!A4,"VariableCostTimeSeries")</f>
        <v>BiofuelVariableCostTimeSeries</v>
      </c>
      <c r="B50" s="46">
        <v>1E-3</v>
      </c>
      <c r="C50" s="9"/>
      <c r="D50" s="40">
        <v>0</v>
      </c>
    </row>
    <row r="51" spans="1:4">
      <c r="A51" s="13" t="str">
        <f>_xlfn.CONCAT(TechnologiesEmlab!A5,"VariableCostTimeSeries")</f>
        <v>Lithium ion battery 4VariableCostTimeSeries</v>
      </c>
      <c r="B51" s="46">
        <v>1E-3</v>
      </c>
      <c r="C51" s="9"/>
      <c r="D51" s="40">
        <v>0</v>
      </c>
    </row>
    <row r="52" spans="1:4">
      <c r="A52" s="13" t="str">
        <f>_xlfn.CONCAT(TechnologiesEmlab!A6,"VariableCostTimeSeries")</f>
        <v>Lithium ion batteryVariableCostTimeSeries</v>
      </c>
      <c r="B52" s="46">
        <v>1E-3</v>
      </c>
      <c r="C52" s="9"/>
      <c r="D52" s="40">
        <v>0</v>
      </c>
    </row>
    <row r="53" spans="1:4">
      <c r="A53" s="13" t="str">
        <f>_xlfn.CONCAT(TechnologiesEmlab!A7,"VariableCostTimeSeries")</f>
        <v>NuclearVariableCostTimeSeries</v>
      </c>
      <c r="B53" s="46">
        <v>1E-3</v>
      </c>
      <c r="C53" s="9"/>
      <c r="D53" s="40">
        <v>0</v>
      </c>
    </row>
    <row r="54" spans="1:4">
      <c r="A54" s="13" t="str">
        <f>_xlfn.CONCAT(TechnologiesEmlab!A8,"VariableCostTimeSeries")</f>
        <v>Solar PV largeVariableCostTimeSeries</v>
      </c>
      <c r="B54" s="46">
        <v>1E-3</v>
      </c>
      <c r="C54" s="9"/>
      <c r="D54" s="40">
        <v>0</v>
      </c>
    </row>
    <row r="55" spans="1:4">
      <c r="A55" s="13" t="str">
        <f>_xlfn.CONCAT(TechnologiesEmlab!A9,"VariableCostTimeSeries")</f>
        <v>Solar PV rooftopVariableCostTimeSeries</v>
      </c>
      <c r="B55" s="46">
        <v>1E-3</v>
      </c>
      <c r="C55" s="9"/>
      <c r="D55" s="40">
        <v>0</v>
      </c>
    </row>
    <row r="56" spans="1:4">
      <c r="A56" s="13" t="str">
        <f>_xlfn.CONCAT(TechnologiesEmlab!A10,"VariableCostTimeSeries")</f>
        <v>Wind OffshoreVariableCostTimeSeries</v>
      </c>
      <c r="B56" s="46">
        <v>1E-3</v>
      </c>
      <c r="C56" s="9"/>
      <c r="D56" s="40">
        <v>0</v>
      </c>
    </row>
    <row r="57" spans="1:4">
      <c r="A57" s="13" t="str">
        <f>_xlfn.CONCAT(TechnologiesEmlab!A11,"VariableCostTimeSeries")</f>
        <v>Wind OnshoreVariableCostTimeSeries</v>
      </c>
      <c r="B57" s="46">
        <v>1E-3</v>
      </c>
      <c r="C57" s="9"/>
      <c r="D57" s="40">
        <v>0</v>
      </c>
    </row>
    <row r="58" spans="1:4">
      <c r="A58" s="13" t="str">
        <f>_xlfn.CONCAT(TechnologiesEmlab!A12,"VariableCostTimeSeries")</f>
        <v>electrolyzerVariableCostTimeSeries</v>
      </c>
      <c r="B58" s="46">
        <v>1E-3</v>
      </c>
      <c r="C58" s="9"/>
      <c r="D58" s="40">
        <v>0</v>
      </c>
    </row>
    <row r="59" spans="1:4">
      <c r="A59" s="13" t="str">
        <f>_xlfn.CONCAT(TechnologiesEmlab!A13,"VariableCostTimeSeries")</f>
        <v>central gas boilerVariableCostTimeSeries</v>
      </c>
      <c r="B59" s="46">
        <v>1E-3</v>
      </c>
      <c r="C59" s="9"/>
      <c r="D59" s="40">
        <v>0</v>
      </c>
    </row>
    <row r="60" spans="1:4">
      <c r="A60" s="13" t="str">
        <f>_xlfn.CONCAT(TechnologiesEmlab!A14,"VariableCostTimeSeries")</f>
        <v>CCGTVariableCostTimeSeries</v>
      </c>
      <c r="B60" s="46">
        <v>1E-3</v>
      </c>
      <c r="C60" s="9"/>
      <c r="D60" s="40">
        <v>0</v>
      </c>
    </row>
    <row r="61" spans="1:4">
      <c r="A61" s="13" t="str">
        <f>_xlfn.CONCAT(TechnologiesEmlab!A15,"VariableCostTimeSeries")</f>
        <v>CCS gasVariableCostTimeSeries</v>
      </c>
      <c r="B61" s="46">
        <v>1E-3</v>
      </c>
      <c r="C61" s="9"/>
      <c r="D61" s="40"/>
    </row>
    <row r="62" spans="1:4">
      <c r="A62" s="13" t="str">
        <f>_xlfn.CONCAT(TechnologiesEmlab!A16,"VariableCostTimeSeries")</f>
        <v>Hard CoalVariableCostTimeSeries</v>
      </c>
      <c r="B62" s="46">
        <v>1E-3</v>
      </c>
      <c r="C62" s="9"/>
      <c r="D62" s="40">
        <v>0</v>
      </c>
    </row>
    <row r="63" spans="1:4">
      <c r="A63" s="13" t="str">
        <f>_xlfn.CONCAT(TechnologiesEmlab!A17,"VariableCostTimeSeries")</f>
        <v>Hydro ReservoirVariableCostTimeSeries</v>
      </c>
      <c r="B63" s="46">
        <v>1E-3</v>
      </c>
      <c r="C63" s="9"/>
      <c r="D63" s="40">
        <v>0</v>
      </c>
    </row>
    <row r="64" spans="1:4">
      <c r="A64" s="13" t="str">
        <f>_xlfn.CONCAT(TechnologiesEmlab!A18,"VariableCostTimeSeries")</f>
        <v>hydrogen CHPVariableCostTimeSeries</v>
      </c>
      <c r="B64" s="46">
        <v>1E-3</v>
      </c>
      <c r="C64" s="9"/>
      <c r="D64" s="40">
        <v>0</v>
      </c>
    </row>
    <row r="65" spans="1:5">
      <c r="A65" s="13" t="str">
        <f>_xlfn.CONCAT(TechnologiesEmlab!A19,"VariableCostTimeSeries")</f>
        <v>Hydropower RORVariableCostTimeSeries</v>
      </c>
      <c r="B65" s="46">
        <v>1E-3</v>
      </c>
      <c r="C65" s="9"/>
      <c r="D65" s="40">
        <v>-5.0000000000000001E-3</v>
      </c>
      <c r="E65" t="s">
        <v>339</v>
      </c>
    </row>
    <row r="66" spans="1:5">
      <c r="A66" s="13" t="str">
        <f>_xlfn.CONCAT(TechnologiesEmlab!A20,"VariableCostTimeSeries")</f>
        <v>LigniteVariableCostTimeSeries</v>
      </c>
      <c r="B66" s="46">
        <v>1E-3</v>
      </c>
      <c r="C66" s="9"/>
      <c r="D66" s="40">
        <v>-5.0000000000000001E-3</v>
      </c>
    </row>
    <row r="67" spans="1:5">
      <c r="A67" s="13" t="str">
        <f>_xlfn.CONCAT(TechnologiesEmlab!A21,"VariableCostTimeSeries")</f>
        <v>OCGTVariableCostTimeSeries</v>
      </c>
      <c r="B67" s="46">
        <v>1E-3</v>
      </c>
      <c r="C67" s="9"/>
      <c r="D67" s="40">
        <v>-5.0000000000000001E-3</v>
      </c>
    </row>
    <row r="68" spans="1:5">
      <c r="A68" s="13" t="str">
        <f>_xlfn.CONCAT(TechnologiesEmlab!A22,"VariableCostTimeSeries")</f>
        <v>OilVariableCostTimeSeries</v>
      </c>
      <c r="B68" s="46">
        <v>1E-3</v>
      </c>
      <c r="C68" s="9"/>
      <c r="D68" s="40">
        <v>-5.0000000000000001E-3</v>
      </c>
    </row>
    <row r="69" spans="1:5">
      <c r="A69" s="13" t="str">
        <f>_xlfn.CONCAT(TechnologiesEmlab!A23,"VariableCostTimeSeries")</f>
        <v>PHS DischargeVariableCostTimeSeries</v>
      </c>
      <c r="B69" s="46">
        <v>1E-3</v>
      </c>
      <c r="C69" s="9"/>
      <c r="D69" s="9"/>
    </row>
    <row r="70" spans="1:5">
      <c r="A70" s="13" t="str">
        <f>_xlfn.CONCAT(TechnologiesEmlab!A24,"VariableCostTimeSeries")</f>
        <v>GasVariableCostTimeSeries</v>
      </c>
      <c r="B70" s="46">
        <v>1E-3</v>
      </c>
      <c r="C70" s="9"/>
      <c r="D70" s="9"/>
    </row>
    <row r="71" spans="1:5">
      <c r="A71" s="58" t="str">
        <f>_xlfn.CONCAT(TechnologiesEmlab!A2,"EfficiencyTimeSeries")</f>
        <v>hydrogen OCGTEfficiencyTimeSeries</v>
      </c>
      <c r="B71" s="46">
        <v>0</v>
      </c>
      <c r="C71" s="9"/>
      <c r="D71" s="9"/>
    </row>
    <row r="72" spans="1:5">
      <c r="A72" s="58" t="str">
        <f>_xlfn.CONCAT(TechnologiesEmlab!A3,"EfficiencyTimeSeries")</f>
        <v>hydrogen CCGTEfficiencyTimeSeries</v>
      </c>
      <c r="B72" s="46">
        <v>0</v>
      </c>
      <c r="C72" s="9"/>
      <c r="D72" s="9"/>
    </row>
    <row r="73" spans="1:5">
      <c r="A73" s="58" t="str">
        <f>_xlfn.CONCAT(TechnologiesEmlab!A4,"EfficiencyTimeSeries")</f>
        <v>BiofuelEfficiencyTimeSeries</v>
      </c>
      <c r="B73" s="46">
        <v>0</v>
      </c>
      <c r="C73" s="9"/>
      <c r="D73" s="9"/>
    </row>
    <row r="74" spans="1:5">
      <c r="A74" s="58" t="str">
        <f>_xlfn.CONCAT(TechnologiesEmlab!A5,"EfficiencyTimeSeries")</f>
        <v>Lithium ion battery 4EfficiencyTimeSeries</v>
      </c>
      <c r="B74" s="46">
        <v>0</v>
      </c>
      <c r="C74" s="9"/>
      <c r="D74" s="9"/>
    </row>
    <row r="75" spans="1:5">
      <c r="A75" s="58" t="str">
        <f>_xlfn.CONCAT(TechnologiesEmlab!A6,"EfficiencyTimeSeries")</f>
        <v>Lithium ion batteryEfficiencyTimeSeries</v>
      </c>
      <c r="B75" s="46">
        <v>0</v>
      </c>
      <c r="C75" s="9"/>
      <c r="D75" s="9"/>
    </row>
    <row r="76" spans="1:5">
      <c r="A76" s="58" t="str">
        <f>_xlfn.CONCAT(TechnologiesEmlab!A7,"EfficiencyTimeSeries")</f>
        <v>NuclearEfficiencyTimeSeries</v>
      </c>
      <c r="B76" s="46">
        <v>0</v>
      </c>
      <c r="C76" s="9"/>
      <c r="D76" s="9"/>
    </row>
    <row r="77" spans="1:5">
      <c r="A77" s="58" t="str">
        <f>_xlfn.CONCAT(TechnologiesEmlab!A8,"EfficiencyTimeSeries")</f>
        <v>Solar PV largeEfficiencyTimeSeries</v>
      </c>
      <c r="B77" s="46">
        <v>0</v>
      </c>
      <c r="C77" s="9"/>
      <c r="D77" s="9"/>
    </row>
    <row r="78" spans="1:5">
      <c r="A78" s="58" t="str">
        <f>_xlfn.CONCAT(TechnologiesEmlab!A9,"EfficiencyTimeSeries")</f>
        <v>Solar PV rooftopEfficiencyTimeSeries</v>
      </c>
      <c r="B78" s="46">
        <v>0</v>
      </c>
      <c r="C78" s="9"/>
      <c r="D78" s="9"/>
    </row>
    <row r="79" spans="1:5">
      <c r="A79" s="58" t="str">
        <f>_xlfn.CONCAT(TechnologiesEmlab!A10,"EfficiencyTimeSeries")</f>
        <v>Wind OffshoreEfficiencyTimeSeries</v>
      </c>
      <c r="B79" s="46">
        <v>0</v>
      </c>
      <c r="C79" s="9"/>
      <c r="D79" s="9"/>
    </row>
    <row r="80" spans="1:5">
      <c r="A80" s="58" t="str">
        <f>_xlfn.CONCAT(TechnologiesEmlab!A11,"EfficiencyTimeSeries")</f>
        <v>Wind OnshoreEfficiencyTimeSeries</v>
      </c>
      <c r="B80" s="46">
        <v>0</v>
      </c>
      <c r="C80" s="9"/>
      <c r="D80" s="9"/>
    </row>
    <row r="81" spans="1:4">
      <c r="A81" s="58" t="str">
        <f>_xlfn.CONCAT(TechnologiesEmlab!A12,"EfficiencyTimeSeries")</f>
        <v>electrolyzerEfficiencyTimeSeries</v>
      </c>
      <c r="B81" s="46">
        <v>0</v>
      </c>
      <c r="C81" s="9"/>
      <c r="D81" s="9"/>
    </row>
    <row r="82" spans="1:4">
      <c r="A82" s="58" t="str">
        <f>_xlfn.CONCAT(TechnologiesEmlab!A13,"EfficiencyTimeSeries")</f>
        <v>central gas boilerEfficiencyTimeSeries</v>
      </c>
      <c r="B82" s="46">
        <v>0</v>
      </c>
      <c r="C82" s="9"/>
      <c r="D82" s="9"/>
    </row>
    <row r="83" spans="1:4">
      <c r="A83" s="58" t="str">
        <f>_xlfn.CONCAT(TechnologiesEmlab!A14,"EfficiencyTimeSeries")</f>
        <v>CCGTEfficiencyTimeSeries</v>
      </c>
      <c r="B83" s="46">
        <v>0</v>
      </c>
      <c r="C83" s="9"/>
      <c r="D83" s="9"/>
    </row>
    <row r="84" spans="1:4">
      <c r="A84" s="58" t="str">
        <f>_xlfn.CONCAT(TechnologiesEmlab!A15,"EfficiencyTimeSeries")</f>
        <v>CCS gasEfficiencyTimeSeries</v>
      </c>
      <c r="B84" s="46">
        <v>0</v>
      </c>
      <c r="C84" s="9"/>
      <c r="D84" s="9"/>
    </row>
    <row r="85" spans="1:4">
      <c r="A85" s="58" t="str">
        <f>_xlfn.CONCAT(TechnologiesEmlab!A16,"EfficiencyTimeSeries")</f>
        <v>Hard CoalEfficiencyTimeSeries</v>
      </c>
      <c r="B85" s="46">
        <v>0</v>
      </c>
      <c r="C85" s="9"/>
      <c r="D85" s="9"/>
    </row>
    <row r="86" spans="1:4">
      <c r="A86" s="58" t="str">
        <f>_xlfn.CONCAT(TechnologiesEmlab!A17,"EfficiencyTimeSeries")</f>
        <v>Hydro ReservoirEfficiencyTimeSeries</v>
      </c>
      <c r="B86" s="46">
        <v>0</v>
      </c>
      <c r="C86" s="9"/>
      <c r="D86" s="9"/>
    </row>
    <row r="87" spans="1:4">
      <c r="A87" s="58" t="str">
        <f>_xlfn.CONCAT(TechnologiesEmlab!A18,"EfficiencyTimeSeries")</f>
        <v>hydrogen CHPEfficiencyTimeSeries</v>
      </c>
      <c r="B87" s="46">
        <v>0</v>
      </c>
      <c r="C87" s="9"/>
      <c r="D87" s="9"/>
    </row>
    <row r="88" spans="1:4">
      <c r="A88" s="58" t="str">
        <f>_xlfn.CONCAT(TechnologiesEmlab!A19,"EfficiencyTimeSeries")</f>
        <v>Hydropower ROREfficiencyTimeSeries</v>
      </c>
      <c r="B88" s="46">
        <v>0</v>
      </c>
      <c r="C88" s="9"/>
      <c r="D88" s="9"/>
    </row>
    <row r="89" spans="1:4">
      <c r="A89" s="58" t="str">
        <f>_xlfn.CONCAT(TechnologiesEmlab!A20,"EfficiencyTimeSeries")</f>
        <v>LigniteEfficiencyTimeSeries</v>
      </c>
      <c r="B89" s="46">
        <v>0</v>
      </c>
      <c r="C89" s="9"/>
      <c r="D89" s="9"/>
    </row>
    <row r="90" spans="1:4">
      <c r="A90" s="58" t="str">
        <f>_xlfn.CONCAT(TechnologiesEmlab!A21,"EfficiencyTimeSeries")</f>
        <v>OCGTEfficiencyTimeSeries</v>
      </c>
      <c r="B90" s="46">
        <v>0</v>
      </c>
      <c r="C90" s="9"/>
      <c r="D90" s="9"/>
    </row>
    <row r="91" spans="1:4">
      <c r="A91" s="58" t="str">
        <f>_xlfn.CONCAT(TechnologiesEmlab!A22,"EfficiencyTimeSeries")</f>
        <v>OilEfficiencyTimeSeries</v>
      </c>
      <c r="B91" s="46">
        <v>0</v>
      </c>
      <c r="C91" s="9"/>
      <c r="D91" s="9"/>
    </row>
    <row r="92" spans="1:4">
      <c r="A92" s="58" t="str">
        <f>_xlfn.CONCAT(TechnologiesEmlab!A23,"EfficiencyTimeSeries")</f>
        <v>PHS DischargeEfficiencyTimeSeries</v>
      </c>
      <c r="B92" s="46">
        <v>0</v>
      </c>
      <c r="C92" s="9"/>
      <c r="D92" s="9"/>
    </row>
    <row r="93" spans="1:4">
      <c r="A93" s="58" t="str">
        <f>_xlfn.CONCAT(TechnologiesEmlab!A24,"EfficiencyTimeSeries")</f>
        <v>GasEfficiencyTimeSeries</v>
      </c>
      <c r="B93" s="46">
        <v>0</v>
      </c>
      <c r="C93" s="9"/>
      <c r="D93" s="9"/>
    </row>
    <row r="94" spans="1:4">
      <c r="C94" s="9"/>
      <c r="D94" s="9"/>
    </row>
    <row r="95" spans="1:4">
      <c r="A95" s="58"/>
      <c r="B95" s="46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162</v>
      </c>
      <c r="B1" s="49" t="s">
        <v>340</v>
      </c>
      <c r="C1" s="49" t="s">
        <v>341</v>
      </c>
      <c r="D1" s="49" t="s">
        <v>69</v>
      </c>
      <c r="E1" s="49" t="s">
        <v>71</v>
      </c>
      <c r="F1" s="49" t="s">
        <v>342</v>
      </c>
      <c r="G1" s="49" t="s">
        <v>72</v>
      </c>
      <c r="H1" s="49" t="s">
        <v>343</v>
      </c>
      <c r="I1" s="49" t="s">
        <v>344</v>
      </c>
    </row>
    <row r="2" spans="1:15">
      <c r="A2" s="13" t="s">
        <v>345</v>
      </c>
      <c r="B2" s="13" t="s">
        <v>346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347</v>
      </c>
      <c r="B3" s="13" t="s">
        <v>250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K34" sqref="K34"/>
    </sheetView>
  </sheetViews>
  <sheetFormatPr defaultRowHeight="15"/>
  <cols>
    <col min="1" max="1" width="25.5703125" style="16" customWidth="1"/>
    <col min="2" max="41" width="8.7109375" style="16"/>
  </cols>
  <sheetData>
    <row r="1" spans="1:43">
      <c r="A1" s="16" t="s">
        <v>348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349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350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351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352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353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354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355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356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357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358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359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13" s="16" t="s">
        <v>360</v>
      </c>
      <c r="B13" s="16">
        <f>2020</f>
        <v>2020</v>
      </c>
      <c r="C13" s="16">
        <v>2021</v>
      </c>
      <c r="D13" s="16">
        <f>C13+1</f>
        <v>2022</v>
      </c>
      <c r="E13" s="16">
        <f t="shared" ref="E13:AF13" si="0">D13+1</f>
        <v>2023</v>
      </c>
      <c r="F13" s="16">
        <f t="shared" si="0"/>
        <v>2024</v>
      </c>
      <c r="G13" s="16">
        <f t="shared" si="0"/>
        <v>2025</v>
      </c>
      <c r="H13" s="16">
        <f t="shared" si="0"/>
        <v>2026</v>
      </c>
      <c r="I13" s="16">
        <f t="shared" si="0"/>
        <v>2027</v>
      </c>
      <c r="J13" s="16">
        <f t="shared" si="0"/>
        <v>2028</v>
      </c>
      <c r="K13" s="16">
        <f t="shared" si="0"/>
        <v>2029</v>
      </c>
      <c r="L13" s="16">
        <f t="shared" si="0"/>
        <v>2030</v>
      </c>
      <c r="M13" s="16">
        <f t="shared" si="0"/>
        <v>2031</v>
      </c>
      <c r="N13" s="16">
        <f t="shared" si="0"/>
        <v>2032</v>
      </c>
      <c r="O13" s="16">
        <f t="shared" si="0"/>
        <v>2033</v>
      </c>
      <c r="P13" s="16">
        <f t="shared" si="0"/>
        <v>2034</v>
      </c>
      <c r="Q13" s="16">
        <f t="shared" si="0"/>
        <v>2035</v>
      </c>
      <c r="R13" s="16">
        <f t="shared" si="0"/>
        <v>2036</v>
      </c>
      <c r="S13" s="16">
        <f t="shared" si="0"/>
        <v>2037</v>
      </c>
      <c r="T13" s="16">
        <f t="shared" si="0"/>
        <v>2038</v>
      </c>
      <c r="U13" s="16">
        <f t="shared" si="0"/>
        <v>2039</v>
      </c>
      <c r="V13" s="16">
        <f t="shared" si="0"/>
        <v>2040</v>
      </c>
      <c r="W13" s="16">
        <f t="shared" si="0"/>
        <v>2041</v>
      </c>
      <c r="X13" s="16">
        <f t="shared" si="0"/>
        <v>2042</v>
      </c>
      <c r="Y13" s="16">
        <f t="shared" si="0"/>
        <v>2043</v>
      </c>
      <c r="Z13" s="16">
        <f t="shared" si="0"/>
        <v>2044</v>
      </c>
      <c r="AA13" s="16">
        <f t="shared" si="0"/>
        <v>2045</v>
      </c>
      <c r="AB13" s="16">
        <f t="shared" si="0"/>
        <v>2046</v>
      </c>
      <c r="AC13" s="16">
        <f>AB13+1</f>
        <v>2047</v>
      </c>
      <c r="AD13" s="16">
        <f t="shared" si="0"/>
        <v>2048</v>
      </c>
      <c r="AE13" s="16">
        <f t="shared" si="0"/>
        <v>2049</v>
      </c>
      <c r="AF13" s="16">
        <f t="shared" si="0"/>
        <v>2050</v>
      </c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279</v>
      </c>
      <c r="B1" t="s">
        <v>361</v>
      </c>
      <c r="C1" s="36"/>
    </row>
    <row r="2" spans="1:3">
      <c r="A2" t="s">
        <v>362</v>
      </c>
      <c r="B2" t="s">
        <v>363</v>
      </c>
    </row>
    <row r="3" spans="1:3">
      <c r="A3" t="s">
        <v>364</v>
      </c>
      <c r="B3" t="s">
        <v>363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E675C-876C-406A-840F-7AF3A8157BD6}">
  <sheetPr>
    <tabColor theme="7" tint="0.79998168889431442"/>
  </sheetPr>
  <dimension ref="I3"/>
  <sheetViews>
    <sheetView workbookViewId="0">
      <selection activeCell="I3" sqref="I3"/>
    </sheetView>
  </sheetViews>
  <sheetFormatPr defaultRowHeight="15"/>
  <sheetData>
    <row r="3" spans="9:9">
      <c r="I3" t="s">
        <v>365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278</v>
      </c>
      <c r="B1" t="s">
        <v>181</v>
      </c>
      <c r="C1" t="s">
        <v>179</v>
      </c>
    </row>
    <row r="2" spans="1:3">
      <c r="A2" t="s">
        <v>118</v>
      </c>
      <c r="B2">
        <v>0.01</v>
      </c>
      <c r="C2">
        <v>0.01</v>
      </c>
    </row>
    <row r="3" spans="1:3">
      <c r="A3" t="s">
        <v>120</v>
      </c>
      <c r="B3">
        <v>0.01</v>
      </c>
      <c r="C3">
        <v>0.01</v>
      </c>
    </row>
    <row r="4" spans="1:3">
      <c r="A4" t="s">
        <v>122</v>
      </c>
      <c r="B4">
        <v>7.0000000000000007E-2</v>
      </c>
      <c r="C4">
        <v>0.13</v>
      </c>
    </row>
    <row r="5" spans="1:3">
      <c r="A5" t="s">
        <v>124</v>
      </c>
      <c r="B5">
        <v>0.12</v>
      </c>
      <c r="C5">
        <v>0.09</v>
      </c>
    </row>
    <row r="6" spans="1:3">
      <c r="A6" t="s">
        <v>113</v>
      </c>
      <c r="B6">
        <v>0.09</v>
      </c>
      <c r="C6">
        <v>0.56000000000000005</v>
      </c>
    </row>
    <row r="7" spans="1:3">
      <c r="A7" t="s">
        <v>108</v>
      </c>
      <c r="B7">
        <v>0.92</v>
      </c>
      <c r="C7">
        <v>0.92</v>
      </c>
    </row>
    <row r="8" spans="1:3">
      <c r="A8" t="s">
        <v>109</v>
      </c>
      <c r="B8">
        <v>0.92</v>
      </c>
      <c r="C8">
        <v>0.92</v>
      </c>
    </row>
    <row r="9" spans="1:3">
      <c r="A9" t="s">
        <v>366</v>
      </c>
      <c r="B9">
        <v>0.91</v>
      </c>
      <c r="C9">
        <v>0.91</v>
      </c>
    </row>
    <row r="10" spans="1:3">
      <c r="A10" t="s">
        <v>111</v>
      </c>
      <c r="B10">
        <v>0.41</v>
      </c>
      <c r="C10">
        <v>0.41</v>
      </c>
    </row>
    <row r="11" spans="1:3">
      <c r="A11" t="s">
        <v>112</v>
      </c>
      <c r="B11">
        <v>0.9</v>
      </c>
      <c r="C11">
        <v>0.9</v>
      </c>
    </row>
    <row r="12" spans="1:3">
      <c r="A12" t="s">
        <v>114</v>
      </c>
      <c r="B12">
        <v>0.8</v>
      </c>
      <c r="C12">
        <v>0.8</v>
      </c>
    </row>
    <row r="13" spans="1:3">
      <c r="A13" t="s">
        <v>115</v>
      </c>
      <c r="B13">
        <v>0.91</v>
      </c>
      <c r="C13">
        <v>0.91</v>
      </c>
    </row>
    <row r="14" spans="1:3">
      <c r="A14" t="s">
        <v>116</v>
      </c>
      <c r="B14">
        <v>0.95</v>
      </c>
      <c r="C14">
        <v>0.95</v>
      </c>
    </row>
    <row r="15" spans="1:3">
      <c r="A15" t="s">
        <v>117</v>
      </c>
      <c r="B15">
        <v>0.9</v>
      </c>
      <c r="C15">
        <v>0.9</v>
      </c>
    </row>
    <row r="16" spans="1:3">
      <c r="A16" t="s">
        <v>126</v>
      </c>
      <c r="B16">
        <v>0</v>
      </c>
      <c r="C16">
        <v>0</v>
      </c>
    </row>
    <row r="17" spans="1:3">
      <c r="A17" t="s">
        <v>318</v>
      </c>
      <c r="B17">
        <v>0</v>
      </c>
      <c r="C17">
        <v>0</v>
      </c>
    </row>
    <row r="18" spans="1:3">
      <c r="A18" t="s">
        <v>99</v>
      </c>
      <c r="B18">
        <v>0.93</v>
      </c>
      <c r="C18">
        <v>0.93</v>
      </c>
    </row>
    <row r="19" spans="1:3">
      <c r="A19" t="s">
        <v>102</v>
      </c>
      <c r="B19">
        <v>0.92</v>
      </c>
      <c r="C19">
        <v>0.92</v>
      </c>
    </row>
    <row r="20" spans="1:3">
      <c r="A20" t="s">
        <v>104</v>
      </c>
      <c r="B20">
        <v>0.9</v>
      </c>
      <c r="C20">
        <v>0.9</v>
      </c>
    </row>
    <row r="21" spans="1:3">
      <c r="A21" t="s">
        <v>105</v>
      </c>
      <c r="B21">
        <v>0.9</v>
      </c>
      <c r="C21">
        <v>0.9</v>
      </c>
    </row>
    <row r="22" spans="1:3">
      <c r="A22" t="s">
        <v>106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AD61"/>
  <sheetViews>
    <sheetView topLeftCell="C26" zoomScale="85" zoomScaleNormal="85" workbookViewId="0">
      <selection activeCell="M67" sqref="M6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0" max="20" width="32.42578125" customWidth="1"/>
    <col min="25" max="25" width="11" bestFit="1" customWidth="1"/>
    <col min="27" max="27" width="21.7109375" customWidth="1"/>
    <col min="28" max="28" width="15" customWidth="1"/>
  </cols>
  <sheetData>
    <row r="1" spans="1:30" ht="15.75" thickBot="1">
      <c r="B1" t="s">
        <v>367</v>
      </c>
      <c r="C1" t="s">
        <v>368</v>
      </c>
      <c r="D1" t="s">
        <v>369</v>
      </c>
      <c r="E1" t="s">
        <v>370</v>
      </c>
      <c r="I1" s="13"/>
      <c r="J1" s="13" t="s">
        <v>371</v>
      </c>
      <c r="K1" s="13" t="s">
        <v>372</v>
      </c>
      <c r="L1" s="70" t="s">
        <v>373</v>
      </c>
      <c r="M1" s="13" t="s">
        <v>367</v>
      </c>
      <c r="N1" s="13" t="s">
        <v>374</v>
      </c>
      <c r="P1" s="13" t="s">
        <v>375</v>
      </c>
      <c r="T1" t="s">
        <v>376</v>
      </c>
      <c r="V1" t="s">
        <v>377</v>
      </c>
      <c r="AA1" t="s">
        <v>378</v>
      </c>
      <c r="AD1" t="s">
        <v>379</v>
      </c>
    </row>
    <row r="2" spans="1:30" ht="15.75" thickBot="1">
      <c r="A2" t="s">
        <v>203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204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  <c r="T2" t="s">
        <v>380</v>
      </c>
      <c r="U2">
        <v>33500</v>
      </c>
      <c r="V2">
        <f>U2*1.5</f>
        <v>50250</v>
      </c>
      <c r="AA2" t="s">
        <v>381</v>
      </c>
      <c r="AB2">
        <v>2017</v>
      </c>
      <c r="AC2" t="s">
        <v>382</v>
      </c>
      <c r="AD2" t="s">
        <v>383</v>
      </c>
    </row>
    <row r="3" spans="1:30" ht="15.75" thickBot="1">
      <c r="A3" t="s">
        <v>205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206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384</v>
      </c>
      <c r="U3">
        <v>18700</v>
      </c>
      <c r="V3">
        <f t="shared" ref="V3" si="5">U3*1.5</f>
        <v>28050</v>
      </c>
    </row>
    <row r="4" spans="1:30" ht="15.75" thickBot="1">
      <c r="A4" t="s">
        <v>206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207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385</v>
      </c>
      <c r="U4">
        <v>16380</v>
      </c>
      <c r="V4">
        <f>U4*1.5</f>
        <v>24570</v>
      </c>
    </row>
    <row r="5" spans="1:30" ht="15.75" thickBot="1">
      <c r="A5" t="s">
        <v>386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387</v>
      </c>
      <c r="U5">
        <v>12420</v>
      </c>
      <c r="V5">
        <f>U5*1.5</f>
        <v>18630</v>
      </c>
    </row>
    <row r="6" spans="1:30" ht="15.75" thickBot="1">
      <c r="A6" t="s">
        <v>388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ref="J6:J7" si="7">C8</f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V6">
        <f>AVERAGE(V2:V5)</f>
        <v>30375</v>
      </c>
    </row>
    <row r="7" spans="1:30">
      <c r="A7" t="s">
        <v>209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30" ht="15.75" thickBot="1">
      <c r="A8" t="s">
        <v>211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30">
      <c r="A9" t="s">
        <v>213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389</v>
      </c>
      <c r="P9" t="s">
        <v>390</v>
      </c>
      <c r="T9" s="13"/>
      <c r="U9" s="13" t="s">
        <v>367</v>
      </c>
      <c r="V9" s="13" t="s">
        <v>391</v>
      </c>
      <c r="W9" s="13" t="s">
        <v>369</v>
      </c>
      <c r="X9" s="13" t="s">
        <v>392</v>
      </c>
    </row>
    <row r="10" spans="1:30">
      <c r="A10" t="s">
        <v>214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  <c r="T10" s="13" t="s">
        <v>203</v>
      </c>
      <c r="U10" s="13">
        <f>W10</f>
        <v>4</v>
      </c>
      <c r="V10" s="13">
        <v>105914</v>
      </c>
      <c r="W10" s="13">
        <v>4</v>
      </c>
      <c r="X10" s="13">
        <f>AVERAGE(V2,V10)</f>
        <v>78082</v>
      </c>
    </row>
    <row r="11" spans="1:30">
      <c r="E11" s="79">
        <f>SUM(E2:E10)</f>
        <v>59002.330000000009</v>
      </c>
      <c r="F11" s="16"/>
      <c r="G11" s="16"/>
      <c r="J11" t="s">
        <v>393</v>
      </c>
      <c r="T11" s="13" t="s">
        <v>205</v>
      </c>
      <c r="U11" s="13">
        <f>U10+W11</f>
        <v>13</v>
      </c>
      <c r="V11" s="13">
        <v>100323</v>
      </c>
      <c r="W11" s="13">
        <v>9</v>
      </c>
      <c r="X11" s="13">
        <f>AVERAGE(V2,V11)</f>
        <v>75286.5</v>
      </c>
    </row>
    <row r="12" spans="1:30">
      <c r="T12" s="13" t="s">
        <v>206</v>
      </c>
      <c r="U12" s="13">
        <f t="shared" ref="U12:U18" si="10">U11+W12</f>
        <v>26</v>
      </c>
      <c r="V12" s="13">
        <v>84942</v>
      </c>
      <c r="W12" s="13">
        <v>13</v>
      </c>
      <c r="X12" s="34">
        <f>AVERAGE(V12,$V$3)</f>
        <v>56496</v>
      </c>
    </row>
    <row r="13" spans="1:30">
      <c r="N13">
        <f>1.023^17</f>
        <v>1.4719253099280327</v>
      </c>
      <c r="Q13" t="s">
        <v>394</v>
      </c>
      <c r="T13" s="13" t="s">
        <v>395</v>
      </c>
      <c r="U13" s="13">
        <f t="shared" si="10"/>
        <v>31</v>
      </c>
      <c r="V13" s="13">
        <v>73186</v>
      </c>
      <c r="W13" s="13">
        <v>5</v>
      </c>
      <c r="X13" s="34">
        <f t="shared" ref="X13" si="11">AVERAGE(V13,$V$3)</f>
        <v>50618</v>
      </c>
    </row>
    <row r="14" spans="1:30">
      <c r="A14" t="s">
        <v>396</v>
      </c>
      <c r="O14" s="16">
        <v>80</v>
      </c>
      <c r="P14" s="16">
        <f>O14</f>
        <v>80</v>
      </c>
      <c r="Q14">
        <v>4000</v>
      </c>
      <c r="T14" s="13" t="s">
        <v>210</v>
      </c>
      <c r="U14" s="13">
        <f t="shared" si="10"/>
        <v>59</v>
      </c>
      <c r="V14" s="13">
        <v>61758</v>
      </c>
      <c r="W14" s="13">
        <v>28</v>
      </c>
      <c r="X14" s="34">
        <f>AVERAGE(V14,$V$3)</f>
        <v>44904</v>
      </c>
    </row>
    <row r="15" spans="1:30">
      <c r="O15" s="16">
        <v>10</v>
      </c>
      <c r="P15" s="16">
        <f>O15+P14</f>
        <v>90</v>
      </c>
      <c r="Q15">
        <v>1500</v>
      </c>
      <c r="T15" s="13" t="s">
        <v>209</v>
      </c>
      <c r="U15" s="13">
        <f t="shared" si="10"/>
        <v>68</v>
      </c>
      <c r="V15" s="13">
        <v>42700</v>
      </c>
      <c r="W15" s="13">
        <v>9</v>
      </c>
      <c r="X15" s="34">
        <f>AVERAGE(V15,$V$4)</f>
        <v>33635</v>
      </c>
    </row>
    <row r="16" spans="1:30">
      <c r="A16" t="s">
        <v>397</v>
      </c>
      <c r="O16" s="16">
        <v>5</v>
      </c>
      <c r="P16" s="16">
        <f t="shared" ref="P16:P17" si="12">O16+P15</f>
        <v>95</v>
      </c>
      <c r="Q16">
        <v>500</v>
      </c>
      <c r="T16" s="13" t="s">
        <v>211</v>
      </c>
      <c r="U16" s="13">
        <f t="shared" si="10"/>
        <v>89</v>
      </c>
      <c r="V16" s="13">
        <v>32723</v>
      </c>
      <c r="W16" s="13">
        <v>21</v>
      </c>
      <c r="X16" s="34">
        <f>AVERAGE(V16,$V$4)</f>
        <v>28646.5</v>
      </c>
    </row>
    <row r="17" spans="15:24">
      <c r="O17" s="16">
        <v>5</v>
      </c>
      <c r="P17" s="16">
        <f t="shared" si="12"/>
        <v>100</v>
      </c>
      <c r="Q17">
        <v>250</v>
      </c>
      <c r="T17" t="s">
        <v>213</v>
      </c>
      <c r="U17">
        <f t="shared" si="10"/>
        <v>97</v>
      </c>
      <c r="V17">
        <v>30429</v>
      </c>
      <c r="W17">
        <v>8</v>
      </c>
      <c r="X17" s="16">
        <f>AVERAGE(V17,$V$4)</f>
        <v>27499.5</v>
      </c>
    </row>
    <row r="18" spans="15:24">
      <c r="T18" t="s">
        <v>214</v>
      </c>
      <c r="U18">
        <f t="shared" si="10"/>
        <v>100</v>
      </c>
      <c r="V18">
        <v>19785</v>
      </c>
      <c r="W18">
        <v>3</v>
      </c>
      <c r="X18" s="16">
        <f>AVERAGE(V18,$V$5)</f>
        <v>19207.5</v>
      </c>
    </row>
    <row r="29" spans="15:24">
      <c r="P29">
        <v>0</v>
      </c>
      <c r="Q29">
        <v>4000</v>
      </c>
    </row>
    <row r="30" spans="15:24">
      <c r="O30" s="16">
        <v>80</v>
      </c>
      <c r="P30" s="16">
        <f>O30</f>
        <v>80</v>
      </c>
      <c r="Q30">
        <v>4000</v>
      </c>
      <c r="R30" t="s">
        <v>398</v>
      </c>
    </row>
    <row r="31" spans="15:24">
      <c r="P31">
        <v>80</v>
      </c>
      <c r="Q31">
        <v>1500</v>
      </c>
    </row>
    <row r="32" spans="15:24">
      <c r="O32" s="16">
        <v>20</v>
      </c>
      <c r="P32" s="16">
        <v>90</v>
      </c>
      <c r="Q32">
        <v>1500</v>
      </c>
      <c r="R32" t="s">
        <v>399</v>
      </c>
    </row>
    <row r="33" spans="1:24">
      <c r="O33" s="16">
        <v>5</v>
      </c>
      <c r="P33" s="16">
        <f t="shared" ref="P33:P34" si="13">O33+P32</f>
        <v>95</v>
      </c>
      <c r="Q33">
        <v>500</v>
      </c>
    </row>
    <row r="34" spans="1:24">
      <c r="O34" s="16">
        <v>5</v>
      </c>
      <c r="P34" s="16">
        <f t="shared" si="13"/>
        <v>100</v>
      </c>
      <c r="Q34">
        <v>250</v>
      </c>
    </row>
    <row r="37" spans="1:24">
      <c r="V37" s="13"/>
      <c r="W37" s="13" t="s">
        <v>223</v>
      </c>
      <c r="X37" s="13" t="s">
        <v>400</v>
      </c>
    </row>
    <row r="38" spans="1:24" ht="27.75" customHeight="1">
      <c r="A38" t="s">
        <v>401</v>
      </c>
      <c r="B38" t="s">
        <v>372</v>
      </c>
      <c r="C38" s="2" t="s">
        <v>402</v>
      </c>
      <c r="D38" s="2" t="s">
        <v>403</v>
      </c>
      <c r="E38" s="2" t="s">
        <v>404</v>
      </c>
      <c r="F38" s="2" t="s">
        <v>405</v>
      </c>
      <c r="G38" s="2"/>
      <c r="Q38" t="s">
        <v>406</v>
      </c>
      <c r="R38" t="s">
        <v>367</v>
      </c>
      <c r="S38" t="s">
        <v>223</v>
      </c>
      <c r="V38" s="13" t="s">
        <v>203</v>
      </c>
      <c r="W38" s="13">
        <v>78082</v>
      </c>
      <c r="X38" s="13">
        <v>4</v>
      </c>
    </row>
    <row r="39" spans="1:24">
      <c r="A39" t="s">
        <v>407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398</v>
      </c>
      <c r="V39" s="13" t="s">
        <v>205</v>
      </c>
      <c r="W39" s="13">
        <v>75286.5</v>
      </c>
      <c r="X39" s="13">
        <v>9</v>
      </c>
    </row>
    <row r="40" spans="1:24">
      <c r="A40" t="s">
        <v>408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399</v>
      </c>
      <c r="V40" s="13" t="s">
        <v>206</v>
      </c>
      <c r="W40" s="13">
        <v>56496</v>
      </c>
      <c r="X40" s="13">
        <v>13</v>
      </c>
    </row>
    <row r="41" spans="1:24">
      <c r="A41" t="s">
        <v>409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4">Q41+R40</f>
        <v>95</v>
      </c>
      <c r="S41">
        <v>500</v>
      </c>
      <c r="V41" s="13" t="s">
        <v>395</v>
      </c>
      <c r="W41" s="13">
        <v>50618</v>
      </c>
      <c r="X41" s="13">
        <v>5</v>
      </c>
    </row>
    <row r="42" spans="1:24">
      <c r="A42" t="s">
        <v>410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4"/>
        <v>100</v>
      </c>
      <c r="S42">
        <v>250</v>
      </c>
      <c r="V42" s="13" t="s">
        <v>210</v>
      </c>
      <c r="W42" s="13">
        <v>44904</v>
      </c>
      <c r="X42" s="13">
        <v>28</v>
      </c>
    </row>
    <row r="43" spans="1:24">
      <c r="A43" t="s">
        <v>411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  <c r="V43" s="13" t="s">
        <v>209</v>
      </c>
      <c r="W43" s="13">
        <v>33635</v>
      </c>
      <c r="X43" s="13">
        <v>9</v>
      </c>
    </row>
    <row r="44" spans="1:24">
      <c r="V44" s="13" t="s">
        <v>211</v>
      </c>
      <c r="W44" s="13">
        <v>28646.5</v>
      </c>
      <c r="X44" s="13">
        <v>21</v>
      </c>
    </row>
    <row r="45" spans="1:24" ht="45">
      <c r="A45" t="s">
        <v>412</v>
      </c>
      <c r="B45" t="s">
        <v>372</v>
      </c>
      <c r="C45" s="2" t="s">
        <v>402</v>
      </c>
      <c r="D45" s="2" t="s">
        <v>403</v>
      </c>
      <c r="E45" s="2" t="s">
        <v>404</v>
      </c>
      <c r="F45" s="2" t="s">
        <v>405</v>
      </c>
      <c r="V45" s="13" t="s">
        <v>213</v>
      </c>
      <c r="W45" s="13">
        <v>27499.5</v>
      </c>
      <c r="X45" s="13">
        <v>8</v>
      </c>
    </row>
    <row r="46" spans="1:24">
      <c r="A46" t="s">
        <v>407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  <c r="V46" s="13" t="s">
        <v>214</v>
      </c>
      <c r="W46" s="13">
        <v>19207.5</v>
      </c>
      <c r="X46" s="13">
        <v>3</v>
      </c>
    </row>
    <row r="47" spans="1:24">
      <c r="A47" t="s">
        <v>408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223</v>
      </c>
      <c r="M47" t="s">
        <v>413</v>
      </c>
    </row>
    <row r="48" spans="1:24">
      <c r="A48" t="s">
        <v>409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5">K2</f>
        <v>13</v>
      </c>
      <c r="K48" s="16">
        <f t="shared" ref="K48:K54" si="16">J2</f>
        <v>102043.30769230769</v>
      </c>
      <c r="L48">
        <f>K48*J48</f>
        <v>1326563</v>
      </c>
      <c r="M48" s="16">
        <f t="shared" ref="M48:M54" si="17">P2</f>
        <v>4081.7323076923076</v>
      </c>
    </row>
    <row r="49" spans="1:13">
      <c r="A49" t="s">
        <v>410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8">I3</f>
        <v>commercial and service sector</v>
      </c>
      <c r="J49">
        <f t="shared" si="15"/>
        <v>13</v>
      </c>
      <c r="K49" s="16">
        <f t="shared" si="16"/>
        <v>84942</v>
      </c>
      <c r="L49">
        <f t="shared" ref="L49:L52" si="19">K49*J49</f>
        <v>1104246</v>
      </c>
      <c r="M49" s="16">
        <f t="shared" si="17"/>
        <v>3397.68</v>
      </c>
    </row>
    <row r="50" spans="1:13">
      <c r="A50" t="s">
        <v>411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8"/>
        <v>industry</v>
      </c>
      <c r="J50">
        <f t="shared" si="15"/>
        <v>33</v>
      </c>
      <c r="K50" s="16">
        <f t="shared" si="16"/>
        <v>63489.515151515152</v>
      </c>
      <c r="L50">
        <f t="shared" si="19"/>
        <v>2095154</v>
      </c>
      <c r="M50" s="16">
        <f t="shared" si="17"/>
        <v>2539.580606060606</v>
      </c>
    </row>
    <row r="51" spans="1:13">
      <c r="I51" t="str">
        <f t="shared" si="18"/>
        <v>household other</v>
      </c>
      <c r="J51">
        <f t="shared" si="15"/>
        <v>9</v>
      </c>
      <c r="K51" s="16">
        <f t="shared" si="16"/>
        <v>42700</v>
      </c>
      <c r="L51">
        <f t="shared" si="19"/>
        <v>384300</v>
      </c>
      <c r="M51" s="16">
        <f t="shared" si="17"/>
        <v>1708</v>
      </c>
    </row>
    <row r="52" spans="1:13">
      <c r="I52" t="str">
        <f t="shared" si="18"/>
        <v>household city center</v>
      </c>
      <c r="J52">
        <f t="shared" si="15"/>
        <v>21</v>
      </c>
      <c r="K52" s="16">
        <f t="shared" si="16"/>
        <v>32723</v>
      </c>
      <c r="L52">
        <f t="shared" si="19"/>
        <v>687183</v>
      </c>
      <c r="M52" s="16">
        <f t="shared" si="17"/>
        <v>1308.92</v>
      </c>
    </row>
    <row r="53" spans="1:13">
      <c r="I53" t="str">
        <f t="shared" si="18"/>
        <v>household feed in areas</v>
      </c>
      <c r="J53">
        <f t="shared" si="15"/>
        <v>8</v>
      </c>
      <c r="K53" s="16">
        <f t="shared" si="16"/>
        <v>30429</v>
      </c>
      <c r="L53">
        <f>K53*J53</f>
        <v>243432</v>
      </c>
      <c r="M53" s="16">
        <f t="shared" si="17"/>
        <v>1217.1600000000001</v>
      </c>
    </row>
    <row r="54" spans="1:13">
      <c r="I54" t="str">
        <f t="shared" si="18"/>
        <v>industrySME</v>
      </c>
      <c r="J54">
        <f t="shared" si="15"/>
        <v>3</v>
      </c>
      <c r="K54" s="16">
        <f t="shared" si="16"/>
        <v>19785</v>
      </c>
      <c r="L54">
        <f>K54*J54</f>
        <v>59355</v>
      </c>
      <c r="M54" s="16">
        <f t="shared" si="17"/>
        <v>791.4</v>
      </c>
    </row>
    <row r="55" spans="1:13">
      <c r="K55" t="s">
        <v>370</v>
      </c>
      <c r="L55" s="16">
        <f>SUM(L48:L54)/100</f>
        <v>59002.33</v>
      </c>
    </row>
    <row r="57" spans="1:13">
      <c r="J57">
        <v>11</v>
      </c>
      <c r="K57">
        <v>1500</v>
      </c>
      <c r="L57">
        <f>K57*J57</f>
        <v>16500</v>
      </c>
    </row>
    <row r="58" spans="1:13">
      <c r="K58" t="s">
        <v>370</v>
      </c>
      <c r="L58" s="16">
        <f>(SUM(L48:L52) +L57)/100</f>
        <v>56139.46</v>
      </c>
    </row>
    <row r="59" spans="1:13">
      <c r="K59" t="s">
        <v>223</v>
      </c>
    </row>
    <row r="60" spans="1:13">
      <c r="K60" t="s">
        <v>287</v>
      </c>
      <c r="L60">
        <v>49877</v>
      </c>
    </row>
    <row r="61" spans="1:13">
      <c r="K61" t="s">
        <v>414</v>
      </c>
      <c r="L61">
        <f>L60/L55</f>
        <v>0.84533949760967064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C34" sqref="C3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415</v>
      </c>
      <c r="F1" s="13" t="s">
        <v>223</v>
      </c>
      <c r="G1" s="18"/>
      <c r="H1" s="18" t="s">
        <v>416</v>
      </c>
      <c r="I1" s="18" t="s">
        <v>417</v>
      </c>
      <c r="J1" s="44"/>
      <c r="K1" s="44" t="s">
        <v>418</v>
      </c>
      <c r="L1" s="44" t="s">
        <v>419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224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224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224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224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141</v>
      </c>
      <c r="B7" s="13" t="s">
        <v>225</v>
      </c>
      <c r="C7" s="13" t="s">
        <v>226</v>
      </c>
      <c r="D7" s="13">
        <f>29090</f>
        <v>29090</v>
      </c>
      <c r="E7" s="13"/>
      <c r="F7" s="13"/>
      <c r="J7" s="44"/>
      <c r="K7" s="44" t="s">
        <v>224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287</v>
      </c>
      <c r="L9" s="54" t="s">
        <v>420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topLeftCell="A3" zoomScale="115" zoomScaleNormal="115" workbookViewId="0">
      <selection activeCell="H30" sqref="H30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162</v>
      </c>
      <c r="B1" s="13" t="s">
        <v>220</v>
      </c>
      <c r="C1" s="13" t="s">
        <v>221</v>
      </c>
      <c r="D1" s="13" t="s">
        <v>222</v>
      </c>
      <c r="E1" s="13" t="s">
        <v>415</v>
      </c>
      <c r="F1" s="13" t="s">
        <v>223</v>
      </c>
      <c r="G1" s="66"/>
      <c r="H1" s="18"/>
      <c r="I1" s="18"/>
      <c r="J1" s="18" t="s">
        <v>421</v>
      </c>
      <c r="K1" s="18" t="s">
        <v>417</v>
      </c>
      <c r="L1" s="44"/>
      <c r="M1" s="44" t="s">
        <v>418</v>
      </c>
      <c r="N1" s="44" t="s">
        <v>419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224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224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224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224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224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224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224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224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141</v>
      </c>
      <c r="B9" s="13" t="s">
        <v>225</v>
      </c>
      <c r="C9" s="13" t="s">
        <v>226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287</v>
      </c>
      <c r="N9" s="54" t="s">
        <v>420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162</v>
      </c>
      <c r="C13" s="13" t="s">
        <v>415</v>
      </c>
      <c r="D13" s="13" t="s">
        <v>223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128</v>
      </c>
      <c r="B1" s="13" t="s">
        <v>129</v>
      </c>
      <c r="C1" s="13" t="s">
        <v>130</v>
      </c>
      <c r="E1" t="s">
        <v>131</v>
      </c>
    </row>
    <row r="2" spans="1:5">
      <c r="A2" s="13" t="s">
        <v>132</v>
      </c>
      <c r="B2" s="13" t="s">
        <v>133</v>
      </c>
      <c r="C2" s="13">
        <v>1</v>
      </c>
      <c r="E2" s="20"/>
    </row>
    <row r="3" spans="1:5">
      <c r="A3" s="13" t="s">
        <v>134</v>
      </c>
      <c r="B3" s="13" t="s">
        <v>135</v>
      </c>
      <c r="C3" s="13">
        <v>2</v>
      </c>
      <c r="E3" s="20"/>
    </row>
    <row r="4" spans="1:5">
      <c r="A4" s="13" t="s">
        <v>136</v>
      </c>
      <c r="B4" s="13" t="s">
        <v>137</v>
      </c>
      <c r="C4" s="13">
        <v>3</v>
      </c>
    </row>
    <row r="5" spans="1:5">
      <c r="A5" s="13" t="s">
        <v>138</v>
      </c>
      <c r="B5" s="48" t="s">
        <v>138</v>
      </c>
      <c r="C5" s="13">
        <v>4</v>
      </c>
    </row>
    <row r="6" spans="1:5">
      <c r="A6" s="13" t="s">
        <v>139</v>
      </c>
      <c r="B6" s="13" t="s">
        <v>140</v>
      </c>
      <c r="C6" s="13">
        <v>5</v>
      </c>
      <c r="E6" s="20"/>
    </row>
    <row r="7" spans="1:5">
      <c r="A7" s="13" t="s">
        <v>141</v>
      </c>
      <c r="B7" s="48" t="s">
        <v>142</v>
      </c>
      <c r="C7" s="13">
        <v>6</v>
      </c>
    </row>
    <row r="8" spans="1:5">
      <c r="A8" s="13" t="s">
        <v>143</v>
      </c>
      <c r="B8" s="13" t="s">
        <v>144</v>
      </c>
      <c r="C8" s="13">
        <v>8</v>
      </c>
    </row>
    <row r="9" spans="1:5">
      <c r="A9" s="13" t="s">
        <v>145</v>
      </c>
      <c r="B9" s="13" t="s">
        <v>146</v>
      </c>
      <c r="C9" s="13">
        <v>9</v>
      </c>
      <c r="E9" s="20"/>
    </row>
    <row r="10" spans="1:5">
      <c r="A10" s="13" t="s">
        <v>147</v>
      </c>
      <c r="B10" s="48" t="s">
        <v>148</v>
      </c>
      <c r="C10" s="13">
        <v>12</v>
      </c>
    </row>
    <row r="11" spans="1:5">
      <c r="A11" s="59" t="s">
        <v>149</v>
      </c>
      <c r="B11" s="13" t="s">
        <v>150</v>
      </c>
      <c r="C11" s="13">
        <v>13</v>
      </c>
      <c r="E11" t="s">
        <v>151</v>
      </c>
    </row>
    <row r="12" spans="1:5">
      <c r="A12" s="13" t="s">
        <v>152</v>
      </c>
      <c r="B12" s="48" t="s">
        <v>152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162</v>
      </c>
      <c r="B1" t="s">
        <v>220</v>
      </c>
      <c r="C1" t="s">
        <v>221</v>
      </c>
      <c r="D1" t="s">
        <v>222</v>
      </c>
      <c r="E1" t="s">
        <v>244</v>
      </c>
      <c r="F1" t="s">
        <v>415</v>
      </c>
      <c r="H1" t="s">
        <v>422</v>
      </c>
      <c r="I1" t="s">
        <v>418</v>
      </c>
      <c r="J1" t="s">
        <v>419</v>
      </c>
      <c r="K1" t="s">
        <v>423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224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224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224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224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224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141</v>
      </c>
      <c r="B7" t="s">
        <v>225</v>
      </c>
      <c r="C7" t="s">
        <v>226</v>
      </c>
      <c r="D7">
        <f>29090</f>
        <v>29090</v>
      </c>
      <c r="E7" t="s">
        <v>224</v>
      </c>
      <c r="I7" t="s">
        <v>224</v>
      </c>
    </row>
    <row r="8" spans="1:11">
      <c r="E8" s="42"/>
      <c r="F8" s="16"/>
      <c r="I8" s="16"/>
    </row>
    <row r="13" spans="1:11">
      <c r="G13" s="47" t="s">
        <v>287</v>
      </c>
      <c r="H13" s="47" t="s">
        <v>420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L14" sqref="L14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162</v>
      </c>
      <c r="B1" t="s">
        <v>223</v>
      </c>
      <c r="C1" t="s">
        <v>220</v>
      </c>
      <c r="D1" t="s">
        <v>221</v>
      </c>
      <c r="E1" t="s">
        <v>222</v>
      </c>
      <c r="F1" t="s">
        <v>244</v>
      </c>
      <c r="G1" t="s">
        <v>415</v>
      </c>
    </row>
    <row r="2" spans="1:12" ht="17.45" customHeight="1">
      <c r="A2" t="s">
        <v>424</v>
      </c>
      <c r="B2">
        <v>4000</v>
      </c>
      <c r="C2" t="s">
        <v>425</v>
      </c>
      <c r="D2" t="s">
        <v>426</v>
      </c>
      <c r="E2" t="s">
        <v>224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424</v>
      </c>
    </row>
    <row r="3" spans="1:12" ht="17.45" customHeight="1">
      <c r="A3" t="s">
        <v>427</v>
      </c>
      <c r="B3">
        <v>1500</v>
      </c>
      <c r="C3" t="s">
        <v>428</v>
      </c>
      <c r="D3" t="s">
        <v>429</v>
      </c>
      <c r="E3" t="s">
        <v>224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430</v>
      </c>
    </row>
    <row r="4" spans="1:12" ht="17.45" customHeight="1">
      <c r="A4" t="s">
        <v>431</v>
      </c>
      <c r="B4">
        <v>500</v>
      </c>
      <c r="C4" t="s">
        <v>432</v>
      </c>
      <c r="D4" t="s">
        <v>433</v>
      </c>
      <c r="E4" t="s">
        <v>224</v>
      </c>
      <c r="F4" s="42">
        <v>0.05</v>
      </c>
      <c r="G4">
        <v>100</v>
      </c>
      <c r="I4">
        <f t="shared" si="0"/>
        <v>50000</v>
      </c>
      <c r="J4" t="s">
        <v>385</v>
      </c>
    </row>
    <row r="5" spans="1:12" ht="17.45" customHeight="1">
      <c r="A5" t="s">
        <v>434</v>
      </c>
      <c r="B5">
        <v>250</v>
      </c>
      <c r="C5" t="s">
        <v>435</v>
      </c>
      <c r="D5" t="s">
        <v>436</v>
      </c>
      <c r="E5" s="16" t="s">
        <v>224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437</v>
      </c>
      <c r="L5" t="s">
        <v>438</v>
      </c>
    </row>
    <row r="6" spans="1:12">
      <c r="A6" t="s">
        <v>141</v>
      </c>
      <c r="B6" t="s">
        <v>224</v>
      </c>
      <c r="C6" t="s">
        <v>225</v>
      </c>
      <c r="D6" t="s">
        <v>226</v>
      </c>
      <c r="E6">
        <f>29090</f>
        <v>29090</v>
      </c>
      <c r="F6" t="s">
        <v>224</v>
      </c>
      <c r="G6">
        <v>1000</v>
      </c>
      <c r="J6" t="s">
        <v>439</v>
      </c>
      <c r="K6" s="16">
        <f>LoadShifterCap!B3*12</f>
        <v>36756965</v>
      </c>
      <c r="L6">
        <f>45*0.74</f>
        <v>33.299999999999997</v>
      </c>
    </row>
    <row r="7" spans="1:12">
      <c r="E7" s="16"/>
      <c r="J7" t="s">
        <v>440</v>
      </c>
      <c r="K7">
        <f>K6*0.74</f>
        <v>27200154.100000001</v>
      </c>
    </row>
    <row r="8" spans="1:12">
      <c r="J8" s="16">
        <v>41070</v>
      </c>
      <c r="K8" t="s">
        <v>441</v>
      </c>
    </row>
    <row r="10" spans="1:12">
      <c r="J10" s="47" t="s">
        <v>287</v>
      </c>
    </row>
    <row r="11" spans="1:12">
      <c r="J11" s="47">
        <v>40000</v>
      </c>
    </row>
    <row r="13" spans="1:12">
      <c r="J13" t="s">
        <v>442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443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444</v>
      </c>
      <c r="B1" t="s">
        <v>445</v>
      </c>
    </row>
    <row r="2" spans="1:2">
      <c r="A2" s="3" t="s">
        <v>446</v>
      </c>
      <c r="B2" t="s">
        <v>185</v>
      </c>
    </row>
    <row r="3" spans="1:2">
      <c r="A3" t="s">
        <v>447</v>
      </c>
      <c r="B3" t="s">
        <v>448</v>
      </c>
    </row>
    <row r="4" spans="1:2">
      <c r="A4" t="s">
        <v>449</v>
      </c>
      <c r="B4" t="s">
        <v>333</v>
      </c>
    </row>
    <row r="5" spans="1:2">
      <c r="A5" t="s">
        <v>450</v>
      </c>
      <c r="B5" t="s">
        <v>333</v>
      </c>
    </row>
    <row r="6" spans="1:2">
      <c r="A6" t="s">
        <v>451</v>
      </c>
      <c r="B6" t="s">
        <v>452</v>
      </c>
    </row>
    <row r="7" spans="1:2">
      <c r="A7" t="s">
        <v>453</v>
      </c>
      <c r="B7" t="s">
        <v>452</v>
      </c>
    </row>
    <row r="8" spans="1:2">
      <c r="A8" t="s">
        <v>454</v>
      </c>
      <c r="B8" t="s">
        <v>455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E41" sqref="AE41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162</v>
      </c>
      <c r="B1" t="s">
        <v>456</v>
      </c>
      <c r="C1" t="s">
        <v>457</v>
      </c>
      <c r="D1" t="s">
        <v>458</v>
      </c>
      <c r="E1" t="s">
        <v>459</v>
      </c>
      <c r="G1" s="22" t="s">
        <v>460</v>
      </c>
    </row>
    <row r="2" spans="1:10">
      <c r="A2" t="s">
        <v>461</v>
      </c>
      <c r="B2">
        <v>1</v>
      </c>
      <c r="C2">
        <v>700</v>
      </c>
      <c r="D2">
        <v>700</v>
      </c>
      <c r="E2">
        <v>700</v>
      </c>
    </row>
    <row r="3" spans="1:10">
      <c r="A3" t="s">
        <v>462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463</v>
      </c>
      <c r="B4">
        <v>1</v>
      </c>
      <c r="C4">
        <v>700</v>
      </c>
      <c r="D4">
        <v>700</v>
      </c>
      <c r="E4">
        <v>700</v>
      </c>
    </row>
    <row r="5" spans="1:10">
      <c r="A5" t="s">
        <v>464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156</v>
      </c>
      <c r="B7">
        <v>10</v>
      </c>
      <c r="D7" s="16"/>
      <c r="E7" s="16">
        <v>290.54545454545456</v>
      </c>
      <c r="G7" s="37" t="s">
        <v>465</v>
      </c>
    </row>
    <row r="8" spans="1:10">
      <c r="A8" t="s">
        <v>158</v>
      </c>
      <c r="B8">
        <v>10</v>
      </c>
      <c r="D8" s="16"/>
      <c r="E8" s="16">
        <v>1821.6363636363637</v>
      </c>
    </row>
    <row r="9" spans="1:10">
      <c r="A9" t="s">
        <v>159</v>
      </c>
      <c r="B9">
        <v>10</v>
      </c>
      <c r="D9" s="16"/>
      <c r="E9" s="16">
        <v>1724.3181818181818</v>
      </c>
    </row>
    <row r="10" spans="1:10">
      <c r="A10" t="s">
        <v>156</v>
      </c>
      <c r="B10">
        <v>20</v>
      </c>
      <c r="E10">
        <v>228.4</v>
      </c>
    </row>
    <row r="11" spans="1:10">
      <c r="A11" t="s">
        <v>158</v>
      </c>
      <c r="B11">
        <v>20</v>
      </c>
      <c r="E11">
        <v>2450</v>
      </c>
    </row>
    <row r="12" spans="1:10">
      <c r="A12" t="s">
        <v>159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162</v>
      </c>
      <c r="B1" t="s">
        <v>466</v>
      </c>
      <c r="C1" t="s">
        <v>467</v>
      </c>
      <c r="D1" t="s">
        <v>468</v>
      </c>
    </row>
    <row r="2" spans="1:4">
      <c r="A2" t="s">
        <v>469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470</v>
      </c>
      <c r="B1" t="s">
        <v>471</v>
      </c>
      <c r="C1" t="s">
        <v>472</v>
      </c>
      <c r="D1" t="s">
        <v>160</v>
      </c>
      <c r="E1" t="s">
        <v>473</v>
      </c>
    </row>
    <row r="2" spans="1:16">
      <c r="A2" t="s">
        <v>474</v>
      </c>
      <c r="B2" t="s">
        <v>157</v>
      </c>
      <c r="C2" t="s">
        <v>475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474</v>
      </c>
      <c r="B3" t="s">
        <v>157</v>
      </c>
      <c r="C3" t="s">
        <v>475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474</v>
      </c>
      <c r="B4" t="s">
        <v>157</v>
      </c>
      <c r="C4" t="s">
        <v>475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474</v>
      </c>
      <c r="B5" t="s">
        <v>157</v>
      </c>
      <c r="C5" t="s">
        <v>475</v>
      </c>
      <c r="D5" s="30">
        <v>2040</v>
      </c>
      <c r="E5" s="30">
        <f>(K11+K16)*1000</f>
        <v>11570</v>
      </c>
      <c r="F5" s="30"/>
    </row>
    <row r="6" spans="1:16">
      <c r="A6" t="s">
        <v>474</v>
      </c>
      <c r="B6" t="s">
        <v>157</v>
      </c>
      <c r="C6" t="s">
        <v>475</v>
      </c>
      <c r="D6" s="30">
        <v>2050</v>
      </c>
      <c r="E6" s="30">
        <f>(K12+K17)*1000</f>
        <v>12040</v>
      </c>
      <c r="F6" s="30"/>
      <c r="H6" s="32"/>
      <c r="L6" s="29" t="s">
        <v>476</v>
      </c>
      <c r="M6" s="29" t="s">
        <v>477</v>
      </c>
      <c r="N6" s="29" t="s">
        <v>478</v>
      </c>
      <c r="O6" s="29" t="s">
        <v>479</v>
      </c>
      <c r="P6" s="29" t="s">
        <v>480</v>
      </c>
    </row>
    <row r="7" spans="1:16" ht="15" customHeight="1">
      <c r="A7" t="s">
        <v>474</v>
      </c>
      <c r="B7" t="s">
        <v>173</v>
      </c>
      <c r="C7" t="s">
        <v>475</v>
      </c>
      <c r="D7" s="30">
        <v>2019</v>
      </c>
      <c r="E7" s="30">
        <f>(J8+J13)*1000</f>
        <v>89450</v>
      </c>
      <c r="F7" s="30"/>
      <c r="H7" s="87" t="s">
        <v>481</v>
      </c>
      <c r="J7" s="31" t="s">
        <v>173</v>
      </c>
      <c r="K7" s="31" t="s">
        <v>157</v>
      </c>
      <c r="L7" s="31"/>
      <c r="M7" s="31"/>
      <c r="N7" s="31" t="s">
        <v>173</v>
      </c>
      <c r="O7" s="31" t="s">
        <v>157</v>
      </c>
      <c r="P7" s="31"/>
    </row>
    <row r="8" spans="1:16" ht="14.45" customHeight="1">
      <c r="A8" t="s">
        <v>474</v>
      </c>
      <c r="B8" t="s">
        <v>173</v>
      </c>
      <c r="C8" t="s">
        <v>475</v>
      </c>
      <c r="D8" s="30">
        <v>2020</v>
      </c>
      <c r="E8" s="30">
        <f>(J9+J14)*1000</f>
        <v>69440</v>
      </c>
      <c r="F8" s="30"/>
      <c r="H8" s="87"/>
      <c r="I8" s="30">
        <v>2019</v>
      </c>
      <c r="J8" s="30">
        <v>17.2</v>
      </c>
      <c r="K8" s="30">
        <v>7.66</v>
      </c>
      <c r="L8" t="s">
        <v>149</v>
      </c>
      <c r="M8">
        <v>2019</v>
      </c>
      <c r="N8">
        <v>110</v>
      </c>
      <c r="O8">
        <v>49</v>
      </c>
      <c r="P8" t="s">
        <v>239</v>
      </c>
    </row>
    <row r="9" spans="1:16" ht="14.45" customHeight="1">
      <c r="A9" t="s">
        <v>474</v>
      </c>
      <c r="B9" t="s">
        <v>173</v>
      </c>
      <c r="C9" t="s">
        <v>475</v>
      </c>
      <c r="D9" s="30">
        <v>2030</v>
      </c>
      <c r="E9" s="30">
        <f>(J10+J15)*1000</f>
        <v>65680</v>
      </c>
      <c r="F9" s="30"/>
      <c r="H9" s="87"/>
      <c r="I9" s="30">
        <v>2020</v>
      </c>
      <c r="J9" s="30">
        <v>17.05</v>
      </c>
      <c r="K9" s="30">
        <v>7.66</v>
      </c>
      <c r="L9" t="s">
        <v>149</v>
      </c>
      <c r="M9">
        <v>2020</v>
      </c>
      <c r="N9">
        <v>109</v>
      </c>
      <c r="O9">
        <v>49</v>
      </c>
      <c r="P9" t="s">
        <v>239</v>
      </c>
    </row>
    <row r="10" spans="1:16">
      <c r="A10" t="s">
        <v>474</v>
      </c>
      <c r="B10" t="s">
        <v>173</v>
      </c>
      <c r="C10" t="s">
        <v>475</v>
      </c>
      <c r="D10" s="30">
        <v>2040</v>
      </c>
      <c r="E10" s="30">
        <f>(J11+J16)*1000</f>
        <v>64430.000000000007</v>
      </c>
      <c r="F10" s="16"/>
      <c r="H10" s="87"/>
      <c r="I10" s="30">
        <v>2030</v>
      </c>
      <c r="J10" s="30">
        <v>17.36</v>
      </c>
      <c r="K10" s="30">
        <v>7.66</v>
      </c>
      <c r="L10" t="s">
        <v>149</v>
      </c>
      <c r="M10">
        <v>2030</v>
      </c>
      <c r="N10">
        <v>111</v>
      </c>
      <c r="O10">
        <v>49</v>
      </c>
      <c r="P10" t="s">
        <v>239</v>
      </c>
    </row>
    <row r="11" spans="1:16">
      <c r="A11" t="s">
        <v>474</v>
      </c>
      <c r="B11" t="s">
        <v>173</v>
      </c>
      <c r="C11" t="s">
        <v>475</v>
      </c>
      <c r="D11" s="30">
        <v>2050</v>
      </c>
      <c r="E11" s="30">
        <f>(J12+J17)*1000</f>
        <v>68340</v>
      </c>
      <c r="H11" s="87"/>
      <c r="I11" s="30">
        <v>2040</v>
      </c>
      <c r="J11" s="30">
        <v>17.670000000000002</v>
      </c>
      <c r="K11" s="30">
        <v>7.66</v>
      </c>
      <c r="L11" t="s">
        <v>149</v>
      </c>
      <c r="M11">
        <v>2040</v>
      </c>
      <c r="N11">
        <v>113</v>
      </c>
      <c r="O11">
        <v>49</v>
      </c>
      <c r="P11" t="s">
        <v>239</v>
      </c>
    </row>
    <row r="12" spans="1:16">
      <c r="F12" s="16"/>
      <c r="H12" s="87"/>
      <c r="I12" s="30">
        <v>2050</v>
      </c>
      <c r="J12" s="30">
        <v>18.14</v>
      </c>
      <c r="K12" s="30">
        <v>7.66</v>
      </c>
      <c r="L12" t="s">
        <v>149</v>
      </c>
      <c r="M12">
        <v>2050</v>
      </c>
      <c r="N12">
        <v>116</v>
      </c>
      <c r="O12">
        <v>49</v>
      </c>
      <c r="P12" t="s">
        <v>239</v>
      </c>
    </row>
    <row r="13" spans="1:16">
      <c r="F13" s="30"/>
      <c r="H13" s="87"/>
      <c r="I13" s="30">
        <v>2019</v>
      </c>
      <c r="J13" s="30">
        <v>72.25</v>
      </c>
      <c r="K13" s="30">
        <v>2.97</v>
      </c>
      <c r="L13" s="30" t="s">
        <v>482</v>
      </c>
      <c r="M13">
        <v>2019</v>
      </c>
      <c r="N13">
        <v>462</v>
      </c>
      <c r="O13">
        <v>19</v>
      </c>
      <c r="P13" t="s">
        <v>239</v>
      </c>
    </row>
    <row r="14" spans="1:16">
      <c r="F14" s="30"/>
      <c r="H14" s="87"/>
      <c r="I14" s="30">
        <v>2020</v>
      </c>
      <c r="J14" s="30">
        <v>52.39</v>
      </c>
      <c r="K14" s="30">
        <v>2.97</v>
      </c>
      <c r="L14" s="30" t="s">
        <v>482</v>
      </c>
      <c r="M14">
        <v>2020</v>
      </c>
      <c r="N14">
        <v>335</v>
      </c>
      <c r="O14">
        <v>19</v>
      </c>
      <c r="P14" t="s">
        <v>239</v>
      </c>
    </row>
    <row r="15" spans="1:16">
      <c r="F15" s="30"/>
      <c r="H15" s="87"/>
      <c r="I15" s="30">
        <v>2030</v>
      </c>
      <c r="J15" s="30">
        <v>48.32</v>
      </c>
      <c r="K15" s="30">
        <v>3.44</v>
      </c>
      <c r="L15" s="30" t="s">
        <v>482</v>
      </c>
      <c r="M15">
        <v>2030</v>
      </c>
      <c r="N15">
        <v>309</v>
      </c>
      <c r="O15">
        <v>22</v>
      </c>
      <c r="P15" t="s">
        <v>239</v>
      </c>
    </row>
    <row r="16" spans="1:16">
      <c r="F16" s="30"/>
      <c r="H16" s="87"/>
      <c r="I16" s="30">
        <v>2040</v>
      </c>
      <c r="J16" s="30">
        <v>46.76</v>
      </c>
      <c r="K16" s="30">
        <v>3.91</v>
      </c>
      <c r="L16" s="30" t="s">
        <v>482</v>
      </c>
      <c r="M16">
        <v>2040</v>
      </c>
      <c r="N16">
        <v>299</v>
      </c>
      <c r="O16">
        <v>25</v>
      </c>
      <c r="P16" t="s">
        <v>239</v>
      </c>
    </row>
    <row r="17" spans="5:16">
      <c r="F17" s="30"/>
      <c r="H17" s="87"/>
      <c r="I17" s="30">
        <v>2050</v>
      </c>
      <c r="J17" s="30">
        <v>50.2</v>
      </c>
      <c r="K17" s="30">
        <v>4.38</v>
      </c>
      <c r="L17" s="30" t="s">
        <v>482</v>
      </c>
      <c r="M17">
        <v>2050</v>
      </c>
      <c r="N17">
        <v>321</v>
      </c>
      <c r="O17">
        <v>28</v>
      </c>
      <c r="P17" t="s">
        <v>239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X38" sqref="X38"/>
    </sheetView>
  </sheetViews>
  <sheetFormatPr defaultRowHeight="15"/>
  <cols>
    <col min="3" max="3" width="12.5703125" customWidth="1"/>
  </cols>
  <sheetData>
    <row r="1" spans="1:4">
      <c r="A1" t="s">
        <v>160</v>
      </c>
      <c r="B1" t="s">
        <v>483</v>
      </c>
      <c r="C1" t="s">
        <v>484</v>
      </c>
      <c r="D1" t="s">
        <v>310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160</v>
      </c>
      <c r="B1" t="s">
        <v>173</v>
      </c>
      <c r="D1" t="s">
        <v>485</v>
      </c>
    </row>
    <row r="2" spans="1:4">
      <c r="A2">
        <v>2019</v>
      </c>
      <c r="B2">
        <v>19.7</v>
      </c>
      <c r="D2" t="s">
        <v>486</v>
      </c>
    </row>
    <row r="3" spans="1:4">
      <c r="A3">
        <v>2020</v>
      </c>
      <c r="B3">
        <v>20.399999999999999</v>
      </c>
      <c r="D3" t="s">
        <v>486</v>
      </c>
    </row>
    <row r="4" spans="1:4">
      <c r="A4">
        <v>2021</v>
      </c>
      <c r="B4">
        <v>21.7</v>
      </c>
      <c r="D4" t="s">
        <v>486</v>
      </c>
    </row>
    <row r="5" spans="1:4">
      <c r="A5">
        <v>2030</v>
      </c>
      <c r="B5">
        <v>53</v>
      </c>
      <c r="D5" t="s">
        <v>486</v>
      </c>
    </row>
    <row r="6" spans="1:4">
      <c r="A6">
        <v>2040</v>
      </c>
      <c r="B6">
        <v>100</v>
      </c>
      <c r="D6" t="s">
        <v>486</v>
      </c>
    </row>
    <row r="7" spans="1:4">
      <c r="A7">
        <v>2050</v>
      </c>
      <c r="B7">
        <v>120</v>
      </c>
      <c r="D7" t="s">
        <v>486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278</v>
      </c>
      <c r="B1" s="5" t="s">
        <v>34</v>
      </c>
      <c r="D1" t="s">
        <v>162</v>
      </c>
      <c r="E1" t="s">
        <v>456</v>
      </c>
      <c r="F1" t="s">
        <v>457</v>
      </c>
      <c r="G1" t="s">
        <v>458</v>
      </c>
      <c r="H1" t="s">
        <v>459</v>
      </c>
      <c r="L1" t="s">
        <v>487</v>
      </c>
      <c r="M1" t="s">
        <v>488</v>
      </c>
      <c r="N1" t="s">
        <v>424</v>
      </c>
      <c r="O1">
        <v>93.904775180000001</v>
      </c>
    </row>
    <row r="2" spans="1:15">
      <c r="A2" t="s">
        <v>474</v>
      </c>
      <c r="B2">
        <v>0.01</v>
      </c>
      <c r="D2" t="s">
        <v>87</v>
      </c>
      <c r="E2">
        <v>1</v>
      </c>
      <c r="F2">
        <v>0</v>
      </c>
      <c r="G2">
        <v>0</v>
      </c>
      <c r="H2">
        <v>0</v>
      </c>
      <c r="L2" t="s">
        <v>489</v>
      </c>
      <c r="M2" t="s">
        <v>488</v>
      </c>
      <c r="N2" t="s">
        <v>424</v>
      </c>
      <c r="O2">
        <v>97.012060739999995</v>
      </c>
    </row>
    <row r="3" spans="1:15">
      <c r="A3" t="s">
        <v>490</v>
      </c>
      <c r="D3" t="s">
        <v>88</v>
      </c>
      <c r="E3">
        <v>1</v>
      </c>
      <c r="F3">
        <v>41000000</v>
      </c>
      <c r="G3">
        <v>0</v>
      </c>
      <c r="H3">
        <v>-1000000</v>
      </c>
      <c r="L3" t="s">
        <v>491</v>
      </c>
      <c r="M3" t="s">
        <v>488</v>
      </c>
      <c r="N3" t="s">
        <v>424</v>
      </c>
      <c r="O3">
        <v>796.91070000000002</v>
      </c>
    </row>
    <row r="4" spans="1:15">
      <c r="A4" t="s">
        <v>492</v>
      </c>
      <c r="B4">
        <v>0.01</v>
      </c>
      <c r="D4" t="s">
        <v>89</v>
      </c>
      <c r="E4">
        <v>1</v>
      </c>
      <c r="F4">
        <v>0</v>
      </c>
      <c r="G4">
        <v>0</v>
      </c>
      <c r="H4">
        <v>0</v>
      </c>
      <c r="L4" t="s">
        <v>492</v>
      </c>
      <c r="M4" t="s">
        <v>488</v>
      </c>
      <c r="N4" t="s">
        <v>424</v>
      </c>
      <c r="O4">
        <v>10.29</v>
      </c>
    </row>
    <row r="5" spans="1:15">
      <c r="A5" t="s">
        <v>493</v>
      </c>
      <c r="B5">
        <v>0.01</v>
      </c>
      <c r="D5" t="s">
        <v>494</v>
      </c>
      <c r="E5">
        <v>1</v>
      </c>
      <c r="F5">
        <v>1000000</v>
      </c>
      <c r="G5">
        <v>0</v>
      </c>
      <c r="H5">
        <v>0</v>
      </c>
      <c r="L5" t="s">
        <v>493</v>
      </c>
      <c r="M5" t="s">
        <v>488</v>
      </c>
      <c r="N5" t="s">
        <v>424</v>
      </c>
      <c r="O5">
        <v>42.191125290000002</v>
      </c>
    </row>
    <row r="6" spans="1:15">
      <c r="A6" t="s">
        <v>495</v>
      </c>
      <c r="D6" t="s">
        <v>496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487</v>
      </c>
      <c r="D7" t="s">
        <v>497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489</v>
      </c>
    </row>
    <row r="9" spans="1:15">
      <c r="A9" t="s">
        <v>491</v>
      </c>
      <c r="B9">
        <v>0.01</v>
      </c>
    </row>
    <row r="10" spans="1:15">
      <c r="A10" t="s">
        <v>498</v>
      </c>
    </row>
    <row r="11" spans="1:15">
      <c r="A11" t="s">
        <v>499</v>
      </c>
    </row>
    <row r="12" spans="1:15">
      <c r="A12" t="s">
        <v>500</v>
      </c>
    </row>
    <row r="13" spans="1:15">
      <c r="A13" t="s">
        <v>501</v>
      </c>
    </row>
    <row r="14" spans="1:15">
      <c r="A14" t="s">
        <v>502</v>
      </c>
      <c r="B14">
        <v>0.01</v>
      </c>
    </row>
    <row r="15" spans="1:15">
      <c r="A15" t="s">
        <v>503</v>
      </c>
    </row>
    <row r="16" spans="1:15">
      <c r="A16" t="s">
        <v>504</v>
      </c>
      <c r="B16">
        <f t="shared" ref="B16" si="0">B14</f>
        <v>0.01</v>
      </c>
    </row>
    <row r="17" spans="1:2">
      <c r="A17" t="s">
        <v>505</v>
      </c>
    </row>
    <row r="18" spans="1:2">
      <c r="A18" t="s">
        <v>102</v>
      </c>
      <c r="B18">
        <v>0.01</v>
      </c>
    </row>
    <row r="19" spans="1:2">
      <c r="A19" t="s">
        <v>506</v>
      </c>
    </row>
    <row r="20" spans="1:2">
      <c r="A20" t="s">
        <v>507</v>
      </c>
    </row>
    <row r="21" spans="1:2">
      <c r="A21" t="s">
        <v>508</v>
      </c>
    </row>
    <row r="22" spans="1:2">
      <c r="A22" t="s">
        <v>114</v>
      </c>
      <c r="B22">
        <v>0.01</v>
      </c>
    </row>
    <row r="23" spans="1:2">
      <c r="A23" t="s">
        <v>509</v>
      </c>
    </row>
    <row r="24" spans="1:2">
      <c r="A24" t="s">
        <v>510</v>
      </c>
    </row>
    <row r="25" spans="1:2">
      <c r="A25" t="s">
        <v>115</v>
      </c>
      <c r="B25">
        <v>0.01</v>
      </c>
    </row>
    <row r="26" spans="1:2">
      <c r="A26" t="s">
        <v>511</v>
      </c>
    </row>
    <row r="27" spans="1:2" ht="12.95" customHeight="1">
      <c r="A27" s="2" t="s">
        <v>512</v>
      </c>
      <c r="B27" s="8">
        <v>0.2</v>
      </c>
    </row>
    <row r="28" spans="1:2">
      <c r="A28" s="2" t="s">
        <v>513</v>
      </c>
      <c r="B28" s="8">
        <v>0.2</v>
      </c>
    </row>
    <row r="29" spans="1:2">
      <c r="A29" s="11" t="s">
        <v>514</v>
      </c>
      <c r="B29">
        <v>0.01</v>
      </c>
    </row>
    <row r="30" spans="1:2">
      <c r="A30" s="11" t="s">
        <v>515</v>
      </c>
      <c r="B30">
        <v>0.01</v>
      </c>
    </row>
    <row r="31" spans="1:2">
      <c r="A31" s="11" t="s">
        <v>276</v>
      </c>
      <c r="B31">
        <v>0.01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348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349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350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351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352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353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354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355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356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357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358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516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517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518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519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520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521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348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349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350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351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352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353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354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355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356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357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358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516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517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518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519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520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521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348</v>
      </c>
      <c r="B38" t="s">
        <v>349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348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349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350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351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352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353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354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355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356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357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358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153</v>
      </c>
      <c r="B1" s="13" t="s">
        <v>154</v>
      </c>
      <c r="C1" s="13" t="s">
        <v>155</v>
      </c>
    </row>
    <row r="2" spans="1:3">
      <c r="A2" s="13" t="s">
        <v>156</v>
      </c>
      <c r="B2" s="13" t="s">
        <v>157</v>
      </c>
      <c r="C2" s="13" t="s">
        <v>124</v>
      </c>
    </row>
    <row r="3" spans="1:3">
      <c r="A3" s="13" t="s">
        <v>158</v>
      </c>
      <c r="B3" s="13" t="s">
        <v>157</v>
      </c>
      <c r="C3" s="13" t="s">
        <v>122</v>
      </c>
    </row>
    <row r="4" spans="1:3">
      <c r="A4" s="13" t="s">
        <v>159</v>
      </c>
      <c r="B4" s="13" t="s">
        <v>157</v>
      </c>
      <c r="C4" s="13" t="s">
        <v>118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T44"/>
  <sheetViews>
    <sheetView topLeftCell="A10" workbookViewId="0">
      <selection activeCell="F48" sqref="F48"/>
    </sheetView>
  </sheetViews>
  <sheetFormatPr defaultRowHeight="15"/>
  <sheetData>
    <row r="1" spans="4:14">
      <c r="D1" t="s">
        <v>522</v>
      </c>
    </row>
    <row r="4" spans="4:14">
      <c r="N4" t="s">
        <v>523</v>
      </c>
    </row>
    <row r="22" spans="17:20">
      <c r="Q22" s="64"/>
      <c r="R22" s="64">
        <v>2030</v>
      </c>
      <c r="S22" s="64">
        <v>2040</v>
      </c>
      <c r="T22" s="64">
        <v>2050</v>
      </c>
    </row>
    <row r="23" spans="17:20">
      <c r="Q23" s="63" t="s">
        <v>524</v>
      </c>
      <c r="R23" s="86">
        <v>20.63</v>
      </c>
      <c r="S23" s="86">
        <v>16.079999999999998</v>
      </c>
      <c r="T23" s="86">
        <v>12.52</v>
      </c>
    </row>
    <row r="24" spans="17:20">
      <c r="Q24" s="63" t="s">
        <v>524</v>
      </c>
      <c r="R24" s="86">
        <f>R23*3.6</f>
        <v>74.268000000000001</v>
      </c>
      <c r="S24" s="86">
        <f t="shared" ref="S24:T24" si="0">S23*3.6</f>
        <v>57.887999999999998</v>
      </c>
      <c r="T24" s="86">
        <f t="shared" si="0"/>
        <v>45.072000000000003</v>
      </c>
    </row>
    <row r="27" spans="17:20">
      <c r="Q27" t="s">
        <v>525</v>
      </c>
    </row>
    <row r="30" spans="17:20">
      <c r="Q30" t="s">
        <v>526</v>
      </c>
      <c r="R30" s="84">
        <v>2020</v>
      </c>
      <c r="S30" s="84">
        <v>2030</v>
      </c>
      <c r="T30" s="84">
        <v>2050</v>
      </c>
    </row>
    <row r="31" spans="17:20">
      <c r="Q31" t="s">
        <v>527</v>
      </c>
      <c r="R31" s="83">
        <v>21.175000000000001</v>
      </c>
      <c r="S31" s="83">
        <v>40.68</v>
      </c>
      <c r="T31">
        <v>79.69</v>
      </c>
    </row>
    <row r="32" spans="17:20">
      <c r="Q32" s="83" t="s">
        <v>141</v>
      </c>
      <c r="R32" s="83">
        <v>74.965000000000003</v>
      </c>
      <c r="S32" s="83">
        <v>65</v>
      </c>
      <c r="T32" s="83">
        <v>45.07</v>
      </c>
    </row>
    <row r="33" spans="17:20">
      <c r="Q33" s="85" t="s">
        <v>528</v>
      </c>
      <c r="R33" s="85">
        <v>46.44</v>
      </c>
      <c r="S33" s="85">
        <v>36.323999999999998</v>
      </c>
      <c r="T33" s="85">
        <v>32.832000000000001</v>
      </c>
    </row>
    <row r="34" spans="17:20">
      <c r="Q34" t="s">
        <v>134</v>
      </c>
      <c r="R34" s="85">
        <v>6.48</v>
      </c>
      <c r="S34" s="85">
        <v>6.48</v>
      </c>
      <c r="T34" s="85">
        <v>6.48</v>
      </c>
    </row>
    <row r="35" spans="17:20">
      <c r="Q35" t="s">
        <v>138</v>
      </c>
      <c r="R35" s="83">
        <v>16.716999999999999</v>
      </c>
      <c r="S35" s="83">
        <v>26.81</v>
      </c>
      <c r="T35">
        <v>46.996000000000002</v>
      </c>
    </row>
    <row r="36" spans="17:20">
      <c r="Q36" t="s">
        <v>143</v>
      </c>
      <c r="R36" s="83">
        <v>13.4</v>
      </c>
      <c r="S36" s="83">
        <v>14.65</v>
      </c>
      <c r="T36">
        <v>42.74</v>
      </c>
    </row>
    <row r="37" spans="17:20">
      <c r="Q37" t="s">
        <v>145</v>
      </c>
      <c r="R37" s="83">
        <v>1.69</v>
      </c>
      <c r="S37" s="83">
        <v>1.69</v>
      </c>
      <c r="T37">
        <v>1.69</v>
      </c>
    </row>
    <row r="38" spans="17:20">
      <c r="Q38" t="s">
        <v>529</v>
      </c>
      <c r="R38" s="85">
        <v>4.5359999999999996</v>
      </c>
      <c r="S38" s="85">
        <v>6.6959999999999997</v>
      </c>
      <c r="T38" s="85">
        <v>14.148</v>
      </c>
    </row>
    <row r="39" spans="17:20">
      <c r="Q39" t="s">
        <v>132</v>
      </c>
      <c r="R39" s="85">
        <v>10.8</v>
      </c>
      <c r="S39" s="85">
        <v>7.0919999999999996</v>
      </c>
      <c r="T39" s="85">
        <v>6.7320000000000002</v>
      </c>
    </row>
    <row r="40" spans="17:20">
      <c r="Q40" t="s">
        <v>136</v>
      </c>
      <c r="R40" s="83">
        <v>7.5</v>
      </c>
      <c r="S40" s="83">
        <v>7.5</v>
      </c>
      <c r="T40">
        <v>7.5</v>
      </c>
    </row>
    <row r="41" spans="17:20">
      <c r="Q41" s="83" t="s">
        <v>530</v>
      </c>
      <c r="R41" s="83">
        <v>45</v>
      </c>
      <c r="S41" s="83">
        <v>45</v>
      </c>
      <c r="T41" s="83">
        <v>45</v>
      </c>
    </row>
    <row r="42" spans="17:20">
      <c r="Q42" t="s">
        <v>147</v>
      </c>
      <c r="R42" s="83">
        <v>82.5</v>
      </c>
      <c r="S42" s="83">
        <v>82.5</v>
      </c>
      <c r="T42">
        <v>82.5</v>
      </c>
    </row>
    <row r="43" spans="17:20">
      <c r="Q43" s="83" t="s">
        <v>149</v>
      </c>
      <c r="R43" s="83">
        <v>86.844999999999999</v>
      </c>
      <c r="S43" s="83">
        <v>74.66</v>
      </c>
      <c r="T43" s="83">
        <v>50.29</v>
      </c>
    </row>
    <row r="44" spans="17:20">
      <c r="Q44" s="83" t="s">
        <v>531</v>
      </c>
      <c r="R44" s="83">
        <v>15</v>
      </c>
      <c r="S44" s="83">
        <v>15</v>
      </c>
      <c r="T44" s="83">
        <v>15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272</v>
      </c>
      <c r="B1" s="7" t="s">
        <v>532</v>
      </c>
      <c r="C1" s="7" t="s">
        <v>279</v>
      </c>
      <c r="D1" s="7" t="s">
        <v>533</v>
      </c>
      <c r="E1" s="7" t="s">
        <v>534</v>
      </c>
      <c r="F1" s="7" t="s">
        <v>535</v>
      </c>
      <c r="G1" s="7" t="s">
        <v>536</v>
      </c>
      <c r="H1" s="7" t="s">
        <v>537</v>
      </c>
      <c r="I1" s="7" t="s">
        <v>538</v>
      </c>
    </row>
    <row r="2" spans="1:9" ht="30">
      <c r="A2" t="s">
        <v>502</v>
      </c>
      <c r="B2" s="2" t="s">
        <v>539</v>
      </c>
      <c r="C2" t="s">
        <v>314</v>
      </c>
      <c r="D2" t="s">
        <v>258</v>
      </c>
      <c r="E2" t="s">
        <v>540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491</v>
      </c>
      <c r="B3" s="2" t="s">
        <v>539</v>
      </c>
      <c r="C3" t="s">
        <v>314</v>
      </c>
      <c r="D3" t="s">
        <v>258</v>
      </c>
      <c r="E3" t="s">
        <v>540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493</v>
      </c>
      <c r="B4" s="2" t="s">
        <v>539</v>
      </c>
      <c r="C4" t="s">
        <v>314</v>
      </c>
      <c r="D4" t="s">
        <v>258</v>
      </c>
      <c r="E4" t="s">
        <v>540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474</v>
      </c>
      <c r="B5" s="2" t="s">
        <v>541</v>
      </c>
      <c r="C5" t="s">
        <v>314</v>
      </c>
      <c r="D5" t="s">
        <v>258</v>
      </c>
      <c r="E5" t="s">
        <v>540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504</v>
      </c>
      <c r="B6" s="2" t="s">
        <v>539</v>
      </c>
      <c r="C6" t="s">
        <v>314</v>
      </c>
      <c r="D6" t="s">
        <v>258</v>
      </c>
      <c r="E6" t="s">
        <v>540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115</v>
      </c>
      <c r="B7" s="2" t="s">
        <v>539</v>
      </c>
      <c r="C7" t="s">
        <v>302</v>
      </c>
      <c r="D7" t="s">
        <v>258</v>
      </c>
      <c r="E7" t="s">
        <v>540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542</v>
      </c>
      <c r="B8" s="2" t="s">
        <v>541</v>
      </c>
      <c r="C8" t="s">
        <v>302</v>
      </c>
      <c r="D8" t="s">
        <v>258</v>
      </c>
      <c r="E8" t="s">
        <v>540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492</v>
      </c>
      <c r="B9" s="2" t="s">
        <v>539</v>
      </c>
      <c r="C9" t="s">
        <v>314</v>
      </c>
      <c r="D9" t="s">
        <v>258</v>
      </c>
      <c r="E9" t="s">
        <v>540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503</v>
      </c>
      <c r="B10" s="2" t="s">
        <v>539</v>
      </c>
      <c r="C10" t="s">
        <v>302</v>
      </c>
      <c r="D10" t="s">
        <v>258</v>
      </c>
      <c r="E10" t="s">
        <v>540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102</v>
      </c>
      <c r="B11" s="2" t="s">
        <v>539</v>
      </c>
      <c r="C11" t="s">
        <v>302</v>
      </c>
      <c r="D11" t="s">
        <v>258</v>
      </c>
      <c r="E11" t="s">
        <v>540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513</v>
      </c>
      <c r="B12" s="2" t="s">
        <v>543</v>
      </c>
      <c r="C12" t="s">
        <v>313</v>
      </c>
      <c r="D12" t="s">
        <v>258</v>
      </c>
      <c r="E12" t="s">
        <v>544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512</v>
      </c>
      <c r="B13" s="2" t="s">
        <v>543</v>
      </c>
      <c r="C13" t="s">
        <v>313</v>
      </c>
      <c r="D13" t="s">
        <v>258</v>
      </c>
      <c r="E13" t="s">
        <v>540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B23C-BDA0-4A17-A4FB-15A025812CF4}">
  <sheetPr>
    <tabColor theme="7" tint="0.79998168889431442"/>
  </sheetPr>
  <dimension ref="A1:B3"/>
  <sheetViews>
    <sheetView tabSelected="1" workbookViewId="0">
      <selection activeCell="F16" sqref="F16"/>
    </sheetView>
  </sheetViews>
  <sheetFormatPr defaultRowHeight="15"/>
  <cols>
    <col min="1" max="1" width="13.7109375" customWidth="1"/>
    <col min="2" max="2" width="14" customWidth="1"/>
  </cols>
  <sheetData>
    <row r="1" spans="1:2">
      <c r="A1" s="13" t="s">
        <v>160</v>
      </c>
      <c r="B1" s="13" t="s">
        <v>161</v>
      </c>
    </row>
    <row r="2" spans="1:2">
      <c r="A2">
        <v>2020</v>
      </c>
      <c r="B2">
        <v>550</v>
      </c>
    </row>
    <row r="3" spans="1:2">
      <c r="A3" s="13">
        <v>2050</v>
      </c>
      <c r="B3">
        <v>550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O12"/>
  <sheetViews>
    <sheetView zoomScale="123" workbookViewId="0">
      <selection activeCell="I23" sqref="I23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5" width="12" customWidth="1"/>
    <col min="6" max="6" width="16.85546875" customWidth="1"/>
    <col min="7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5">
      <c r="A1" s="13" t="s">
        <v>162</v>
      </c>
      <c r="B1" s="13" t="s">
        <v>75</v>
      </c>
      <c r="C1" s="13" t="s">
        <v>163</v>
      </c>
      <c r="D1" s="13" t="s">
        <v>76</v>
      </c>
      <c r="E1" s="13" t="s">
        <v>77</v>
      </c>
      <c r="F1" s="13" t="s">
        <v>164</v>
      </c>
      <c r="G1" s="13" t="s">
        <v>78</v>
      </c>
      <c r="H1" s="13" t="s">
        <v>165</v>
      </c>
      <c r="I1" s="13" t="s">
        <v>166</v>
      </c>
      <c r="J1" s="13" t="s">
        <v>167</v>
      </c>
      <c r="K1" s="13" t="s">
        <v>168</v>
      </c>
      <c r="L1" s="13" t="s">
        <v>169</v>
      </c>
      <c r="M1" s="13" t="s">
        <v>170</v>
      </c>
      <c r="O1" t="s">
        <v>171</v>
      </c>
    </row>
    <row r="2" spans="1:15">
      <c r="A2" s="13" t="s">
        <v>172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173</v>
      </c>
      <c r="I2" s="13" t="b">
        <v>0</v>
      </c>
      <c r="J2" s="13">
        <v>1</v>
      </c>
      <c r="K2" s="13">
        <v>1</v>
      </c>
      <c r="L2" s="13">
        <v>1</v>
      </c>
      <c r="M2" s="13" t="s">
        <v>174</v>
      </c>
    </row>
    <row r="3" spans="1:15">
      <c r="A3" s="13" t="s">
        <v>175</v>
      </c>
      <c r="B3" s="13">
        <v>0</v>
      </c>
      <c r="C3" s="13">
        <v>23000</v>
      </c>
      <c r="D3" s="13">
        <v>0.05</v>
      </c>
      <c r="E3" s="13">
        <v>0.05</v>
      </c>
      <c r="F3" s="13">
        <v>9000</v>
      </c>
      <c r="G3" s="13">
        <v>40000</v>
      </c>
      <c r="H3" s="13" t="s">
        <v>157</v>
      </c>
      <c r="I3" s="13" t="b">
        <v>0</v>
      </c>
      <c r="J3" s="65">
        <v>1.5</v>
      </c>
      <c r="K3" s="13">
        <v>4</v>
      </c>
      <c r="L3" s="13">
        <v>1</v>
      </c>
      <c r="M3" s="13" t="s">
        <v>174</v>
      </c>
    </row>
    <row r="4" spans="1:15">
      <c r="A4" s="13" t="s">
        <v>176</v>
      </c>
      <c r="B4" s="13">
        <v>0</v>
      </c>
      <c r="C4" s="13">
        <v>23000</v>
      </c>
      <c r="D4" s="13">
        <v>0.05</v>
      </c>
      <c r="E4" s="13">
        <v>0.05</v>
      </c>
      <c r="F4" s="13">
        <v>9000</v>
      </c>
      <c r="G4" s="13">
        <v>40000</v>
      </c>
      <c r="H4" s="13" t="s">
        <v>157</v>
      </c>
      <c r="I4" s="13" t="b">
        <v>1</v>
      </c>
      <c r="J4" s="13">
        <v>1.5</v>
      </c>
      <c r="K4" s="13">
        <v>4</v>
      </c>
      <c r="L4" s="13">
        <v>15</v>
      </c>
      <c r="M4" s="13" t="s">
        <v>174</v>
      </c>
    </row>
    <row r="6" spans="1:15">
      <c r="E6" t="s">
        <v>177</v>
      </c>
      <c r="G6" t="s">
        <v>178</v>
      </c>
    </row>
    <row r="7" spans="1:15">
      <c r="D7" s="13">
        <v>26776</v>
      </c>
      <c r="E7" t="s">
        <v>179</v>
      </c>
      <c r="F7" t="s">
        <v>180</v>
      </c>
    </row>
    <row r="8" spans="1:15">
      <c r="D8" s="13">
        <v>26500</v>
      </c>
      <c r="E8" t="s">
        <v>181</v>
      </c>
    </row>
    <row r="9" spans="1:15">
      <c r="D9">
        <v>20000</v>
      </c>
      <c r="E9" t="s">
        <v>182</v>
      </c>
    </row>
    <row r="10" spans="1:15">
      <c r="D10">
        <v>24500</v>
      </c>
      <c r="E10" t="s">
        <v>183</v>
      </c>
      <c r="M10" s="13"/>
    </row>
    <row r="12" spans="1:15">
      <c r="D12">
        <v>19200</v>
      </c>
      <c r="E12" t="s">
        <v>184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workbookViewId="0">
      <selection activeCell="D34" sqref="D34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185</v>
      </c>
      <c r="B1" s="49" t="s">
        <v>80</v>
      </c>
      <c r="C1" s="49" t="s">
        <v>81</v>
      </c>
      <c r="D1" s="49" t="s">
        <v>186</v>
      </c>
      <c r="E1" s="49" t="s">
        <v>187</v>
      </c>
      <c r="F1" s="49" t="s">
        <v>188</v>
      </c>
      <c r="G1" s="49" t="s">
        <v>189</v>
      </c>
      <c r="H1" s="49" t="s">
        <v>190</v>
      </c>
      <c r="I1" s="49" t="s">
        <v>191</v>
      </c>
      <c r="K1" t="s">
        <v>192</v>
      </c>
    </row>
    <row r="2" spans="1:11">
      <c r="A2" s="13" t="s">
        <v>193</v>
      </c>
      <c r="B2" s="13">
        <v>3880</v>
      </c>
      <c r="C2" s="13">
        <v>0.15</v>
      </c>
      <c r="D2" s="13" t="s">
        <v>173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194</v>
      </c>
    </row>
    <row r="3" spans="1:11">
      <c r="A3" s="13" t="s">
        <v>195</v>
      </c>
      <c r="B3" s="13">
        <v>3880</v>
      </c>
      <c r="C3" s="13">
        <v>0.15</v>
      </c>
      <c r="D3" s="13" t="s">
        <v>157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196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E25" sqref="E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162</v>
      </c>
      <c r="B1" s="13" t="s">
        <v>197</v>
      </c>
      <c r="C1" s="13" t="s">
        <v>165</v>
      </c>
      <c r="F1" s="44" t="s">
        <v>198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173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157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L9"/>
  <sheetViews>
    <sheetView zoomScale="85" zoomScaleNormal="85" workbookViewId="0">
      <selection activeCell="E14" sqref="E14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10" width="17.85546875" customWidth="1"/>
  </cols>
  <sheetData>
    <row r="1" spans="1:12">
      <c r="A1" s="13" t="s">
        <v>162</v>
      </c>
      <c r="B1" s="73" t="s">
        <v>199</v>
      </c>
      <c r="C1" s="13" t="s">
        <v>200</v>
      </c>
      <c r="F1" t="s">
        <v>201</v>
      </c>
      <c r="G1" t="s">
        <v>202</v>
      </c>
    </row>
    <row r="2" spans="1:12">
      <c r="A2" s="73" t="s">
        <v>203</v>
      </c>
      <c r="B2" s="77">
        <v>78082</v>
      </c>
      <c r="C2" s="13">
        <v>0.04</v>
      </c>
      <c r="E2" s="13" t="s">
        <v>204</v>
      </c>
      <c r="F2">
        <v>50000</v>
      </c>
      <c r="G2" s="77">
        <v>102043.30769230769</v>
      </c>
    </row>
    <row r="3" spans="1:12">
      <c r="A3" s="73" t="s">
        <v>205</v>
      </c>
      <c r="B3" s="77">
        <v>75286.5</v>
      </c>
      <c r="C3" s="13">
        <v>0.09</v>
      </c>
      <c r="E3" s="13" t="s">
        <v>206</v>
      </c>
      <c r="F3">
        <v>40000</v>
      </c>
      <c r="G3" s="77">
        <v>84942</v>
      </c>
    </row>
    <row r="4" spans="1:12">
      <c r="A4" s="73" t="s">
        <v>206</v>
      </c>
      <c r="B4" s="77">
        <v>56496</v>
      </c>
      <c r="C4" s="13">
        <v>0.13</v>
      </c>
      <c r="E4" s="13" t="s">
        <v>207</v>
      </c>
      <c r="F4">
        <v>30000</v>
      </c>
      <c r="G4" s="77">
        <v>63489.515151515152</v>
      </c>
    </row>
    <row r="5" spans="1:12">
      <c r="A5" s="73" t="s">
        <v>208</v>
      </c>
      <c r="B5" s="77">
        <v>50618</v>
      </c>
      <c r="C5" s="13">
        <v>0.05</v>
      </c>
      <c r="E5" s="13" t="s">
        <v>209</v>
      </c>
      <c r="F5">
        <v>20000</v>
      </c>
      <c r="G5" s="77">
        <v>42700</v>
      </c>
    </row>
    <row r="6" spans="1:12">
      <c r="A6" s="73" t="s">
        <v>210</v>
      </c>
      <c r="B6" s="77">
        <v>44904</v>
      </c>
      <c r="C6" s="13">
        <v>0.28000000000000003</v>
      </c>
      <c r="E6" s="13" t="s">
        <v>211</v>
      </c>
      <c r="F6">
        <v>10000</v>
      </c>
      <c r="G6" s="77">
        <v>32723</v>
      </c>
      <c r="H6" t="s">
        <v>212</v>
      </c>
    </row>
    <row r="7" spans="1:12">
      <c r="A7" s="73" t="s">
        <v>209</v>
      </c>
      <c r="B7" s="34">
        <v>33635</v>
      </c>
      <c r="C7" s="13">
        <v>0.09</v>
      </c>
      <c r="H7">
        <f>SUM(C2:C8)</f>
        <v>0.89</v>
      </c>
      <c r="J7" s="13" t="s">
        <v>213</v>
      </c>
      <c r="K7" s="34">
        <v>30429</v>
      </c>
      <c r="L7" s="13">
        <v>0.08</v>
      </c>
    </row>
    <row r="8" spans="1:12">
      <c r="A8" s="73" t="s">
        <v>211</v>
      </c>
      <c r="B8" s="34">
        <v>28646.5</v>
      </c>
      <c r="C8" s="13">
        <v>0.21</v>
      </c>
      <c r="J8" s="13" t="s">
        <v>214</v>
      </c>
      <c r="K8" s="34">
        <v>19785</v>
      </c>
      <c r="L8" s="13">
        <v>0.03</v>
      </c>
    </row>
    <row r="9" spans="1:12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explanation</vt:lpstr>
      <vt:lpstr>dictTech</vt:lpstr>
      <vt:lpstr>dictFuel</vt:lpstr>
      <vt:lpstr>TechnologyTargets</vt:lpstr>
      <vt:lpstr>CapacityMarketCO2Limit</vt:lpstr>
      <vt:lpstr>CapacityMarkets</vt:lpstr>
      <vt:lpstr>StrategicReserveOperator</vt:lpstr>
      <vt:lpstr>ElectricitySpotMarkets</vt:lpstr>
      <vt:lpstr>CapacitySubscriptionConsumer</vt:lpstr>
      <vt:lpstr>CS_subscribed</vt:lpstr>
      <vt:lpstr>LoadShedders</vt:lpstr>
      <vt:lpstr>yearlyLoadShifterCap</vt:lpstr>
      <vt:lpstr>yearlyHydrogen</vt:lpstr>
      <vt:lpstr>LoadShifterCap</vt:lpstr>
      <vt:lpstr>LSyearly</vt:lpstr>
      <vt:lpstr>peakLoad</vt:lpstr>
      <vt:lpstr>Fuels</vt:lpstr>
      <vt:lpstr>FuelPriceTrends</vt:lpstr>
      <vt:lpstr>CandidatePowerPlants</vt:lpstr>
      <vt:lpstr>TechnologiesEmlab</vt:lpstr>
      <vt:lpstr>TechnologyTrends</vt:lpstr>
      <vt:lpstr>EnergyProducers</vt:lpstr>
      <vt:lpstr>weatherYears40</vt:lpstr>
      <vt:lpstr>Dismantled</vt:lpstr>
      <vt:lpstr>Sheet1</vt:lpstr>
      <vt:lpstr>derating</vt:lpstr>
      <vt:lpstr>VOLLs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Hommes</dc:creator>
  <cp:keywords/>
  <dc:description/>
  <cp:lastModifiedBy>Ingrid Sanchez Jimenez</cp:lastModifiedBy>
  <cp:revision/>
  <dcterms:created xsi:type="dcterms:W3CDTF">2015-06-05T18:17:20Z</dcterms:created>
  <dcterms:modified xsi:type="dcterms:W3CDTF">2024-10-11T16:36:05Z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