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0BD01E5-E043-451A-8498-605C5910EB48}" xr6:coauthVersionLast="47" xr6:coauthVersionMax="47" xr10:uidLastSave="{00000000-0000-0000-0000-000000000000}"/>
  <bookViews>
    <workbookView xWindow="-120" yWindow="-16320" windowWidth="29040" windowHeight="15840" tabRatio="998" firstSheet="3" activeTab="1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CapacitySubscriptionConsumer" sheetId="70" r:id="rId8"/>
    <sheet name="CS_subscribed" sheetId="76" r:id="rId9"/>
    <sheet name="LoadShedders" sheetId="65" r:id="rId10"/>
    <sheet name="LSyearly" sheetId="69" r:id="rId11"/>
    <sheet name="peakLoad" sheetId="67" r:id="rId12"/>
    <sheet name="Fuels" sheetId="29" r:id="rId13"/>
    <sheet name="FuelPriceTrends" sheetId="30" r:id="rId14"/>
    <sheet name="CandidatePowerPlants" sheetId="45" r:id="rId15"/>
    <sheet name="TechnologiesEmlab" sheetId="33" r:id="rId16"/>
    <sheet name="TechnologyTrends" sheetId="63" r:id="rId17"/>
    <sheet name="EnergyProducers" sheetId="17" r:id="rId18"/>
    <sheet name="LoadShifterCap" sheetId="64" r:id="rId19"/>
    <sheet name="weatherYears40" sheetId="61" r:id="rId20"/>
    <sheet name="Dismantled" sheetId="49" r:id="rId21"/>
    <sheet name="derating" sheetId="74" r:id="rId22"/>
    <sheet name="VOLLs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4" hidden="1">CandidatePowerPlants!$A$1:$D$1</definedName>
    <definedName name="_xlnm._FilterDatabase" localSheetId="1" hidden="1">dictTech!$A$1:$C$1</definedName>
    <definedName name="_xlnm._FilterDatabase" localSheetId="17" hidden="1">EnergyProducers!#REF!</definedName>
    <definedName name="_xlnm._FilterDatabase" localSheetId="36" hidden="1">NewTechnologies!$A$1:$I$11</definedName>
    <definedName name="_xlnm._FilterDatabase" localSheetId="15" hidden="1">TechnologiesEmlab!$A$1:$I$23</definedName>
    <definedName name="_xlnm._FilterDatabase" localSheetId="22" hidden="1">VOLLs!$A$1:$D$1</definedName>
    <definedName name="ExternalData_19" localSheetId="12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7" l="1"/>
  <c r="C3" i="27"/>
  <c r="D11" i="27"/>
  <c r="D10" i="27"/>
  <c r="B3" i="64"/>
  <c r="D6" i="64" s="1"/>
  <c r="D7" i="64"/>
  <c r="D4" i="65"/>
  <c r="D18" i="65" s="1"/>
  <c r="K4" i="64"/>
  <c r="D3" i="76" l="1"/>
  <c r="D4" i="76"/>
  <c r="D5" i="76"/>
  <c r="D6" i="76"/>
  <c r="D7" i="76"/>
  <c r="D8" i="76"/>
  <c r="D2" i="76"/>
  <c r="C3" i="76"/>
  <c r="C4" i="76"/>
  <c r="C5" i="76"/>
  <c r="C6" i="76"/>
  <c r="C7" i="76"/>
  <c r="C8" i="76"/>
  <c r="B3" i="76"/>
  <c r="B4" i="76"/>
  <c r="B5" i="76"/>
  <c r="B6" i="76"/>
  <c r="B7" i="76"/>
  <c r="B8" i="76"/>
  <c r="B2" i="76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F2" i="76" l="1"/>
  <c r="F3" i="76"/>
  <c r="F4" i="76"/>
  <c r="F5" i="76"/>
  <c r="F6" i="76"/>
  <c r="B3" i="47"/>
  <c r="B2" i="47"/>
  <c r="A89" i="63"/>
  <c r="A67" i="63"/>
  <c r="A45" i="63"/>
  <c r="A24" i="63"/>
  <c r="A23" i="63"/>
  <c r="C2" i="69" l="1"/>
  <c r="I13" i="76"/>
  <c r="C2" i="76"/>
  <c r="H13" i="76"/>
  <c r="H7" i="70"/>
  <c r="F7" i="76"/>
  <c r="K2" i="76" s="1"/>
  <c r="F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F2" i="69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<sst xmlns="http://schemas.openxmlformats.org/spreadsheetml/2006/main" count="1084" uniqueCount="524">
  <si>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</si>
  <si>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</si>
  <si>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</si>
  <si>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</si>
  <si>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</si>
  <si>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</si>
  <si>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</si>
  <si>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</si>
  <si>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</si>
  <si>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</si>
  <si>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</si>
  <si>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</si>
  <si>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</si>
  <si>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</si>
  <si>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</si>
  <si>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</si>
  <si>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</si>
  <si>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</si>
  <si>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</si>
  <si>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</si>
  <si>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</si>
  <si>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</si>
  <si>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</si>
  <si>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</si>
  <si>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</si>
  <si>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</si>
  <si>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</si>
  <si>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</si>
  <si>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</si>
  <si>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</si>
  <si>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</si>
  <si>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</si>
  <si>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</si>
  <si>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</si>
  <si>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</si>
  <si>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</si>
  <si>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</si>
  <si>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</si>
  <si>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</si>
  <si>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</si>
  <si>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</si>
  <si>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</si>
  <si>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</si>
  <si>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</si>
  <si>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</si>
  <si>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</si>
  <si>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</si>
  <si>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</si>
  <si>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</si>
  <si>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</si>
  <si>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</si>
  <si>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</si>
  <si>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</si>
  <si>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</si>
  <si>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</si>
  <si>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</si>
  <si>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</si>
  <si>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</si>
  <si>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</si>
  <si>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</si>
  <si>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</si>
  <si>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</si>
  <si>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</si>
  <si>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</si>
  <si>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</si>
  <si>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</si>
  <si>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</si>
  <si>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</si>
  <si>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</si>
  <si>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</si>
  <si>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</si>
  <si>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</si>
  <si>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</si>
  <si>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</si>
  <si>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</si>
  <si>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</si>
  <si>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</si>
  <si>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</si>
  <si>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</si>
  <si>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</si>
  <si>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</si>
  <si>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</si>
  <si>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</si>
  <si>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</si>
  <si>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</si>
  <si>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</si>
  <si>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</si>
  <si>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</si>
  <si>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</si>
  <si>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</si>
  <si>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</si>
  <si>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</si>
  <si>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</si>
  <si>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</si>
  <si>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</si>
  <si>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</si>
  <si>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</si>
  <si>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</si>
  <si>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</si>
  <si>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</si>
  <si>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</si>
  <si>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</si>
  <si>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</si>
  <si>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</si>
  <si>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</si>
  <si>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</si>
  <si>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</si>
  <si>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</si>
  <si>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</si>
  <si>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</si>
  <si>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</si>
  <si>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</si>
  <si>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</si>
  <si>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</si>
  <si>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</si>
  <si>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</si>
  <si>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</si>
  <si>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</si>
  <si>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</si>
  <si>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</si>
  <si>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</si>
  <si>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</si>
  <si>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</si>
  <si>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</si>
  <si>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</si>
  <si>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</si>
  <si>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</si>
  <si>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</si>
  <si>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</si>
  <si>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</si>
  <si>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</si>
  <si>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</si>
  <si>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</si>
  <si>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</si>
  <si>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</si>
  <si>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</si>
  <si>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</si>
  <si>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</si>
  <si>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</si>
  <si>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</si>
  <si>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</si>
  <si>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</si>
  <si>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</si>
  <si>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</si>
  <si>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</si>
  <si>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</si>
  <si>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</si>
  <si>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</si>
  <si>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</si>
  <si>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</si>
  <si>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</si>
  <si>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</si>
  <si>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</si>
  <si>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</si>
  <si>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</si>
  <si>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</si>
  <si>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</si>
  <si>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</si>
  <si>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</si>
  <si>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</si>
  <si>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</si>
  <si>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</si>
  <si>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</si>
  <si>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</si>
  <si>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</si>
  <si>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</si>
  <si>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</si>
  <si>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</si>
  <si>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</si>
  <si>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</si>
  <si>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</si>
  <si>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</si>
  <si>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</si>
  <si>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</si>
  <si>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</si>
  <si>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</si>
  <si>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</si>
  <si>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</si>
  <si>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</si>
  <si>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</si>
  <si>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</si>
  <si>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</si>
  <si>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</si>
  <si>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</si>
  <si>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</si>
  <si>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</si>
  <si>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</si>
  <si>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</si>
  <si>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</si>
  <si>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</si>
  <si>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</si>
  <si>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</si>
  <si>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</si>
  <si>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</si>
  <si>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</si>
  <si>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</si>
  <si>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</si>
  <si>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</si>
  <si>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</si>
  <si>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</si>
  <si>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</si>
  <si>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</si>
  <si>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</si>
  <si>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</si>
  <si>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</si>
  <si>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</si>
  <si>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</si>
  <si>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</si>
  <si>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</si>
  <si>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</si>
  <si>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</si>
  <si>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</si>
  <si>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</si>
  <si>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</si>
  <si>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</si>
  <si>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</si>
  <si>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</si>
  <si>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</si>
  <si>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</si>
  <si>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</si>
  <si>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</si>
  <si>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</si>
  <si>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</si>
  <si>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</si>
  <si>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</si>
  <si>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</si>
  <si>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</si>
  <si>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</si>
  <si>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</si>
  <si>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</si>
  <si>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</si>
  <si>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</si>
  <si>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</si>
  <si>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</si>
  <si>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</si>
  <si>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</si>
  <si>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</si>
  <si>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</si>
  <si>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</si>
  <si>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</si>
  <si>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</si>
  <si>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</si>
  <si>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</si>
  <si>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</si>
  <si>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</si>
  <si>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</si>
  <si>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</si>
  <si>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</si>
  <si>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</si>
  <si>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</si>
  <si>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</si>
  <si>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</si>
  <si>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</si>
  <si>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</si>
  <si>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</si>
  <si>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</si>
  <si>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</si>
  <si>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</si>
  <si>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</si>
  <si>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</si>
  <si>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</si>
  <si>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</si>
  <si>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</si>
  <si>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</si>
  <si>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</si>
  <si>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</si>
  <si>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</si>
  <si>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</si>
  <si>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</si>
  <si>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</si>
  <si>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</si>
  <si>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</si>
  <si>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</si>
  <si>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</si>
  <si>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</si>
  <si>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</si>
  <si>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</si>
  <si>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</si>
  <si>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</si>
  <si>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</si>
  <si>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</si>
  <si>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</si>
  <si>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</si>
  <si>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</si>
  <si>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</si>
  <si>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</si>
  <si>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</si>
  <si>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</si>
  <si>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</si>
  <si>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</si>
  <si>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</si>
  <si>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</si>
  <si>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</si>
  <si>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</si>
  <si>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</si>
  <si>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</si>
  <si>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</si>
  <si>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</si>
  <si>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</si>
  <si>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</si>
  <si>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</si>
  <si>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</si>
  <si>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</si>
  <si>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</si>
  <si>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</si>
  <si>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</si>
  <si>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</si>
  <si>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</si>
  <si>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</si>
  <si>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</si>
  <si>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</si>
  <si>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</si>
  <si>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</si>
  <si>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</si>
  <si>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</si>
  <si>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</si>
  <si>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</si>
  <si>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</si>
  <si>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</si>
  <si>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</si>
  <si>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</si>
  <si>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</si>
  <si>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</si>
  <si>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</si>
  <si>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</si>
  <si>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</si>
  <si>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</si>
  <si>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</si>
  <si>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</si>
  <si>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</si>
  <si>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</si>
  <si>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</si>
  <si>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</si>
  <si>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</si>
  <si>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</si>
  <si>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</si>
  <si>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</si>
  <si>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</si>
  <si>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</si>
  <si>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</si>
  <si>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</si>
  <si>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</si>
  <si>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</si>
  <si>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</si>
  <si>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</si>
  <si>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</si>
  <si>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</si>
  <si>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</si>
  <si>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</si>
  <si>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</si>
  <si>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</si>
  <si>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</si>
  <si>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</si>
  <si>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</si>
  <si>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</si>
  <si>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</si>
  <si>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</si>
  <si>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</si>
  <si>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</si>
  <si>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</si>
  <si>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</si>
  <si>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</si>
  <si>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</si>
  <si>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</si>
  <si>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</si>
  <si>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</si>
  <si>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</si>
  <si>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</si>
  <si>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</si>
  <si>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</si>
  <si>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</si>
  <si>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</si>
  <si>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</si>
  <si>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</si>
  <si>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</si>
  <si>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</si>
  <si>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</si>
  <si>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</si>
  <si>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</si>
  <si>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</si>
  <si>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</si>
  <si>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</si>
  <si>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</si>
  <si>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</si>
  <si>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</si>
  <si>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</si>
  <si>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</si>
  <si>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</si>
  <si>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</si>
  <si>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</si>
  <si>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</si>
  <si>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</si>
  <si>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</si>
  <si>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</si>
  <si>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</si>
  <si>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</si>
  <si>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</si>
  <si>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</si>
  <si>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</si>
  <si>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</si>
  <si>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</si>
  <si>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</si>
  <si>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</si>
  <si>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</si>
  <si>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</si>
  <si>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</si>
  <si>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</si>
  <si>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</si>
  <si>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</si>
  <si>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</si>
  <si>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</si>
  <si>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</si>
  <si>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</si>
  <si>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</si>
  <si>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</si>
  <si>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</si>
  <si>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</si>
  <si>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</si>
  <si>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</si>
  <si>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</si>
  <si>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</si>
  <si>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</si>
  <si>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</si>
  <si>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</si>
  <si>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</si>
  <si>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</si>
  <si>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</si>
  <si>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</si>
  <si>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</si>
  <si>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</si>
  <si>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</si>
  <si>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</si>
  <si>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</si>
  <si>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</si>
  <si>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</si>
  <si>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</si>
  <si>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</si>
  <si>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</si>
  <si>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</si>
  <si>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</si>
  <si>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</si>
  <si>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</si>
  <si>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</si>
  <si>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</si>
  <si>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</si>
  <si>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</si>
  <si>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</si>
  <si>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</si>
  <si>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</si>
  <si>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</si>
  <si>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</si>
  <si>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</si>
  <si>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</si>
  <si>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</si>
  <si>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</si>
  <si>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</si>
  <si>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</si>
  <si>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</si>
  <si>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</si>
  <si>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</si>
  <si>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</si>
  <si>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</si>
  <si>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</si>
  <si>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</si>
  <si>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</si>
  <si>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</si>
  <si>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</si>
  <si>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</si>
  <si>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</si>
  <si>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</si>
  <si>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</si>
  <si>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</si>
  <si>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</si>
  <si>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</si>
  <si>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</si>
  <si>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</si>
  <si>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</si>
  <si>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</si>
  <si>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</si>
  <si>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</si>
  <si>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</si>
  <si>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</si>
  <si>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</si>
  <si>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</si>
  <si>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</si>
  <si>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</si>
  <si>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</si>
  <si>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</si>
  <si>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</si>
  <si>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</si>
  <si>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</si>
  <si>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</si>
  <si>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</si>
  <si>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</si>
  <si>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</si>
  <si>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</si>
  <si>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</si>
  <si>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</si>
  <si>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</si>
  <si>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</si>
  <si>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</si>
  <si>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</si>
  <si>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</si>
  <si>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</si>
  <si>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</si>
  <si>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</si>
  <si>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</si>
  <si>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</si>
  <si>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</si>
  <si>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</si>
  <si>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</si>
  <si>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</si>
  <si>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</si>
  <si>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</si>
  <si>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</si>
  <si>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</si>
  <si>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</si>
  <si>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</si>
  <si>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</si>
  <si>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</si>
  <si>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</si>
  <si>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</si>
  <si>
    <t>MWh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</si>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</sst>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K22" sqref="K22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8"/>
  <sheetViews>
    <sheetView zoomScale="85" zoomScaleNormal="85" workbookViewId="0">
      <selection activeCell="E39" sqref="E39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G3">
        <v>0.73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G7">
        <v>0.05</v>
      </c>
      <c r="K7" s="44"/>
      <c r="L7" s="44"/>
      <c r="M7" s="44"/>
    </row>
    <row r="8" spans="1:13">
      <c r="G8">
        <v>0.06</v>
      </c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  <row r="17" spans="4:5">
      <c r="D17">
        <v>40000000</v>
      </c>
      <c r="E17" t="s">
        <v>522</v>
      </c>
    </row>
    <row r="18" spans="4:5">
      <c r="D18">
        <f>D17/D4</f>
        <v>1068.0907877169559</v>
      </c>
      <c r="E18" t="s">
        <v>523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F9"/>
  <sheetViews>
    <sheetView workbookViewId="0">
      <selection activeCell="C2" sqref="C2"/>
    </sheetView>
  </sheetViews>
  <sheetFormatPr defaultRowHeight="15"/>
  <cols>
    <col min="1" max="1" width="34.5703125" customWidth="1"/>
    <col min="2" max="2" width="16.7109375" customWidth="1"/>
  </cols>
  <sheetData>
    <row r="1" spans="1:6">
      <c r="A1" s="13" t="s">
        <v>359</v>
      </c>
      <c r="B1" s="13">
        <v>1</v>
      </c>
      <c r="C1" s="13">
        <v>2</v>
      </c>
      <c r="D1" s="13" t="s">
        <v>103</v>
      </c>
    </row>
    <row r="2" spans="1:6">
      <c r="A2" s="13">
        <v>2050</v>
      </c>
      <c r="B2" s="13">
        <f>SUM(CS_subscribed!B:B)</f>
        <v>0.89</v>
      </c>
      <c r="C2" s="13">
        <f>1-SUM(CapacitySubscriptionConsumer!C:C)</f>
        <v>0.10999999999999999</v>
      </c>
      <c r="D2" s="13" t="s">
        <v>69</v>
      </c>
      <c r="F2">
        <f>SUM(B2:C2)</f>
        <v>1</v>
      </c>
    </row>
    <row r="5" spans="1:6">
      <c r="D5" s="13">
        <v>4</v>
      </c>
    </row>
    <row r="6" spans="1:6">
      <c r="D6" s="13">
        <v>0.03</v>
      </c>
    </row>
    <row r="9" spans="1:6">
      <c r="C9" t="s">
        <v>494</v>
      </c>
      <c r="D9" t="s">
        <v>495</v>
      </c>
    </row>
  </sheetData>
  <conditionalFormatting sqref="F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E22" sqref="E22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2" spans="1:8">
      <c r="A12" s="13">
        <v>14</v>
      </c>
      <c r="B12" s="13" t="s">
        <v>41</v>
      </c>
      <c r="C12" s="13" t="b">
        <v>1</v>
      </c>
      <c r="D12" s="13">
        <v>1000</v>
      </c>
    </row>
    <row r="13" spans="1:8">
      <c r="A13" s="13">
        <v>9</v>
      </c>
      <c r="B13" s="13" t="s">
        <v>383</v>
      </c>
      <c r="C13" s="13" t="b">
        <v>1</v>
      </c>
      <c r="D13" s="13">
        <v>300</v>
      </c>
    </row>
    <row r="14" spans="1:8">
      <c r="H14" t="s">
        <v>409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9" sqref="I29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B46" sqref="B46:B67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0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4" sqref="B14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K3/(12)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K4">
        <f>K3/1000000</f>
        <v>36.756965000000001</v>
      </c>
    </row>
    <row r="6" spans="1:14">
      <c r="D6">
        <f>B3/B2</f>
        <v>497.65725697265094</v>
      </c>
      <c r="J6" s="1" t="s">
        <v>486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T38" sqref="T38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54"/>
  <sheetViews>
    <sheetView topLeftCell="A7" zoomScale="85" zoomScaleNormal="85" workbookViewId="0">
      <selection activeCell="T48" sqref="T4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519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516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517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>
        <f t="shared" ref="K48:K54" si="16">J2</f>
        <v>102043.30769230769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>
        <f t="shared" si="16"/>
        <v>84942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>
        <f t="shared" si="16"/>
        <v>63489.515151515152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>
        <f t="shared" si="16"/>
        <v>42700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>
        <f t="shared" si="16"/>
        <v>32723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>
        <f t="shared" si="16"/>
        <v>30429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>
        <f t="shared" si="16"/>
        <v>19785</v>
      </c>
      <c r="M54" s="16">
        <f t="shared" si="17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G26" sqref="G26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1"/>
  <sheetViews>
    <sheetView zoomScale="123" workbookViewId="0">
      <selection activeCell="K27" sqref="K27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521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5">
      <c r="A3" s="13" t="s">
        <v>213</v>
      </c>
      <c r="B3" s="13">
        <v>0</v>
      </c>
      <c r="C3" s="13">
        <f>D11</f>
        <v>24500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4</v>
      </c>
      <c r="L3" s="13">
        <v>1</v>
      </c>
      <c r="M3" s="13" t="s">
        <v>500</v>
      </c>
    </row>
    <row r="4" spans="1:15">
      <c r="A4" s="13" t="s">
        <v>477</v>
      </c>
      <c r="B4" s="13">
        <v>0</v>
      </c>
      <c r="C4" s="13">
        <f>C3</f>
        <v>24500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5">
      <c r="E6" t="s">
        <v>508</v>
      </c>
      <c r="G6" t="s">
        <v>502</v>
      </c>
    </row>
    <row r="7" spans="1:15">
      <c r="D7" s="13">
        <v>26776</v>
      </c>
      <c r="E7" t="s">
        <v>481</v>
      </c>
      <c r="F7" t="s">
        <v>503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520</v>
      </c>
    </row>
    <row r="10" spans="1:15">
      <c r="D10">
        <f>D8-D9</f>
        <v>6500</v>
      </c>
      <c r="M10" s="13"/>
    </row>
    <row r="11" spans="1:15">
      <c r="D11">
        <f>18000+D10</f>
        <v>24500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H14" sqref="H1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5" spans="1:11">
      <c r="B5">
        <v>3880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H32" sqref="H32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B2" sqref="B2:B8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8" si="0">+B3*20000</f>
        <v>1800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F4" s="13">
        <f t="shared" si="1"/>
        <v>0.33</v>
      </c>
      <c r="G4">
        <v>33</v>
      </c>
    </row>
    <row r="5" spans="1:12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F5" s="13">
        <f t="shared" si="1"/>
        <v>0.09</v>
      </c>
      <c r="G5">
        <v>9</v>
      </c>
    </row>
    <row r="6" spans="1:12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F6" s="13">
        <f t="shared" si="1"/>
        <v>0.21</v>
      </c>
      <c r="G6">
        <v>21</v>
      </c>
    </row>
    <row r="7" spans="1:12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F7" s="13">
        <f>G7/100</f>
        <v>0.08</v>
      </c>
      <c r="G7">
        <v>8</v>
      </c>
    </row>
    <row r="8" spans="1:12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 t="shared" si="0"/>
        <v>4200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0.16999999999999998</v>
      </c>
      <c r="I13" s="78">
        <f>CapacitySubscriptionConsumer!B8</f>
        <v>28646.5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weatherYears40</vt:lpstr>
      <vt:lpstr>Dismantled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2024-07-30T15:41:47Z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