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FF48F2E-EBDE-4A62-9E06-B5E051630AED}" xr6:coauthVersionLast="47" xr6:coauthVersionMax="47" xr10:uidLastSave="{00000000-0000-0000-0000-000000000000}"/>
  <bookViews>
    <workbookView xWindow="-29115" yWindow="17145" windowWidth="29040" windowHeight="17640" tabRatio="998" firstSheet="7" activeTab="19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LoadShedders2" sheetId="68" r:id="rId20"/>
    <sheet name="VOLL" sheetId="69" r:id="rId21"/>
    <sheet name="TechnologyTargets" sheetId="26" r:id="rId22"/>
    <sheet name="YearlyTargets" sheetId="52" r:id="rId23"/>
    <sheet name="yearlyCO2" sheetId="53" r:id="rId24"/>
    <sheet name="technologyPotentials" sheetId="51" r:id="rId25"/>
    <sheet name="Dismantled" sheetId="49" r:id="rId26"/>
    <sheet name="StepTrends" sheetId="18" r:id="rId27"/>
    <sheet name="EnergyConsumers" sheetId="16" r:id="rId28"/>
    <sheet name="yearlytechnologyPotentials2" sheetId="58" r:id="rId29"/>
    <sheet name="graphs" sheetId="56" r:id="rId30"/>
    <sheet name="CO2DE" sheetId="44" r:id="rId31"/>
    <sheet name="backup" sheetId="50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3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68" l="1"/>
  <c r="K2" i="68"/>
  <c r="J3" i="68"/>
  <c r="K3" i="68" s="1"/>
  <c r="J4" i="68"/>
  <c r="K4" i="68" s="1"/>
  <c r="K5" i="68"/>
  <c r="J5" i="68"/>
  <c r="J7" i="68"/>
  <c r="K7" i="68" s="1"/>
  <c r="J8" i="68"/>
  <c r="J6" i="68"/>
  <c r="K6" i="68" s="1"/>
  <c r="K8" i="68"/>
  <c r="H2" i="68"/>
  <c r="H4" i="68" l="1"/>
  <c r="H5" i="68" s="1"/>
  <c r="H6" i="68" s="1"/>
  <c r="H7" i="68" s="1"/>
  <c r="H8" i="68" s="1"/>
  <c r="H3" i="68"/>
  <c r="I3" i="68"/>
  <c r="I4" i="68"/>
  <c r="I5" i="68"/>
  <c r="I6" i="68"/>
  <c r="I7" i="68"/>
  <c r="I8" i="68"/>
  <c r="D23" i="33"/>
  <c r="C23" i="33"/>
  <c r="D22" i="33"/>
  <c r="C22" i="33"/>
  <c r="D15" i="33"/>
  <c r="C15" i="33"/>
  <c r="F6" i="68"/>
  <c r="G2" i="65"/>
  <c r="I3" i="65"/>
  <c r="I4" i="65"/>
  <c r="I5" i="65"/>
  <c r="I2" i="65"/>
  <c r="G5" i="65"/>
  <c r="C3" i="68"/>
  <c r="C4" i="68"/>
  <c r="C5" i="68"/>
  <c r="C6" i="68"/>
  <c r="C7" i="68"/>
  <c r="C8" i="68"/>
  <c r="C2" i="68"/>
  <c r="B2" i="68"/>
  <c r="B3" i="68"/>
  <c r="B4" i="68"/>
  <c r="B5" i="68"/>
  <c r="B6" i="68"/>
  <c r="B7" i="68"/>
  <c r="B8" i="68"/>
  <c r="E2" i="68"/>
  <c r="D9" i="68" l="1"/>
  <c r="I2" i="67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L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K6" i="65"/>
  <c r="K7" i="65" s="1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9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<sst xmlns="http://schemas.openxmlformats.org/spreadsheetml/2006/main" count="1108" uniqueCount="487">
  <si>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</si>
  <si>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</si>
  <si>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</si>
  <si>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</si>
  <si>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</si>
  <si>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</si>
  <si>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</si>
  <si>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</si>
  <si>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</si>
  <si>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</si>
  <si>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</si>
  <si>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</si>
  <si>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</si>
  <si>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</si>
  <si>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</si>
  <si>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</si>
  <si>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</si>
  <si>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</si>
  <si>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</si>
  <si>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</si>
  <si>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</si>
  <si>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</si>
  <si>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</si>
  <si>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</si>
  <si>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</si>
  <si>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</si>
  <si>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</si>
  <si>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</si>
  <si>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</si>
  <si>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</si>
  <si>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</si>
  <si>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</si>
  <si>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</si>
  <si>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</si>
  <si>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</si>
  <si>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</si>
  <si>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</si>
  <si>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</si>
  <si>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</si>
  <si>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</si>
  <si>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</si>
  <si>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</si>
  <si>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</si>
  <si>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</si>
  <si>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</si>
  <si>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</si>
  <si>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</si>
  <si>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</si>
  <si>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</si>
  <si>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</si>
  <si>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</si>
  <si>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</si>
  <si>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</si>
  <si>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</si>
  <si>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</si>
  <si>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</si>
  <si>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</si>
  <si>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</si>
  <si>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</si>
  <si>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</si>
  <si>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</si>
  <si>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</si>
  <si>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</si>
  <si>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</si>
  <si>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</si>
  <si>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</si>
  <si>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</si>
  <si>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</si>
  <si>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</si>
  <si>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</si>
  <si>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</si>
  <si>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</si>
  <si>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</si>
  <si>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</si>
  <si>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</si>
  <si>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</si>
  <si>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</si>
  <si>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</si>
  <si>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</si>
  <si>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</si>
  <si>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</si>
  <si>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</si>
  <si>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</si>
  <si>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</si>
  <si>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</si>
  <si>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</si>
  <si>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</si>
  <si>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</si>
  <si>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</si>
  <si>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</si>
  <si>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</si>
  <si>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</si>
  <si>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</si>
  <si>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</si>
  <si>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</si>
  <si>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</si>
  <si>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</si>
  <si>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</si>
  <si>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</si>
  <si>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</si>
  <si>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</si>
  <si>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</si>
  <si>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</si>
  <si>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</si>
  <si>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</si>
  <si>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</si>
  <si>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</si>
  <si>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</si>
  <si>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</si>
  <si>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</si>
  <si>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</si>
  <si>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</si>
  <si>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</si>
  <si>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</si>
  <si>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</si>
  <si>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</si>
  <si>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</si>
  <si>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</si>
  <si>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</si>
  <si>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</si>
  <si>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</si>
  <si>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</si>
  <si>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</si>
  <si>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</si>
  <si>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</si>
  <si>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</si>
  <si>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</si>
  <si>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</si>
  <si>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</si>
  <si>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</si>
  <si>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</si>
  <si>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</si>
  <si>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</si>
  <si>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</si>
  <si>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</si>
  <si>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</si>
  <si>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</si>
  <si>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</si>
  <si>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</si>
  <si>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</si>
  <si>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</si>
  <si>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</si>
  <si>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</si>
  <si>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</si>
  <si>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</si>
  <si>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</si>
  <si>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</si>
  <si>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</si>
  <si>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</si>
  <si>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</si>
  <si>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</si>
  <si>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</si>
  <si>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</si>
  <si>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</si>
  <si>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</si>
  <si>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</si>
  <si>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</si>
  <si>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</si>
  <si>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</si>
  <si>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</si>
  <si>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</si>
  <si>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</si>
  <si>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</si>
  <si>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</si>
  <si>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</si>
  <si>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</si>
  <si>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</si>
  <si>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</si>
  <si>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</si>
  <si>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</si>
  <si>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</si>
  <si>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</si>
  <si>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</si>
  <si>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</si>
  <si>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</si>
  <si>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</si>
  <si>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</si>
  <si>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</si>
  <si>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</si>
  <si>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</si>
  <si>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</si>
  <si>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</si>
  <si>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</si>
  <si>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</si>
  <si>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</si>
  <si>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</si>
  <si>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</si>
  <si>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</si>
  <si>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</si>
  <si>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</si>
  <si>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</si>
  <si>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</si>
  <si>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</si>
  <si>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</si>
  <si>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</si>
  <si>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</si>
  <si>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</si>
  <si>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</si>
  <si>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</si>
  <si>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</si>
  <si>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</si>
  <si>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</si>
  <si>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</si>
  <si>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</si>
  <si>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</si>
  <si>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</si>
  <si>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</si>
  <si>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</si>
  <si>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</si>
  <si>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</si>
  <si>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</si>
  <si>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</si>
  <si>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</si>
  <si>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</si>
  <si>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</si>
  <si>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</si>
  <si>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</si>
  <si>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</si>
  <si>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</si>
  <si>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</si>
  <si>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</si>
  <si>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</si>
  <si>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</si>
  <si>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</si>
  <si>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</si>
  <si>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</si>
  <si>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</si>
  <si>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</si>
  <si>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</si>
  <si>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</si>
  <si>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</si>
  <si>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</si>
  <si>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</si>
  <si>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</si>
  <si>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</si>
  <si>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</si>
  <si>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</si>
  <si>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</si>
  <si>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</si>
  <si>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</si>
  <si>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</si>
  <si>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</si>
  <si>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</si>
  <si>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</si>
  <si>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</si>
  <si>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</si>
  <si>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</si>
  <si>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</si>
  <si>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</si>
  <si>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</si>
  <si>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</si>
  <si>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</si>
  <si>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</si>
  <si>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</si>
  <si>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</si>
  <si>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</si>
  <si>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</si>
  <si>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</si>
  <si>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</si>
  <si>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</si>
  <si>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</si>
  <si>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</si>
  <si>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</si>
  <si>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</si>
  <si>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</si>
  <si>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</si>
  <si>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</si>
  <si>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</si>
  <si>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</si>
  <si>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</si>
  <si>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</si>
  <si>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</si>
  <si>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</si>
  <si>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</si>
  <si>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</si>
  <si>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</si>
  <si>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</si>
  <si>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</si>
  <si>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</si>
  <si>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</si>
  <si>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</si>
  <si>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</si>
  <si>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</si>
  <si>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</si>
  <si>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</si>
  <si>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</si>
  <si>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</si>
  <si>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</si>
  <si>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</si>
  <si>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</si>
  <si>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</si>
  <si>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</si>
  <si>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</si>
  <si>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</si>
  <si>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</si>
  <si>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</si>
  <si>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</si>
  <si>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</si>
  <si>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</si>
  <si>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</si>
  <si>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</si>
  <si>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</si>
  <si>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</si>
  <si>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</si>
  <si>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</si>
  <si>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</si>
  <si>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</si>
  <si>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</si>
  <si>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</si>
  <si>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</si>
  <si>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</si>
  <si>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</si>
  <si>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</si>
  <si>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</si>
  <si>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</si>
  <si>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</si>
  <si>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</si>
  <si>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</si>
  <si>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</si>
  <si>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</si>
  <si>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</si>
  <si>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</si>
  <si>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</si>
  <si>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</si>
  <si>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</si>
  <si>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</si>
  <si>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</si>
  <si>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</si>
  <si>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</si>
  <si>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</si>
  <si>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</si>
  <si>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</si>
  <si>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</si>
  <si>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</si>
  <si>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</si>
  <si>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</si>
  <si>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</si>
  <si>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</si>
  <si>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</si>
  <si>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</si>
  <si>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</si>
  <si>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</si>
  <si>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</si>
  <si>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</si>
  <si>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</si>
  <si>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</si>
  <si>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</si>
  <si>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</si>
  <si>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</si>
  <si>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</si>
  <si>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</si>
  <si>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</si>
  <si>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</si>
  <si>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</si>
  <si>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</si>
  <si>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</si>
  <si>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</si>
  <si>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</si>
  <si>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</si>
  <si>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</si>
  <si>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</si>
  <si>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</si>
  <si>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</si>
  <si>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</si>
  <si>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</si>
  <si>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</si>
  <si>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</si>
  <si>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</si>
  <si>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</si>
  <si>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</si>
  <si>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</si>
  <si>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</si>
  <si>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</si>
  <si>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</si>
  <si>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</si>
  <si>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</si>
  <si>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</si>
  <si>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</si>
  <si>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</si>
  <si>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</si>
  <si>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</si>
  <si>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</si>
  <si>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</si>
  <si>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</si>
  <si>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</si>
  <si>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</si>
  <si>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</si>
  <si>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</si>
  <si>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</si>
  <si>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</si>
  <si>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</si>
  <si>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</si>
  <si>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</si>
  <si>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</si>
  <si>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</si>
  <si>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</si>
  <si>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</si>
  <si>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</si>
  <si>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</si>
  <si>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</si>
  <si>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</si>
  <si>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</si>
  <si>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</si>
  <si>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</si>
  <si>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</si>
  <si>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</si>
  <si>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</si>
  <si>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</si>
  <si>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</si>
  <si>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</si>
  <si>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</si>
  <si>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</si>
  <si>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</si>
  <si>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</si>
  <si>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</si>
  <si>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</si>
  <si>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</si>
  <si>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</si>
  <si>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</si>
  <si>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</si>
  <si>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</si>
  <si>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</si>
  <si>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</si>
  <si>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</si>
  <si>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</si>
  <si>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</si>
  <si>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</si>
  <si>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</si>
  <si>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</si>
  <si>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</si>
  <si>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</si>
  <si>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</si>
  <si>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</si>
  <si>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</si>
  <si>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</si>
  <si>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</si>
  <si>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</si>
  <si>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</si>
  <si>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</si>
  <si>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</si>
  <si>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</si>
  <si>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</si>
  <si>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</si>
  <si>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</si>
  <si>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</si>
  <si>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</si>
  <si>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</si>
  <si>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</si>
  <si>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</si>
  <si>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</si>
  <si>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</si>
  <si>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</si>
  <si>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</si>
  <si>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</si>
  <si>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</si>
  <si>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</si>
  <si>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</si>
  <si>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</si>
  <si>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</si>
  <si>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</si>
  <si>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</si>
  <si>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</si>
  <si>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</si>
  <si>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</si>
  <si>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</si>
  <si>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</si>
  <si>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</si>
  <si>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</si>
  <si>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</si>
  <si>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</si>
  <si>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</si>
  <si>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</si>
  <si>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</si>
  <si>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</si>
  <si>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</si>
  <si>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</si>
  <si>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</si>
  <si>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</si>
  <si>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</si>
  <si>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</si>
  <si>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</si>
  <si>
    <t>CONE</t>
  </si>
  <si>
    <t>reliability_standard</t>
  </si>
  <si>
    <t>PriceCapTimesCONE</t>
  </si>
  <si>
    <t>The VOLL is saved in a different tab so that it can be added per year.</t>
  </si>
  <si>
    <t>calculated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</si>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</sst>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wrapText="1"/>
    </xf>
    <xf numFmtId="1" fontId="0" fillId="8" borderId="0" xfId="0" applyNumberFormat="1" applyFill="1"/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LoadShedders2!$I$1</c:f>
              <c:strCache>
                <c:ptCount val="1"/>
                <c:pt idx="0">
                  <c:v>calculated</c:v>
                </c:pt>
              </c:strCache>
            </c:strRef>
          </c:tx>
          <c:xVal>
            <c:numRef>
              <c:f>LoadShedders2!$H$2:$H$8</c:f>
              <c:numCache>
                <c:formatCode>General</c:formatCode>
                <c:ptCount val="7"/>
                <c:pt idx="0">
                  <c:v>590.00000000000011</c:v>
                </c:pt>
                <c:pt idx="1">
                  <c:v>690.00000000000011</c:v>
                </c:pt>
                <c:pt idx="2">
                  <c:v>840.00000000000011</c:v>
                </c:pt>
                <c:pt idx="3">
                  <c:v>880.00000000000011</c:v>
                </c:pt>
                <c:pt idx="4">
                  <c:v>920.00000000000011</c:v>
                </c:pt>
                <c:pt idx="5">
                  <c:v>960.00000000000011</c:v>
                </c:pt>
                <c:pt idx="6">
                  <c:v>1000.0000000000001</c:v>
                </c:pt>
              </c:numCache>
            </c:numRef>
          </c:xVal>
          <c:yVal>
            <c:numRef>
              <c:f>LoadShedders2!$I$2:$I$8</c:f>
              <c:numCache>
                <c:formatCode>0</c:formatCode>
                <c:ptCount val="7"/>
                <c:pt idx="0">
                  <c:v>7666.666666666667</c:v>
                </c:pt>
                <c:pt idx="1">
                  <c:v>5750</c:v>
                </c:pt>
                <c:pt idx="2">
                  <c:v>4600</c:v>
                </c:pt>
                <c:pt idx="3">
                  <c:v>1533.3333333333333</c:v>
                </c:pt>
                <c:pt idx="4">
                  <c:v>1150</c:v>
                </c:pt>
                <c:pt idx="5">
                  <c:v>920</c:v>
                </c:pt>
                <c:pt idx="6">
                  <c:v>657.14285714285711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69-436D-AF3E-E9A7C2E7D86F}"/>
            </c:ext>
          </c:extLst>
        </c:ser>
        <c:ser>
          <c:idx val="0"/>
          <c:order val="1"/>
          <c:tx>
            <c:strRef>
              <c:f>LoadShedders2!$J$1</c:f>
              <c:strCache>
                <c:ptCount val="1"/>
                <c:pt idx="0">
                  <c:v>corrected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LoadShedders2!$H$2:$H$8</c:f>
              <c:numCache>
                <c:formatCode>General</c:formatCode>
                <c:ptCount val="7"/>
                <c:pt idx="0">
                  <c:v>590.00000000000011</c:v>
                </c:pt>
                <c:pt idx="1">
                  <c:v>690.00000000000011</c:v>
                </c:pt>
                <c:pt idx="2">
                  <c:v>840.00000000000011</c:v>
                </c:pt>
                <c:pt idx="3">
                  <c:v>880.00000000000011</c:v>
                </c:pt>
                <c:pt idx="4">
                  <c:v>920.00000000000011</c:v>
                </c:pt>
                <c:pt idx="5">
                  <c:v>960.00000000000011</c:v>
                </c:pt>
                <c:pt idx="6">
                  <c:v>1000.0000000000001</c:v>
                </c:pt>
              </c:numCache>
            </c:numRef>
          </c:xVal>
          <c:yVal>
            <c:numRef>
              <c:f>LoadShedders2!$J$2:$J$8</c:f>
              <c:numCache>
                <c:formatCode>0</c:formatCode>
                <c:ptCount val="7"/>
                <c:pt idx="0">
                  <c:v>8000</c:v>
                </c:pt>
                <c:pt idx="1">
                  <c:v>5750</c:v>
                </c:pt>
                <c:pt idx="2">
                  <c:v>4600</c:v>
                </c:pt>
                <c:pt idx="3">
                  <c:v>1533.3333333333333</c:v>
                </c:pt>
                <c:pt idx="4">
                  <c:v>1150</c:v>
                </c:pt>
                <c:pt idx="5">
                  <c:v>920</c:v>
                </c:pt>
                <c:pt idx="6">
                  <c:v>657.14285714285711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69-436D-AF3E-E9A7C2E7D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47343"/>
        <c:axId val="111952687"/>
      </c:scatterChart>
      <c:valAx>
        <c:axId val="20533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952687"/>
        <c:crosses val="autoZero"/>
        <c:crossBetween val="midCat"/>
      </c:valAx>
      <c:valAx>
        <c:axId val="1119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33473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4</xdr:row>
      <xdr:rowOff>71437</xdr:rowOff>
    </xdr:from>
    <xdr:to>
      <xdr:col>19</xdr:col>
      <xdr:colOff>371475</xdr:colOff>
      <xdr:row>18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4E110-F6E5-1184-C7B5-04AA1F740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9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31" sqref="G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300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9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O1" s="7" t="s">
        <v>374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 s="11">
        <v>5</v>
      </c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>
        <v>5</v>
      </c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O4" s="11">
        <v>10</v>
      </c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O5" s="11">
        <v>5</v>
      </c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>
        <v>5</v>
      </c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>
        <v>5</v>
      </c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>
        <v>5</v>
      </c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>
        <v>0</v>
      </c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>
        <v>20</v>
      </c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>
        <v>3</v>
      </c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>
        <v>2</v>
      </c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O13" s="11">
        <v>1</v>
      </c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O14" s="11">
        <v>1</v>
      </c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O15" s="11">
        <v>20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O16" s="11">
        <v>3</v>
      </c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>
        <v>5</v>
      </c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>
        <v>5</v>
      </c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O19" s="11">
        <v>5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O20" s="11">
        <v>5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O21" s="11">
        <v>5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  <c r="O22" s="11">
        <v>5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  <c r="O23" s="11"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O25" s="11">
        <v>5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>
        <v>0</v>
      </c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>
        <v>0</v>
      </c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O28" s="11">
        <v>0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 s="11">
        <v>0</v>
      </c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O30" s="11">
        <v>0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 s="11">
        <v>0</v>
      </c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 s="11">
        <v>0</v>
      </c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 s="11">
        <v>0</v>
      </c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 s="11">
        <v>0</v>
      </c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 s="11">
        <v>0</v>
      </c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O36" s="11">
        <v>0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O37" s="11">
        <v>0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O38" s="11">
        <v>0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O39" s="11">
        <v>0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L16"/>
  <sheetViews>
    <sheetView workbookViewId="0">
      <selection activeCell="B2" sqref="B2:B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  <c r="G1" t="s">
        <v>482</v>
      </c>
    </row>
    <row r="2" spans="1:12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G2">
        <f>$J$11/B2</f>
        <v>10</v>
      </c>
      <c r="I2">
        <f>G2*B2</f>
        <v>40000</v>
      </c>
      <c r="J2" t="s">
        <v>300</v>
      </c>
    </row>
    <row r="3" spans="1:12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G3" s="18">
        <v>20</v>
      </c>
      <c r="H3" s="18"/>
      <c r="I3">
        <f t="shared" ref="I3:I5" si="0">G3*B3</f>
        <v>30000</v>
      </c>
      <c r="J3" t="s">
        <v>418</v>
      </c>
    </row>
    <row r="4" spans="1:12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G4">
        <v>100</v>
      </c>
      <c r="I4">
        <f t="shared" si="0"/>
        <v>50000</v>
      </c>
      <c r="J4" t="s">
        <v>419</v>
      </c>
    </row>
    <row r="5" spans="1:12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G5">
        <f t="shared" ref="G5" si="1">$J$11/B5</f>
        <v>160</v>
      </c>
      <c r="I5">
        <f t="shared" si="0"/>
        <v>40000</v>
      </c>
      <c r="J5" t="s">
        <v>420</v>
      </c>
      <c r="L5" t="s">
        <v>425</v>
      </c>
    </row>
    <row r="6" spans="1:12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G6">
        <v>1000</v>
      </c>
      <c r="J6" t="s">
        <v>423</v>
      </c>
      <c r="K6" s="18">
        <f>LoadShifterCap!B3*12</f>
        <v>51575940</v>
      </c>
      <c r="L6">
        <f>[1]nodeOLD!$C$34*0.74</f>
        <v>33.374000000000002</v>
      </c>
    </row>
    <row r="7" spans="1:12">
      <c r="E7" s="18"/>
      <c r="J7" t="s">
        <v>479</v>
      </c>
      <c r="K7">
        <f>K6*0.74</f>
        <v>38166195.600000001</v>
      </c>
    </row>
    <row r="8" spans="1:12">
      <c r="J8" s="18">
        <v>41070</v>
      </c>
      <c r="K8" t="s">
        <v>468</v>
      </c>
    </row>
    <row r="10" spans="1:12">
      <c r="J10" s="70" t="s">
        <v>481</v>
      </c>
    </row>
    <row r="11" spans="1:12">
      <c r="J11" s="70">
        <v>40000</v>
      </c>
    </row>
    <row r="16" spans="1:12">
      <c r="E16" s="2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rgb="FF7030A0"/>
  </sheetPr>
  <dimension ref="A1:P14"/>
  <sheetViews>
    <sheetView tabSelected="1" workbookViewId="0">
      <selection activeCell="I14" sqref="I14"/>
    </sheetView>
  </sheetViews>
  <sheetFormatPr defaultRowHeight="15"/>
  <cols>
    <col min="2" max="2" width="42.5703125" customWidth="1"/>
    <col min="3" max="3" width="56.42578125" customWidth="1"/>
    <col min="10" max="10" width="9.5703125" bestFit="1" customWidth="1"/>
  </cols>
  <sheetData>
    <row r="1" spans="1:16">
      <c r="A1" t="s">
        <v>0</v>
      </c>
      <c r="B1" t="s">
        <v>401</v>
      </c>
      <c r="C1" t="s">
        <v>429</v>
      </c>
      <c r="D1" t="s">
        <v>434</v>
      </c>
      <c r="E1" t="s">
        <v>424</v>
      </c>
      <c r="F1" t="s">
        <v>482</v>
      </c>
      <c r="I1" t="s">
        <v>485</v>
      </c>
      <c r="J1" t="s">
        <v>486</v>
      </c>
      <c r="P1" t="s">
        <v>484</v>
      </c>
    </row>
    <row r="2" spans="1:16">
      <c r="A2">
        <v>1</v>
      </c>
      <c r="B2" t="str">
        <f t="shared" ref="B2:B8" si="0">CONCATENATE("amiris-config/data/LS_",A2,".csv")</f>
        <v>amiris-config/data/LS_1.csv</v>
      </c>
      <c r="C2" t="str">
        <f t="shared" ref="C2:C8" si="1">CONCATENATE("amiris-config/data/future_LS_",A2,".csv")</f>
        <v>amiris-config/data/future_LS_1.csv</v>
      </c>
      <c r="D2" t="s">
        <v>86</v>
      </c>
      <c r="E2" s="61">
        <f>1-SUM(E3:E8)</f>
        <v>0.59000000000000008</v>
      </c>
      <c r="F2" s="18">
        <v>6</v>
      </c>
      <c r="H2">
        <f>E2*1000</f>
        <v>590.00000000000011</v>
      </c>
      <c r="I2" s="18">
        <f>$G$14/F2</f>
        <v>7666.666666666667</v>
      </c>
      <c r="J2" s="73">
        <v>8000</v>
      </c>
      <c r="K2">
        <f>J2*F2</f>
        <v>48000</v>
      </c>
    </row>
    <row r="3" spans="1:16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86</v>
      </c>
      <c r="E3" s="61">
        <v>0.1</v>
      </c>
      <c r="F3" s="18">
        <v>8</v>
      </c>
      <c r="H3">
        <f>E3*1000+H2</f>
        <v>690.00000000000011</v>
      </c>
      <c r="I3" s="18">
        <f t="shared" ref="I3:I8" si="2">$G$14/F3</f>
        <v>5750</v>
      </c>
      <c r="J3" s="73">
        <f t="shared" ref="J3:J4" si="3">$G$14/F3</f>
        <v>5750</v>
      </c>
      <c r="K3">
        <f t="shared" ref="K3:K8" si="4">J3*F3</f>
        <v>46000</v>
      </c>
    </row>
    <row r="4" spans="1:16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86</v>
      </c>
      <c r="E4" s="61">
        <v>0.15</v>
      </c>
      <c r="F4" s="18">
        <v>10</v>
      </c>
      <c r="H4">
        <f t="shared" ref="H4:H8" si="5">E4*1000+H3</f>
        <v>840.00000000000011</v>
      </c>
      <c r="I4" s="18">
        <f t="shared" si="2"/>
        <v>4600</v>
      </c>
      <c r="J4" s="73">
        <f t="shared" si="3"/>
        <v>4600</v>
      </c>
      <c r="K4">
        <f t="shared" si="4"/>
        <v>46000</v>
      </c>
    </row>
    <row r="5" spans="1:16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86</v>
      </c>
      <c r="E5" s="61">
        <v>0.04</v>
      </c>
      <c r="F5" s="18">
        <v>30</v>
      </c>
      <c r="H5">
        <f t="shared" si="5"/>
        <v>880.00000000000011</v>
      </c>
      <c r="I5" s="18">
        <f t="shared" si="2"/>
        <v>1533.3333333333333</v>
      </c>
      <c r="J5" s="73">
        <f>$G$14/F5</f>
        <v>1533.3333333333333</v>
      </c>
      <c r="K5">
        <f>J5*F5</f>
        <v>46000</v>
      </c>
    </row>
    <row r="6" spans="1:16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86</v>
      </c>
      <c r="E6" s="61">
        <v>0.04</v>
      </c>
      <c r="F6" s="18">
        <f>40</f>
        <v>40</v>
      </c>
      <c r="H6">
        <f t="shared" si="5"/>
        <v>920.00000000000011</v>
      </c>
      <c r="I6" s="18">
        <f t="shared" si="2"/>
        <v>1150</v>
      </c>
      <c r="J6" s="73">
        <f>$G$14/F6</f>
        <v>1150</v>
      </c>
      <c r="K6">
        <f t="shared" si="4"/>
        <v>46000</v>
      </c>
    </row>
    <row r="7" spans="1:16">
      <c r="A7">
        <v>6</v>
      </c>
      <c r="B7" t="str">
        <f t="shared" si="0"/>
        <v>amiris-config/data/LS_6.csv</v>
      </c>
      <c r="C7" t="str">
        <f t="shared" si="1"/>
        <v>amiris-config/data/future_LS_6.csv</v>
      </c>
      <c r="D7" t="s">
        <v>86</v>
      </c>
      <c r="E7" s="61">
        <v>0.04</v>
      </c>
      <c r="F7" s="18">
        <v>50</v>
      </c>
      <c r="H7">
        <f t="shared" si="5"/>
        <v>960.00000000000011</v>
      </c>
      <c r="I7" s="18">
        <f t="shared" si="2"/>
        <v>920</v>
      </c>
      <c r="J7" s="73">
        <f t="shared" ref="J7:J8" si="6">$G$14/F7</f>
        <v>920</v>
      </c>
      <c r="K7">
        <f t="shared" si="4"/>
        <v>46000</v>
      </c>
    </row>
    <row r="8" spans="1:16">
      <c r="A8">
        <v>7</v>
      </c>
      <c r="B8" t="str">
        <f t="shared" si="0"/>
        <v>amiris-config/data/LS_7.csv</v>
      </c>
      <c r="C8" t="str">
        <f t="shared" si="1"/>
        <v>amiris-config/data/future_LS_7.csv</v>
      </c>
      <c r="D8" t="s">
        <v>86</v>
      </c>
      <c r="E8" s="61">
        <v>0.04</v>
      </c>
      <c r="F8" s="18">
        <v>70</v>
      </c>
      <c r="H8">
        <f t="shared" si="5"/>
        <v>1000.0000000000001</v>
      </c>
      <c r="I8" s="18">
        <f t="shared" si="2"/>
        <v>657.14285714285711</v>
      </c>
      <c r="J8" s="73">
        <f t="shared" si="6"/>
        <v>657.14285714285711</v>
      </c>
      <c r="K8">
        <f t="shared" si="4"/>
        <v>46000</v>
      </c>
    </row>
    <row r="9" spans="1:16">
      <c r="A9" t="s">
        <v>124</v>
      </c>
      <c r="B9" t="s">
        <v>435</v>
      </c>
      <c r="C9" t="s">
        <v>448</v>
      </c>
      <c r="D9">
        <f>29090</f>
        <v>29090</v>
      </c>
      <c r="E9" t="s">
        <v>86</v>
      </c>
      <c r="I9" t="s">
        <v>86</v>
      </c>
      <c r="J9" s="18"/>
    </row>
    <row r="13" spans="1:16">
      <c r="G13" s="70" t="s">
        <v>481</v>
      </c>
      <c r="H13" s="71"/>
    </row>
    <row r="14" spans="1:16">
      <c r="G14" s="70">
        <v>46000</v>
      </c>
      <c r="H14" s="71"/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rgb="FF7030A0"/>
  </sheetPr>
  <dimension ref="A1:H10"/>
  <sheetViews>
    <sheetView workbookViewId="0">
      <selection activeCell="U8" sqref="U8"/>
    </sheetView>
  </sheetViews>
  <sheetFormatPr defaultRowHeight="15"/>
  <sheetData>
    <row r="1" spans="1: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>
      <c r="A2">
        <v>2050</v>
      </c>
      <c r="B2">
        <v>8000</v>
      </c>
      <c r="C2">
        <v>5750</v>
      </c>
      <c r="D2">
        <v>4600</v>
      </c>
      <c r="E2">
        <v>1533.3333333333333</v>
      </c>
      <c r="F2">
        <v>1150</v>
      </c>
      <c r="G2">
        <v>920</v>
      </c>
      <c r="H2">
        <v>657.14285714285711</v>
      </c>
    </row>
    <row r="9" spans="1:8">
      <c r="F9" s="61"/>
    </row>
    <row r="10" spans="1:8">
      <c r="E10" s="18"/>
      <c r="F10" s="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2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2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2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2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2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2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2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2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2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2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2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3"/>
  <sheetViews>
    <sheetView workbookViewId="0">
      <selection activeCell="M33" sqref="M33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20" customWidth="1"/>
    <col min="8" max="8" width="16.28515625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15" t="s">
        <v>483</v>
      </c>
    </row>
    <row r="2" spans="1:8">
      <c r="A2" s="15" t="s">
        <v>238</v>
      </c>
      <c r="B2" s="15">
        <v>0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  <c r="H2" s="15">
        <v>1</v>
      </c>
    </row>
    <row r="3" spans="1:8">
      <c r="A3" s="15" t="s">
        <v>243</v>
      </c>
      <c r="B3" s="15">
        <v>0</v>
      </c>
      <c r="C3" s="15">
        <v>0.02</v>
      </c>
      <c r="D3" s="15">
        <v>0.05</v>
      </c>
      <c r="E3" s="15">
        <v>40000</v>
      </c>
      <c r="F3" s="15" t="s">
        <v>1</v>
      </c>
      <c r="G3" s="15">
        <v>1</v>
      </c>
      <c r="H3" s="15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C3" sqref="C3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4000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LoadShedders2</vt:lpstr>
      <vt:lpstr>VOLL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2024-02-25T20:21:06Z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