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74DFE28-2903-4B6A-8725-1B3B50D31042}" xr6:coauthVersionLast="47" xr6:coauthVersionMax="47" xr10:uidLastSave="{00000000-0000-0000-0000-000000000000}"/>
  <bookViews>
    <workbookView xWindow="-21810" yWindow="17250" windowWidth="29040" windowHeight="17640" tabRatio="998" firstSheet="4" activeTab="4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CapacitySubscriptionConsumer" sheetId="70" r:id="rId8"/>
    <sheet name="CS_subscribed" sheetId="76" r:id="rId9"/>
    <sheet name="LoadShedders" sheetId="65" r:id="rId10"/>
    <sheet name="LSyearly" sheetId="69" r:id="rId11"/>
    <sheet name="peakLoad" sheetId="67" r:id="rId12"/>
    <sheet name="Fuels" sheetId="29" r:id="rId13"/>
    <sheet name="FuelPriceTrends" sheetId="30" r:id="rId14"/>
    <sheet name="CandidatePowerPlants" sheetId="45" r:id="rId15"/>
    <sheet name="TechnologiesEmlab" sheetId="33" r:id="rId16"/>
    <sheet name="TechnologyTrends" sheetId="63" r:id="rId17"/>
    <sheet name="EnergyProducers" sheetId="17" r:id="rId18"/>
    <sheet name="LoadShifterCap" sheetId="64" r:id="rId19"/>
    <sheet name="weatherYears40" sheetId="61" r:id="rId20"/>
    <sheet name="Dismantled" sheetId="49" r:id="rId21"/>
    <sheet name="derating" sheetId="74" r:id="rId22"/>
    <sheet name="VOLLs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4" hidden="1">CandidatePowerPlants!$A$1:$D$1</definedName>
    <definedName name="_xlnm._FilterDatabase" localSheetId="1" hidden="1">dictTech!$A$1:$C$1</definedName>
    <definedName name="_xlnm._FilterDatabase" localSheetId="17" hidden="1">EnergyProducers!#REF!</definedName>
    <definedName name="_xlnm._FilterDatabase" localSheetId="36" hidden="1">NewTechnologies!$A$1:$I$11</definedName>
    <definedName name="_xlnm._FilterDatabase" localSheetId="15" hidden="1">TechnologiesEmlab!$A$1:$I$23</definedName>
    <definedName name="_xlnm._FilterDatabase" localSheetId="22" hidden="1">VOLLs!$A$1:$D$1</definedName>
    <definedName name="ExternalData_19" localSheetId="12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5" l="1"/>
  <c r="D18" i="65" s="1"/>
  <c r="K4" i="64"/>
  <c r="B3" i="64"/>
  <c r="D3" i="76" l="1"/>
  <c r="D4" i="76"/>
  <c r="D5" i="76"/>
  <c r="D6" i="76"/>
  <c r="D7" i="76"/>
  <c r="D8" i="76"/>
  <c r="D2" i="76"/>
  <c r="C3" i="76"/>
  <c r="C4" i="76"/>
  <c r="C5" i="76"/>
  <c r="C6" i="76"/>
  <c r="C7" i="76"/>
  <c r="C8" i="76"/>
  <c r="B3" i="76"/>
  <c r="B4" i="76"/>
  <c r="B5" i="76"/>
  <c r="B6" i="76"/>
  <c r="B7" i="76"/>
  <c r="B8" i="76"/>
  <c r="B2" i="76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F2" i="76" l="1"/>
  <c r="F3" i="76"/>
  <c r="F4" i="76"/>
  <c r="F5" i="76"/>
  <c r="F6" i="76"/>
  <c r="B3" i="47"/>
  <c r="B2" i="47"/>
  <c r="A89" i="63"/>
  <c r="A67" i="63"/>
  <c r="A45" i="63"/>
  <c r="A24" i="63"/>
  <c r="A23" i="63"/>
  <c r="C2" i="69" l="1"/>
  <c r="I13" i="76"/>
  <c r="C2" i="76"/>
  <c r="H13" i="76"/>
  <c r="H7" i="70"/>
  <c r="F7" i="76"/>
  <c r="K2" i="76" s="1"/>
  <c r="F9" i="76"/>
  <c r="D10" i="65"/>
  <c r="C10" i="65"/>
  <c r="L3" i="72"/>
  <c r="L4" i="72"/>
  <c r="L5" i="72"/>
  <c r="L6" i="72"/>
  <c r="L2" i="72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F2" i="69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V22" i="33"/>
  <c r="V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V14" i="33"/>
  <c r="V15" i="33"/>
  <c r="V16" i="33"/>
  <c r="V17" i="33"/>
  <c r="V18" i="33"/>
  <c r="V2" i="33"/>
  <c r="V3" i="33"/>
  <c r="V6" i="33"/>
  <c r="V7" i="33"/>
  <c r="V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W18" i="33"/>
  <c r="W2" i="33"/>
  <c r="W19" i="33"/>
  <c r="W3" i="33"/>
  <c r="W14" i="33"/>
  <c r="W22" i="33"/>
  <c r="W23" i="33"/>
  <c r="W8" i="33"/>
  <c r="W16" i="33"/>
  <c r="W17" i="33"/>
  <c r="W15" i="33"/>
  <c r="W4" i="33"/>
  <c r="C3" i="18"/>
  <c r="S20" i="33"/>
  <c r="W20" i="33" s="1"/>
  <c r="T20" i="33"/>
  <c r="U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V4" i="33"/>
  <c r="V19" i="33" l="1"/>
  <c r="V8" i="33"/>
  <c r="V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N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O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<sst xmlns="http://schemas.openxmlformats.org/spreadsheetml/2006/main" count="1084" uniqueCount="524">
  <si>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</si>
  <si>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</si>
  <si>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</si>
  <si>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</si>
  <si>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</si>
  <si>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</si>
  <si>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</si>
  <si>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</si>
  <si>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</si>
  <si>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</si>
  <si>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</si>
  <si>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</si>
  <si>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</si>
  <si>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</si>
  <si>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</si>
  <si>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</si>
  <si>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</si>
  <si>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</si>
  <si>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</si>
  <si>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</si>
  <si>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</si>
  <si>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</si>
  <si>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</si>
  <si>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</si>
  <si>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</si>
  <si>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</si>
  <si>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</si>
  <si>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</si>
  <si>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</si>
  <si>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</si>
  <si>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</si>
  <si>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</si>
  <si>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</si>
  <si>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</si>
  <si>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</si>
  <si>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</si>
  <si>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</si>
  <si>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</si>
  <si>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</si>
  <si>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</si>
  <si>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</si>
  <si>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</si>
  <si>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</si>
  <si>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</si>
  <si>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</si>
  <si>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</si>
  <si>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</si>
  <si>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</si>
  <si>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</si>
  <si>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</si>
  <si>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</si>
  <si>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</si>
  <si>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</si>
  <si>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</si>
  <si>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</si>
  <si>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</si>
  <si>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</si>
  <si>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</si>
  <si>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</si>
  <si>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</si>
  <si>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</si>
  <si>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</si>
  <si>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</si>
  <si>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</si>
  <si>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</si>
  <si>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</si>
  <si>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</si>
  <si>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</si>
  <si>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</si>
  <si>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</si>
  <si>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</si>
  <si>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</si>
  <si>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</si>
  <si>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</si>
  <si>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</si>
  <si>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</si>
  <si>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</si>
  <si>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</si>
  <si>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</si>
  <si>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</si>
  <si>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</si>
  <si>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</si>
  <si>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</si>
  <si>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</si>
  <si>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</si>
  <si>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</si>
  <si>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</si>
  <si>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</si>
  <si>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</si>
  <si>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</si>
  <si>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</si>
  <si>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</si>
  <si>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</si>
  <si>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</si>
  <si>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</si>
  <si>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</si>
  <si>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</si>
  <si>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</si>
  <si>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</si>
  <si>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</si>
  <si>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</si>
  <si>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</si>
  <si>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</si>
  <si>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</si>
  <si>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</si>
  <si>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</si>
  <si>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</si>
  <si>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</si>
  <si>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</si>
  <si>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</si>
  <si>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</si>
  <si>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</si>
  <si>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</si>
  <si>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</si>
  <si>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</si>
  <si>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</si>
  <si>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</si>
  <si>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</si>
  <si>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</si>
  <si>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</si>
  <si>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</si>
  <si>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</si>
  <si>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</si>
  <si>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</si>
  <si>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</si>
  <si>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</si>
  <si>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</si>
  <si>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</si>
  <si>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</si>
  <si>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</si>
  <si>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</si>
  <si>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</si>
  <si>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</si>
  <si>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</si>
  <si>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</si>
  <si>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</si>
  <si>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</si>
  <si>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</si>
  <si>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</si>
  <si>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</si>
  <si>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</si>
  <si>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</si>
  <si>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</si>
  <si>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</si>
  <si>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</si>
  <si>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</si>
  <si>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</si>
  <si>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</si>
  <si>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</si>
  <si>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</si>
  <si>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</si>
  <si>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</si>
  <si>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</si>
  <si>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</si>
  <si>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</si>
  <si>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</si>
  <si>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</si>
  <si>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</si>
  <si>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</si>
  <si>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</si>
  <si>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</si>
  <si>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</si>
  <si>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</si>
  <si>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</si>
  <si>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</si>
  <si>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</si>
  <si>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</si>
  <si>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</si>
  <si>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</si>
  <si>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</si>
  <si>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</si>
  <si>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</si>
  <si>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</si>
  <si>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</si>
  <si>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</si>
  <si>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</si>
  <si>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</si>
  <si>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</si>
  <si>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</si>
  <si>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</si>
  <si>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</si>
  <si>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</si>
  <si>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</si>
  <si>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</si>
  <si>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</si>
  <si>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</si>
  <si>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</si>
  <si>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</si>
  <si>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</si>
  <si>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</si>
  <si>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</si>
  <si>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</si>
  <si>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</si>
  <si>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</si>
  <si>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</si>
  <si>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</si>
  <si>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</si>
  <si>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</si>
  <si>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</si>
  <si>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</si>
  <si>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</si>
  <si>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</si>
  <si>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</si>
  <si>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</si>
  <si>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</si>
  <si>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</si>
  <si>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</si>
  <si>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</si>
  <si>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</si>
  <si>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</si>
  <si>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</si>
  <si>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</si>
  <si>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</si>
  <si>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</si>
  <si>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</si>
  <si>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</si>
  <si>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</si>
  <si>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</si>
  <si>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</si>
  <si>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</si>
  <si>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</si>
  <si>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</si>
  <si>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</si>
  <si>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</si>
  <si>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</si>
  <si>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</si>
  <si>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</si>
  <si>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</si>
  <si>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</si>
  <si>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</si>
  <si>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</si>
  <si>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</si>
  <si>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</si>
  <si>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</si>
  <si>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</si>
  <si>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</si>
  <si>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</si>
  <si>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</si>
  <si>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</si>
  <si>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</si>
  <si>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</si>
  <si>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</si>
  <si>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</si>
  <si>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</si>
  <si>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</si>
  <si>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</si>
  <si>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</si>
  <si>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</si>
  <si>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</si>
  <si>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</si>
  <si>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</si>
  <si>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</si>
  <si>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</si>
  <si>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</si>
  <si>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</si>
  <si>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</si>
  <si>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</si>
  <si>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</si>
  <si>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</si>
  <si>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</si>
  <si>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</si>
  <si>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</si>
  <si>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</si>
  <si>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</si>
  <si>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</si>
  <si>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</si>
  <si>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</si>
  <si>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</si>
  <si>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</si>
  <si>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</si>
  <si>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</si>
  <si>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</si>
  <si>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</si>
  <si>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</si>
  <si>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</si>
  <si>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</si>
  <si>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</si>
  <si>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</si>
  <si>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</si>
  <si>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</si>
  <si>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</si>
  <si>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</si>
  <si>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</si>
  <si>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</si>
  <si>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</si>
  <si>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</si>
  <si>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</si>
  <si>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</si>
  <si>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</si>
  <si>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</si>
  <si>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</si>
  <si>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</si>
  <si>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</si>
  <si>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</si>
  <si>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</si>
  <si>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</si>
  <si>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</si>
  <si>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</si>
  <si>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</si>
  <si>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</si>
  <si>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</si>
  <si>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</si>
  <si>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</si>
  <si>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</si>
  <si>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</si>
  <si>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</si>
  <si>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</si>
  <si>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</si>
  <si>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</si>
  <si>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</si>
  <si>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</si>
  <si>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</si>
  <si>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</si>
  <si>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</si>
  <si>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</si>
  <si>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</si>
  <si>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</si>
  <si>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</si>
  <si>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</si>
  <si>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</si>
  <si>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</si>
  <si>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</si>
  <si>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</si>
  <si>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</si>
  <si>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</si>
  <si>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</si>
  <si>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</si>
  <si>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</si>
  <si>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</si>
  <si>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</si>
  <si>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</si>
  <si>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</si>
  <si>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</si>
  <si>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</si>
  <si>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</si>
  <si>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</si>
  <si>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</si>
  <si>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</si>
  <si>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</si>
  <si>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</si>
  <si>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</si>
  <si>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</si>
  <si>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</si>
  <si>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</si>
  <si>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</si>
  <si>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</si>
  <si>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</si>
  <si>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</si>
  <si>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</si>
  <si>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</si>
  <si>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</si>
  <si>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</si>
  <si>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</si>
  <si>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</si>
  <si>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</si>
  <si>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</si>
  <si>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</si>
  <si>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</si>
  <si>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</si>
  <si>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</si>
  <si>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</si>
  <si>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</si>
  <si>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</si>
  <si>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</si>
  <si>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</si>
  <si>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</si>
  <si>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</si>
  <si>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</si>
  <si>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</si>
  <si>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</si>
  <si>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</si>
  <si>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</si>
  <si>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</si>
  <si>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</si>
  <si>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</si>
  <si>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</si>
  <si>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</si>
  <si>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</si>
  <si>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</si>
  <si>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</si>
  <si>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</si>
  <si>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</si>
  <si>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</si>
  <si>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</si>
  <si>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</si>
  <si>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</si>
  <si>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</si>
  <si>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</si>
  <si>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</si>
  <si>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</si>
  <si>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</si>
  <si>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</si>
  <si>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</si>
  <si>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</si>
  <si>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</si>
  <si>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</si>
  <si>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</si>
  <si>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</si>
  <si>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</si>
  <si>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</si>
  <si>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</si>
  <si>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</si>
  <si>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</si>
  <si>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</si>
  <si>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</si>
  <si>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</si>
  <si>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</si>
  <si>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</si>
  <si>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</si>
  <si>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</si>
  <si>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</si>
  <si>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</si>
  <si>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</si>
  <si>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</si>
  <si>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</si>
  <si>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</si>
  <si>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</si>
  <si>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</si>
  <si>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</si>
  <si>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</si>
  <si>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</si>
  <si>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</si>
  <si>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</si>
  <si>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</si>
  <si>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</si>
  <si>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</si>
  <si>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</si>
  <si>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</si>
  <si>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</si>
  <si>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</si>
  <si>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</si>
  <si>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</si>
  <si>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</si>
  <si>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</si>
  <si>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</si>
  <si>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</si>
  <si>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</si>
  <si>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</si>
  <si>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</si>
  <si>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</si>
  <si>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</si>
  <si>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</si>
  <si>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</si>
  <si>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</si>
  <si>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</si>
  <si>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</si>
  <si>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</si>
  <si>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</si>
  <si>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</si>
  <si>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</si>
  <si>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</si>
  <si>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</si>
  <si>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</si>
  <si>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</si>
  <si>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</si>
  <si>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</si>
  <si>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</si>
  <si>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</si>
  <si>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</si>
  <si>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</si>
  <si>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</si>
  <si>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</si>
  <si>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</si>
  <si>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</si>
  <si>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</si>
  <si>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</si>
  <si>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</si>
  <si>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</si>
  <si>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</si>
  <si>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</si>
  <si>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</si>
  <si>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</si>
  <si>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</si>
  <si>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</si>
  <si>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</si>
  <si>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</si>
  <si>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</si>
  <si>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</si>
  <si>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</si>
  <si>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</si>
  <si>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</si>
  <si>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</si>
  <si>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</si>
  <si>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</si>
  <si>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</si>
  <si>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</si>
  <si>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</si>
  <si>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</si>
  <si>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</si>
  <si>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</si>
  <si>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</si>
  <si>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</si>
  <si>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</si>
  <si>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</si>
  <si>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</si>
  <si>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</si>
  <si>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</si>
  <si>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</si>
  <si>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</si>
  <si>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subscribed_volume</t>
  </si>
  <si>
    <t>hydrogen turbine,hydrogen OCGT,Lithium ion battery,Lithium ion battery 4,hydrogen CCGT</t>
  </si>
  <si>
    <t>InitialPrice</t>
  </si>
  <si>
    <t>pricap is used for capacity market and then rewritten</t>
  </si>
  <si>
    <t>initialprice is for CS</t>
  </si>
  <si>
    <t>low wtp</t>
  </si>
  <si>
    <t>high wtp</t>
  </si>
  <si>
    <t>no vres</t>
  </si>
  <si>
    <t>vres batteries</t>
  </si>
  <si>
    <t>vres</t>
  </si>
  <si>
    <t>23,3</t>
  </si>
  <si>
    <t>source</t>
  </si>
  <si>
    <t>Belgium</t>
  </si>
  <si>
    <t>Eur/kwh</t>
  </si>
  <si>
    <t>CMR regulation</t>
  </si>
  <si>
    <t>Nooij ecorys average</t>
  </si>
  <si>
    <t>ecorys</t>
  </si>
  <si>
    <t xml:space="preserve">industry,non energy intensive </t>
  </si>
  <si>
    <t xml:space="preserve">industry, energy intensive </t>
  </si>
  <si>
    <t xml:space="preserve">industry, non energy intensive </t>
  </si>
  <si>
    <t>Share volume</t>
  </si>
  <si>
    <t>novres</t>
  </si>
  <si>
    <t>&lt; to set CONE</t>
  </si>
  <si>
    <t>MWh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</si>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</sst>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N1" dT="2022-06-08T21:52:01.09" personId="{9E95C7A5-7FDF-48FF-95DD-9C4C7D0F3D8F}" id="{81BA12EC-87B6-4F63-88B8-8B70CD12E2EF}">
    <text>must be  at least 1, later change downpayment to</text>
  </threadedComment>
  <threadedComment ref="O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22" activePane="bottomLeft" state="frozen"/>
      <selection pane="bottomLeft" activeCell="K22" sqref="K22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8"/>
  <sheetViews>
    <sheetView zoomScale="85" zoomScaleNormal="85" workbookViewId="0">
      <selection activeCell="E39" sqref="E39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1500</v>
      </c>
      <c r="G3">
        <v>0.73</v>
      </c>
      <c r="H3" s="16"/>
      <c r="I3" s="16"/>
      <c r="K3" s="44"/>
      <c r="L3" s="53"/>
      <c r="M3" s="44"/>
    </row>
    <row r="4" spans="1:13">
      <c r="A4" s="13" t="s">
        <v>103</v>
      </c>
      <c r="B4" s="13" t="s">
        <v>370</v>
      </c>
      <c r="C4" s="13" t="s">
        <v>376</v>
      </c>
      <c r="D4" s="13">
        <f>37450</f>
        <v>37450</v>
      </c>
      <c r="E4" s="13"/>
    </row>
    <row r="5" spans="1:13">
      <c r="K5" s="44"/>
      <c r="L5" s="54"/>
      <c r="M5" s="54"/>
    </row>
    <row r="6" spans="1:13">
      <c r="K6" s="44"/>
      <c r="L6" s="54"/>
      <c r="M6" s="54"/>
    </row>
    <row r="7" spans="1:13">
      <c r="G7">
        <v>0.05</v>
      </c>
      <c r="K7" s="44"/>
      <c r="L7" s="44"/>
      <c r="M7" s="44"/>
    </row>
    <row r="8" spans="1:13">
      <c r="G8">
        <v>0.06</v>
      </c>
      <c r="K8" s="44"/>
      <c r="L8" s="44"/>
      <c r="M8" s="44"/>
    </row>
    <row r="9" spans="1:13" ht="17.45" customHeight="1">
      <c r="F9" s="16"/>
      <c r="H9" s="16"/>
      <c r="I9" s="16"/>
      <c r="K9" s="44"/>
      <c r="L9" s="53"/>
      <c r="M9" s="44"/>
    </row>
    <row r="10" spans="1:13" ht="17.45" customHeight="1">
      <c r="B10" s="18">
        <v>4</v>
      </c>
      <c r="C10" s="13" t="str">
        <f t="shared" ref="C10" si="2">CONCATENATE("amiris-config/data/LS_",B10,".csv")</f>
        <v>amiris-config/data/LS_4.csv</v>
      </c>
      <c r="D10" s="13" t="str">
        <f t="shared" ref="D10" si="3">CONCATENATE("amiris-config/data/future_LS_",B10,".csv")</f>
        <v>amiris-config/data/future_LS_4.csv</v>
      </c>
      <c r="E10" s="13" t="s">
        <v>69</v>
      </c>
      <c r="F10" s="34">
        <v>800</v>
      </c>
      <c r="H10" s="16"/>
      <c r="I10" s="16"/>
      <c r="K10" s="44"/>
      <c r="L10" s="53"/>
      <c r="M10" s="44"/>
    </row>
    <row r="11" spans="1:13">
      <c r="K11" s="44"/>
      <c r="L11" s="44"/>
      <c r="M11" s="44"/>
    </row>
    <row r="12" spans="1:13">
      <c r="K12" s="44"/>
      <c r="L12" s="44"/>
      <c r="M12" s="44"/>
    </row>
    <row r="17" spans="4:5">
      <c r="D17">
        <v>40000000</v>
      </c>
      <c r="E17" t="s">
        <v>522</v>
      </c>
    </row>
    <row r="18" spans="4:5">
      <c r="D18">
        <f>D17/D4</f>
        <v>1068.0907877169559</v>
      </c>
      <c r="E18" t="s">
        <v>523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F9"/>
  <sheetViews>
    <sheetView workbookViewId="0">
      <selection activeCell="C2" sqref="C2"/>
    </sheetView>
  </sheetViews>
  <sheetFormatPr defaultRowHeight="15"/>
  <cols>
    <col min="1" max="1" width="34.5703125" customWidth="1"/>
    <col min="2" max="2" width="16.7109375" customWidth="1"/>
  </cols>
  <sheetData>
    <row r="1" spans="1:6">
      <c r="A1" s="13" t="s">
        <v>359</v>
      </c>
      <c r="B1" s="13">
        <v>1</v>
      </c>
      <c r="C1" s="13">
        <v>2</v>
      </c>
      <c r="D1" s="13" t="s">
        <v>103</v>
      </c>
    </row>
    <row r="2" spans="1:6">
      <c r="A2" s="13">
        <v>2050</v>
      </c>
      <c r="B2" s="13">
        <f>SUM(CS_subscribed!B:B)</f>
        <v>0.89</v>
      </c>
      <c r="C2" s="13">
        <f>1-SUM(CapacitySubscriptionConsumer!C:C)</f>
        <v>0.10999999999999999</v>
      </c>
      <c r="D2" s="13" t="s">
        <v>69</v>
      </c>
      <c r="F2">
        <f>SUM(B2:C2)</f>
        <v>1</v>
      </c>
    </row>
    <row r="5" spans="1:6">
      <c r="D5" s="13">
        <v>4</v>
      </c>
    </row>
    <row r="6" spans="1:6">
      <c r="D6" s="13">
        <v>0.03</v>
      </c>
    </row>
    <row r="9" spans="1:6">
      <c r="C9" t="s">
        <v>494</v>
      </c>
      <c r="D9" t="s">
        <v>495</v>
      </c>
    </row>
  </sheetData>
  <conditionalFormatting sqref="F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E22" sqref="E22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300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400</v>
      </c>
    </row>
    <row r="5" spans="1:8">
      <c r="A5" s="13">
        <v>4</v>
      </c>
      <c r="B5" s="13" t="s">
        <v>382</v>
      </c>
      <c r="C5" s="13" t="b">
        <v>1</v>
      </c>
      <c r="D5" s="13">
        <v>300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400</v>
      </c>
    </row>
    <row r="9" spans="1:8">
      <c r="A9" s="13">
        <v>8</v>
      </c>
      <c r="B9" s="13" t="s">
        <v>498</v>
      </c>
      <c r="C9" s="13" t="b">
        <v>1</v>
      </c>
      <c r="D9" s="13">
        <v>300</v>
      </c>
    </row>
    <row r="10" spans="1:8">
      <c r="A10" s="13"/>
      <c r="B10" s="13"/>
      <c r="C10" s="13"/>
      <c r="D10" s="13"/>
    </row>
    <row r="12" spans="1:8">
      <c r="A12" s="13">
        <v>14</v>
      </c>
      <c r="B12" s="13" t="s">
        <v>41</v>
      </c>
      <c r="C12" s="13" t="b">
        <v>1</v>
      </c>
      <c r="D12" s="13">
        <v>1000</v>
      </c>
    </row>
    <row r="13" spans="1:8">
      <c r="A13" s="13">
        <v>9</v>
      </c>
      <c r="B13" s="13" t="s">
        <v>383</v>
      </c>
      <c r="C13" s="13" t="b">
        <v>1</v>
      </c>
      <c r="D13" s="13">
        <v>300</v>
      </c>
    </row>
    <row r="14" spans="1:8">
      <c r="H14" t="s">
        <v>409</v>
      </c>
    </row>
    <row r="18" spans="1:10">
      <c r="G18" s="13">
        <v>10</v>
      </c>
      <c r="H18" s="13" t="s">
        <v>67</v>
      </c>
      <c r="I18" s="13" t="b">
        <v>1</v>
      </c>
      <c r="J18" s="13">
        <v>300</v>
      </c>
    </row>
    <row r="19" spans="1:10">
      <c r="G19" s="13">
        <v>11</v>
      </c>
      <c r="H19" s="13" t="s">
        <v>154</v>
      </c>
      <c r="I19" s="13" t="b">
        <v>1</v>
      </c>
      <c r="J19" s="13">
        <v>100</v>
      </c>
    </row>
    <row r="20" spans="1:10">
      <c r="G20" s="13">
        <v>12</v>
      </c>
      <c r="H20" s="13" t="s">
        <v>388</v>
      </c>
      <c r="I20" s="13" t="b">
        <v>1</v>
      </c>
      <c r="J20" s="13">
        <v>300</v>
      </c>
    </row>
    <row r="21" spans="1:10">
      <c r="G21" s="13">
        <v>13</v>
      </c>
      <c r="H21" s="13" t="s">
        <v>389</v>
      </c>
      <c r="I21" s="13" t="b">
        <v>1</v>
      </c>
      <c r="J21" s="13">
        <v>500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O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38" sqref="Q38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5" width="14" customWidth="1"/>
    <col min="16" max="18" width="33.85546875" customWidth="1"/>
    <col min="19" max="19" width="18.42578125" customWidth="1"/>
    <col min="20" max="20" width="15.140625" customWidth="1"/>
    <col min="21" max="21" width="6.42578125" customWidth="1"/>
    <col min="22" max="22" width="15.140625" customWidth="1"/>
    <col min="23" max="23" width="11.140625" customWidth="1"/>
    <col min="24" max="24" width="15.140625" customWidth="1"/>
    <col min="25" max="27" width="10.140625" customWidth="1"/>
    <col min="28" max="30" width="8.42578125" customWidth="1"/>
    <col min="34" max="34" width="11.140625" customWidth="1"/>
    <col min="35" max="35" width="19.28515625" customWidth="1"/>
  </cols>
  <sheetData>
    <row r="1" spans="1:41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L1" t="s">
        <v>506</v>
      </c>
      <c r="M1" t="s">
        <v>507</v>
      </c>
      <c r="N1" s="55" t="s">
        <v>51</v>
      </c>
      <c r="O1" s="55" t="s">
        <v>52</v>
      </c>
      <c r="P1" s="55" t="s">
        <v>316</v>
      </c>
      <c r="Q1" t="s">
        <v>393</v>
      </c>
      <c r="R1" t="s">
        <v>211</v>
      </c>
      <c r="S1" s="5" t="s">
        <v>109</v>
      </c>
      <c r="T1" s="5" t="s">
        <v>110</v>
      </c>
      <c r="U1" s="5" t="s">
        <v>111</v>
      </c>
      <c r="V1" t="s">
        <v>121</v>
      </c>
      <c r="W1" t="s">
        <v>217</v>
      </c>
      <c r="X1" s="2" t="s">
        <v>128</v>
      </c>
      <c r="Y1" t="s">
        <v>113</v>
      </c>
      <c r="Z1" s="2" t="s">
        <v>115</v>
      </c>
      <c r="AA1" s="2" t="s">
        <v>115</v>
      </c>
      <c r="AB1" t="s">
        <v>61</v>
      </c>
      <c r="AC1" t="s">
        <v>62</v>
      </c>
      <c r="AD1" t="s">
        <v>47</v>
      </c>
      <c r="AE1" t="s">
        <v>48</v>
      </c>
      <c r="AF1" t="s">
        <v>49</v>
      </c>
      <c r="AG1" t="s">
        <v>50</v>
      </c>
      <c r="AI1" s="9" t="s">
        <v>350</v>
      </c>
      <c r="AJ1" s="9"/>
    </row>
    <row r="2" spans="1:41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K2" s="13">
        <v>6</v>
      </c>
      <c r="L2" s="65">
        <v>1</v>
      </c>
      <c r="M2" s="65">
        <v>1</v>
      </c>
      <c r="N2" s="13">
        <v>2</v>
      </c>
      <c r="O2" s="13">
        <v>2</v>
      </c>
      <c r="P2" s="13">
        <v>5</v>
      </c>
      <c r="Q2" s="64" t="s">
        <v>451</v>
      </c>
      <c r="R2" s="64">
        <v>0.92</v>
      </c>
      <c r="S2" s="9" t="b">
        <v>1</v>
      </c>
      <c r="T2" s="9">
        <v>1</v>
      </c>
      <c r="U2" s="9">
        <v>1</v>
      </c>
      <c r="V2">
        <f>D2+C2</f>
        <v>4</v>
      </c>
      <c r="W2" s="9">
        <f>IF(S2&lt;&gt;"",1,0)</f>
        <v>1</v>
      </c>
      <c r="X2" s="9" t="s">
        <v>125</v>
      </c>
      <c r="Y2" s="27" t="s">
        <v>117</v>
      </c>
      <c r="Z2" s="9">
        <v>600</v>
      </c>
      <c r="AA2" s="9"/>
      <c r="AB2" s="9" t="s">
        <v>73</v>
      </c>
      <c r="AC2" s="9" t="s">
        <v>74</v>
      </c>
      <c r="AD2" s="9">
        <v>0</v>
      </c>
      <c r="AE2" s="9">
        <v>1.5</v>
      </c>
      <c r="AF2" s="9">
        <v>33.9</v>
      </c>
      <c r="AG2" s="9">
        <v>0</v>
      </c>
      <c r="AH2" s="9"/>
      <c r="AI2" s="9"/>
      <c r="AJ2" s="9"/>
      <c r="AK2" s="9"/>
      <c r="AL2" s="9"/>
      <c r="AM2" s="9"/>
      <c r="AN2" s="9"/>
      <c r="AO2" s="9"/>
    </row>
    <row r="3" spans="1:41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 s="13">
        <v>6</v>
      </c>
      <c r="L3" s="65">
        <v>1</v>
      </c>
      <c r="M3" s="65">
        <v>1</v>
      </c>
      <c r="N3" s="13">
        <v>2</v>
      </c>
      <c r="O3" s="13">
        <v>2</v>
      </c>
      <c r="P3" s="13">
        <v>3</v>
      </c>
      <c r="Q3" s="64" t="s">
        <v>67</v>
      </c>
      <c r="R3" s="64">
        <v>0.91</v>
      </c>
      <c r="S3" s="9" t="b">
        <v>1</v>
      </c>
      <c r="T3" s="9">
        <v>1</v>
      </c>
      <c r="U3" s="9">
        <v>1</v>
      </c>
      <c r="V3">
        <f>D3+C3</f>
        <v>4</v>
      </c>
      <c r="W3" s="9">
        <f>IF(S3&lt;&gt;"",1,0)</f>
        <v>1</v>
      </c>
      <c r="X3" s="9" t="s">
        <v>125</v>
      </c>
      <c r="Y3" s="27" t="s">
        <v>116</v>
      </c>
      <c r="Z3" s="9">
        <v>500</v>
      </c>
      <c r="AB3" s="9" t="s">
        <v>71</v>
      </c>
      <c r="AC3" s="9" t="s">
        <v>72</v>
      </c>
      <c r="AD3" s="9">
        <v>0</v>
      </c>
      <c r="AE3" s="9">
        <v>0</v>
      </c>
      <c r="AF3" s="9">
        <v>6.3</v>
      </c>
      <c r="AG3" s="9">
        <v>0</v>
      </c>
      <c r="AH3"/>
      <c r="AK3"/>
    </row>
    <row r="4" spans="1:41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 s="13">
        <v>6</v>
      </c>
      <c r="L4" s="65">
        <v>1</v>
      </c>
      <c r="M4" s="65">
        <v>1</v>
      </c>
      <c r="N4" s="13">
        <v>1</v>
      </c>
      <c r="O4" s="13">
        <v>3</v>
      </c>
      <c r="P4" s="13">
        <v>5</v>
      </c>
      <c r="Q4" s="64"/>
      <c r="R4" s="64">
        <v>0.93</v>
      </c>
      <c r="S4" s="9" t="b">
        <v>1</v>
      </c>
      <c r="T4" s="9">
        <v>1</v>
      </c>
      <c r="U4" s="9">
        <v>1</v>
      </c>
      <c r="V4" s="9">
        <f>D4+C4</f>
        <v>4</v>
      </c>
      <c r="W4" s="9">
        <f t="shared" ref="W4" si="0">IF(S4&lt;&gt;"",1,0)</f>
        <v>1</v>
      </c>
      <c r="Y4" s="9" t="s">
        <v>114</v>
      </c>
      <c r="Z4" s="9">
        <v>500</v>
      </c>
      <c r="AA4" s="9">
        <v>500</v>
      </c>
      <c r="AB4" s="9" t="s">
        <v>63</v>
      </c>
      <c r="AC4" s="9" t="s">
        <v>64</v>
      </c>
      <c r="AD4" s="9">
        <v>0</v>
      </c>
      <c r="AE4" s="9">
        <v>2.2999999999999998</v>
      </c>
      <c r="AF4" s="9">
        <v>69.542579720367115</v>
      </c>
      <c r="AG4" s="9">
        <v>0</v>
      </c>
    </row>
    <row r="5" spans="1:41">
      <c r="A5" s="13" t="s">
        <v>498</v>
      </c>
      <c r="B5" s="13" t="s">
        <v>146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18">
        <v>1</v>
      </c>
      <c r="L5" s="65">
        <v>0</v>
      </c>
      <c r="M5" s="65">
        <v>0.25</v>
      </c>
    </row>
    <row r="6" spans="1:41" s="9" customFormat="1">
      <c r="A6" s="13" t="s">
        <v>386</v>
      </c>
      <c r="B6" s="13" t="s">
        <v>146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13">
        <v>1</v>
      </c>
      <c r="L6" s="65">
        <v>0</v>
      </c>
      <c r="M6" s="65">
        <v>0.16</v>
      </c>
      <c r="N6" s="57">
        <v>0</v>
      </c>
      <c r="O6" s="57">
        <v>1</v>
      </c>
      <c r="P6" s="13">
        <v>0</v>
      </c>
      <c r="Q6" s="65">
        <v>0.79</v>
      </c>
      <c r="R6" s="67">
        <v>0.56000000000000005</v>
      </c>
      <c r="S6"/>
      <c r="T6"/>
      <c r="U6"/>
      <c r="V6">
        <f t="shared" ref="V6:V7" si="1">D6+C6</f>
        <v>1</v>
      </c>
      <c r="W6"/>
      <c r="X6"/>
      <c r="Y6"/>
      <c r="Z6"/>
      <c r="AA6"/>
      <c r="AB6"/>
      <c r="AC6"/>
      <c r="AD6"/>
      <c r="AE6"/>
      <c r="AF6"/>
      <c r="AG6"/>
      <c r="AH6"/>
      <c r="AK6"/>
    </row>
    <row r="7" spans="1:41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1</v>
      </c>
      <c r="H7" s="13" t="s">
        <v>106</v>
      </c>
      <c r="I7" s="63">
        <v>0.08</v>
      </c>
      <c r="K7" s="13">
        <v>20</v>
      </c>
      <c r="L7" s="65">
        <v>1</v>
      </c>
      <c r="M7" s="65">
        <v>1</v>
      </c>
      <c r="N7" s="13">
        <v>2</v>
      </c>
      <c r="O7" s="13">
        <v>5</v>
      </c>
      <c r="P7" s="13">
        <v>10</v>
      </c>
      <c r="Q7" s="64"/>
      <c r="R7" s="64">
        <v>0.8</v>
      </c>
      <c r="V7">
        <f t="shared" si="1"/>
        <v>7</v>
      </c>
      <c r="AI7" s="9"/>
      <c r="AJ7" s="9"/>
    </row>
    <row r="8" spans="1:41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65">
        <v>0</v>
      </c>
      <c r="N8" s="13">
        <v>1</v>
      </c>
      <c r="O8" s="13">
        <v>1</v>
      </c>
      <c r="P8" s="13">
        <v>1</v>
      </c>
      <c r="Q8" s="64"/>
      <c r="R8" s="64">
        <v>0.01</v>
      </c>
      <c r="V8" t="e">
        <f>#REF!+#REF!</f>
        <v>#REF!</v>
      </c>
      <c r="W8">
        <f>IF(S8&lt;&gt;"",1,0)</f>
        <v>0</v>
      </c>
      <c r="X8" t="s">
        <v>126</v>
      </c>
      <c r="AB8" t="s">
        <v>66</v>
      </c>
      <c r="AC8" t="s">
        <v>68</v>
      </c>
      <c r="AD8">
        <v>8.52</v>
      </c>
      <c r="AE8">
        <v>6.11</v>
      </c>
      <c r="AF8">
        <v>32</v>
      </c>
      <c r="AG8">
        <v>14</v>
      </c>
    </row>
    <row r="9" spans="1:41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65">
        <v>0</v>
      </c>
      <c r="N9" s="13">
        <v>1</v>
      </c>
      <c r="O9" s="13">
        <v>1</v>
      </c>
      <c r="P9" s="13">
        <v>1</v>
      </c>
      <c r="Q9" s="64"/>
      <c r="R9" s="64">
        <v>0.01</v>
      </c>
    </row>
    <row r="10" spans="1:41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13">
        <v>5</v>
      </c>
      <c r="L10" s="65">
        <v>0</v>
      </c>
      <c r="M10" s="65">
        <v>0.06</v>
      </c>
      <c r="N10" s="13">
        <v>1</v>
      </c>
      <c r="O10" s="13">
        <v>2</v>
      </c>
      <c r="P10" s="13">
        <v>3</v>
      </c>
      <c r="Q10" s="64"/>
      <c r="R10" s="64">
        <v>0.13</v>
      </c>
    </row>
    <row r="11" spans="1:41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13">
        <v>4</v>
      </c>
      <c r="L11" s="65">
        <v>0</v>
      </c>
      <c r="M11" s="65">
        <v>0.12</v>
      </c>
      <c r="N11" s="13">
        <v>1</v>
      </c>
      <c r="O11" s="13">
        <v>2</v>
      </c>
      <c r="P11" s="13">
        <v>2</v>
      </c>
      <c r="Q11" s="64"/>
      <c r="R11" s="64">
        <v>0.09</v>
      </c>
    </row>
    <row r="12" spans="1:41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65">
        <v>0</v>
      </c>
      <c r="N12" s="13">
        <v>0</v>
      </c>
      <c r="O12" s="13">
        <v>0</v>
      </c>
      <c r="P12" s="13">
        <v>0</v>
      </c>
      <c r="Q12" s="64"/>
      <c r="R12" s="64">
        <v>0</v>
      </c>
    </row>
    <row r="13" spans="1:41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1</v>
      </c>
      <c r="H13" s="13" t="s">
        <v>105</v>
      </c>
      <c r="I13" s="63">
        <v>7.0000000000000007E-2</v>
      </c>
      <c r="J13" s="64"/>
      <c r="K13" s="13">
        <v>0</v>
      </c>
      <c r="L13" s="65">
        <v>1</v>
      </c>
      <c r="M13" s="65">
        <v>1</v>
      </c>
      <c r="N13" s="13">
        <v>0</v>
      </c>
      <c r="O13" s="13">
        <v>0</v>
      </c>
      <c r="P13" s="13">
        <v>0</v>
      </c>
      <c r="Q13" t="s">
        <v>426</v>
      </c>
      <c r="R13">
        <v>0</v>
      </c>
      <c r="S13" s="9"/>
      <c r="T13" s="9"/>
      <c r="U13" s="9"/>
    </row>
    <row r="14" spans="1:41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105</v>
      </c>
      <c r="I14" s="13">
        <v>7.0000000000000007E-2</v>
      </c>
      <c r="K14" s="13">
        <v>5</v>
      </c>
      <c r="L14" s="65">
        <v>1</v>
      </c>
      <c r="M14" s="65">
        <v>1</v>
      </c>
      <c r="N14" s="13">
        <v>1</v>
      </c>
      <c r="O14" s="13">
        <v>2</v>
      </c>
      <c r="P14" s="13">
        <v>5</v>
      </c>
      <c r="Q14" s="64"/>
      <c r="R14" s="64">
        <v>0.92</v>
      </c>
      <c r="S14" s="9" t="b">
        <v>1</v>
      </c>
      <c r="T14" s="9">
        <v>1</v>
      </c>
      <c r="U14" s="9">
        <v>1</v>
      </c>
      <c r="V14">
        <f t="shared" ref="V14:V23" si="2">D14+C14</f>
        <v>3</v>
      </c>
      <c r="W14" s="9">
        <f t="shared" ref="W14:W19" si="3">IF(S14&lt;&gt;"",1,0)</f>
        <v>1</v>
      </c>
      <c r="X14" s="9"/>
      <c r="Y14" s="9" t="s">
        <v>67</v>
      </c>
      <c r="Z14" s="9">
        <v>775</v>
      </c>
      <c r="AA14" s="9">
        <v>775</v>
      </c>
      <c r="AB14" s="9" t="s">
        <v>66</v>
      </c>
      <c r="AC14" s="9" t="s">
        <v>67</v>
      </c>
      <c r="AD14" s="9">
        <v>56.8</v>
      </c>
      <c r="AE14" s="9">
        <v>1.5</v>
      </c>
      <c r="AF14" s="9">
        <v>10.473234339905167</v>
      </c>
      <c r="AG14" s="9">
        <v>0</v>
      </c>
      <c r="AH14" s="9"/>
      <c r="AI14" s="9"/>
      <c r="AJ14" s="9"/>
      <c r="AK14" s="9"/>
    </row>
    <row r="15" spans="1:41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105</v>
      </c>
      <c r="I15" s="13">
        <v>7.0000000000000007E-2</v>
      </c>
      <c r="K15" s="13">
        <v>5</v>
      </c>
      <c r="L15" s="65">
        <v>1</v>
      </c>
      <c r="M15" s="65">
        <v>1</v>
      </c>
      <c r="N15" s="13">
        <v>1</v>
      </c>
      <c r="O15" s="13">
        <v>2</v>
      </c>
      <c r="P15" s="13">
        <v>5</v>
      </c>
      <c r="Q15" s="64"/>
      <c r="R15" s="64">
        <v>0.9</v>
      </c>
      <c r="S15" s="9" t="b">
        <v>1</v>
      </c>
      <c r="T15" s="9">
        <v>1</v>
      </c>
      <c r="U15" s="9">
        <v>1</v>
      </c>
      <c r="V15">
        <f t="shared" si="2"/>
        <v>3</v>
      </c>
      <c r="W15" s="9">
        <f t="shared" si="3"/>
        <v>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I15" s="9"/>
      <c r="AJ15" s="9"/>
    </row>
    <row r="16" spans="1:41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102</v>
      </c>
      <c r="I16" s="13">
        <v>7.0000000000000007E-2</v>
      </c>
      <c r="K16" s="13">
        <v>10</v>
      </c>
      <c r="L16" s="65">
        <v>1</v>
      </c>
      <c r="M16" s="65">
        <v>1</v>
      </c>
      <c r="N16" s="13">
        <v>1</v>
      </c>
      <c r="O16" s="13">
        <v>4</v>
      </c>
      <c r="P16" s="13">
        <v>5</v>
      </c>
      <c r="Q16" s="64"/>
      <c r="R16" s="64">
        <v>0.9</v>
      </c>
      <c r="S16" s="28" t="b">
        <v>0</v>
      </c>
      <c r="T16" s="28">
        <v>1</v>
      </c>
      <c r="U16" s="28">
        <v>1</v>
      </c>
      <c r="V16">
        <f t="shared" si="2"/>
        <v>5</v>
      </c>
      <c r="W16" s="9">
        <f t="shared" si="3"/>
        <v>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41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65">
        <v>0.9</v>
      </c>
      <c r="N17" s="13">
        <v>5</v>
      </c>
      <c r="O17" s="13">
        <v>5</v>
      </c>
      <c r="P17" s="13">
        <v>20</v>
      </c>
      <c r="Q17" s="64"/>
      <c r="R17" s="64">
        <v>0.9</v>
      </c>
      <c r="S17" s="28" t="b">
        <v>0</v>
      </c>
      <c r="T17" s="28">
        <v>1</v>
      </c>
      <c r="U17" s="28">
        <v>1</v>
      </c>
      <c r="V17">
        <f t="shared" si="2"/>
        <v>10</v>
      </c>
      <c r="W17" s="9">
        <f t="shared" si="3"/>
        <v>1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9"/>
      <c r="AJ17" s="9"/>
      <c r="AL17" s="9"/>
      <c r="AM17" s="9"/>
      <c r="AN17" s="9"/>
      <c r="AO17" s="9"/>
    </row>
    <row r="18" spans="1:41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103</v>
      </c>
      <c r="I18" s="13">
        <v>7.0000000000000007E-2</v>
      </c>
      <c r="K18" s="13">
        <v>5</v>
      </c>
      <c r="L18" s="65">
        <v>1</v>
      </c>
      <c r="M18" s="65">
        <v>1</v>
      </c>
      <c r="N18" s="13">
        <v>2</v>
      </c>
      <c r="O18" s="13">
        <v>2</v>
      </c>
      <c r="P18" s="13">
        <v>5</v>
      </c>
      <c r="Q18" s="64"/>
      <c r="R18" s="64">
        <v>0.92</v>
      </c>
      <c r="S18" s="9" t="b">
        <v>1</v>
      </c>
      <c r="T18" s="9">
        <v>1</v>
      </c>
      <c r="U18" s="9">
        <v>1</v>
      </c>
      <c r="V18">
        <f t="shared" si="2"/>
        <v>4</v>
      </c>
      <c r="W18" s="9">
        <f t="shared" si="3"/>
        <v>1</v>
      </c>
      <c r="X18" s="9" t="s">
        <v>125</v>
      </c>
      <c r="Y18" s="27" t="s">
        <v>118</v>
      </c>
      <c r="Z18" s="9">
        <v>600</v>
      </c>
      <c r="AA18" s="9"/>
      <c r="AB18" s="9" t="s">
        <v>73</v>
      </c>
      <c r="AC18" s="9" t="s">
        <v>75</v>
      </c>
      <c r="AD18" s="9">
        <v>0</v>
      </c>
      <c r="AE18" s="9">
        <v>2</v>
      </c>
      <c r="AF18" s="9">
        <v>47.8</v>
      </c>
      <c r="AG18" s="9">
        <v>0</v>
      </c>
      <c r="AH18" s="9"/>
      <c r="AI18" s="9"/>
      <c r="AJ18" s="9"/>
      <c r="AK18" s="9"/>
    </row>
    <row r="19" spans="1:41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65">
        <v>0.41</v>
      </c>
      <c r="N19" s="13">
        <v>5</v>
      </c>
      <c r="O19" s="13">
        <v>5</v>
      </c>
      <c r="P19" s="13">
        <v>20</v>
      </c>
      <c r="Q19" s="64"/>
      <c r="R19" s="64">
        <v>0.41</v>
      </c>
      <c r="V19">
        <f t="shared" si="2"/>
        <v>10</v>
      </c>
      <c r="W19">
        <f t="shared" si="3"/>
        <v>0</v>
      </c>
      <c r="X19" t="s">
        <v>125</v>
      </c>
      <c r="Y19" s="27"/>
      <c r="Z19" s="9"/>
      <c r="AA19" s="9"/>
      <c r="AB19" s="9"/>
      <c r="AC19" s="9"/>
      <c r="AD19" s="9"/>
      <c r="AE19" s="9"/>
      <c r="AF19" s="9"/>
      <c r="AG19" s="9"/>
      <c r="AI19" s="9"/>
      <c r="AJ19" s="9"/>
    </row>
    <row r="20" spans="1:41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104</v>
      </c>
      <c r="I20" s="13">
        <v>7.0000000000000007E-2</v>
      </c>
      <c r="J20"/>
      <c r="K20" s="13">
        <v>5</v>
      </c>
      <c r="L20" s="65">
        <v>1</v>
      </c>
      <c r="M20" s="65">
        <v>1</v>
      </c>
      <c r="N20" s="13">
        <v>1</v>
      </c>
      <c r="O20" s="13">
        <v>5</v>
      </c>
      <c r="P20" s="13">
        <v>5</v>
      </c>
      <c r="Q20" s="64"/>
      <c r="R20" s="64">
        <v>0.9</v>
      </c>
      <c r="S20" s="9" t="e">
        <f>#REF!</f>
        <v>#REF!</v>
      </c>
      <c r="T20" s="9" t="e">
        <f>#REF!</f>
        <v>#REF!</v>
      </c>
      <c r="U20" s="9" t="e">
        <f>#REF!</f>
        <v>#REF!</v>
      </c>
      <c r="V20">
        <f t="shared" si="2"/>
        <v>6</v>
      </c>
      <c r="W20" s="9" t="e">
        <f t="shared" ref="W20" si="4">IF(S20&lt;&gt;"",1,0)</f>
        <v>#REF!</v>
      </c>
      <c r="X20" s="9" t="s">
        <v>103</v>
      </c>
      <c r="AL20"/>
      <c r="AM20"/>
      <c r="AN20"/>
      <c r="AO20"/>
    </row>
    <row r="21" spans="1:41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105</v>
      </c>
      <c r="I21" s="13">
        <v>7.0000000000000007E-2</v>
      </c>
      <c r="K21" s="13">
        <v>5</v>
      </c>
      <c r="L21" s="65">
        <v>1</v>
      </c>
      <c r="M21" s="65">
        <v>1</v>
      </c>
      <c r="N21" s="13">
        <v>1</v>
      </c>
      <c r="O21" s="13">
        <v>2</v>
      </c>
      <c r="P21" s="13">
        <v>5</v>
      </c>
      <c r="Q21" s="64"/>
      <c r="R21" s="64">
        <v>0.91</v>
      </c>
      <c r="V21">
        <f t="shared" si="2"/>
        <v>3</v>
      </c>
      <c r="AI21" s="9"/>
      <c r="AJ21" s="9"/>
    </row>
    <row r="22" spans="1:41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414</v>
      </c>
      <c r="I22" s="13">
        <v>7.0000000000000007E-2</v>
      </c>
      <c r="J22"/>
      <c r="K22" s="13">
        <v>5</v>
      </c>
      <c r="L22" s="65">
        <v>1</v>
      </c>
      <c r="M22" s="65">
        <v>1</v>
      </c>
      <c r="N22" s="13">
        <v>1</v>
      </c>
      <c r="O22" s="13">
        <v>1</v>
      </c>
      <c r="P22" s="13">
        <v>5</v>
      </c>
      <c r="Q22" s="64"/>
      <c r="R22" s="64">
        <v>0.95</v>
      </c>
      <c r="S22" s="9" t="b">
        <v>1</v>
      </c>
      <c r="T22" s="9">
        <v>1</v>
      </c>
      <c r="U22" s="9">
        <v>1</v>
      </c>
      <c r="V22">
        <f t="shared" si="2"/>
        <v>2</v>
      </c>
      <c r="W22" s="9">
        <f>IF(S22&lt;&gt;"",1,0)</f>
        <v>1</v>
      </c>
      <c r="AK22"/>
      <c r="AL22"/>
      <c r="AM22"/>
      <c r="AN22"/>
      <c r="AO22"/>
    </row>
    <row r="23" spans="1:41">
      <c r="A23" s="61" t="s">
        <v>419</v>
      </c>
      <c r="B23" s="13" t="s">
        <v>146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65">
        <v>0.9</v>
      </c>
      <c r="N23" s="57">
        <v>3</v>
      </c>
      <c r="O23" s="57">
        <v>4</v>
      </c>
      <c r="P23" s="13">
        <v>20</v>
      </c>
      <c r="Q23" s="64"/>
      <c r="R23" s="64">
        <v>0.9</v>
      </c>
      <c r="S23" t="b">
        <v>1</v>
      </c>
      <c r="T23">
        <v>1</v>
      </c>
      <c r="U23">
        <v>1</v>
      </c>
      <c r="V23">
        <f t="shared" si="2"/>
        <v>7</v>
      </c>
      <c r="W23">
        <f>IF(S23&lt;&gt;"",1,0)</f>
        <v>1</v>
      </c>
      <c r="AJ23" s="9"/>
    </row>
    <row r="24" spans="1:41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Y24"/>
      <c r="Z24"/>
      <c r="AA24"/>
      <c r="AB24"/>
      <c r="AC24"/>
      <c r="AD24"/>
      <c r="AE24"/>
      <c r="AF24"/>
      <c r="AG24"/>
      <c r="AI24"/>
      <c r="AJ24"/>
    </row>
    <row r="25" spans="1:41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70" zoomScaleNormal="100" workbookViewId="0">
      <selection activeCell="B46" sqref="B46:B67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0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G18" sqref="G18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K4">
        <f>K3/1000000</f>
        <v>36.756965000000001</v>
      </c>
    </row>
    <row r="6" spans="1:14">
      <c r="J6" s="1" t="s">
        <v>486</v>
      </c>
      <c r="K6">
        <v>6155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F40" sqref="F40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T38" sqref="T38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54"/>
  <sheetViews>
    <sheetView topLeftCell="A7" zoomScale="85" zoomScaleNormal="85" workbookViewId="0">
      <selection activeCell="T48" sqref="T48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  <c r="AA1" t="s">
        <v>510</v>
      </c>
      <c r="AD1" t="s">
        <v>512</v>
      </c>
    </row>
    <row r="2" spans="1:30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475</v>
      </c>
      <c r="U2">
        <v>33500</v>
      </c>
      <c r="V2">
        <f>U2*1.5</f>
        <v>50250</v>
      </c>
      <c r="AA2" t="s">
        <v>513</v>
      </c>
      <c r="AB2">
        <v>2017</v>
      </c>
      <c r="AC2" t="s">
        <v>511</v>
      </c>
      <c r="AD2" t="s">
        <v>509</v>
      </c>
    </row>
    <row r="3" spans="1:30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473</v>
      </c>
      <c r="U3">
        <v>18700</v>
      </c>
      <c r="V3">
        <f t="shared" ref="V3" si="5">U3*1.5</f>
        <v>28050</v>
      </c>
    </row>
    <row r="4" spans="1:30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354</v>
      </c>
      <c r="U4">
        <v>16380</v>
      </c>
      <c r="V4">
        <f>U4*1.5</f>
        <v>24570</v>
      </c>
    </row>
    <row r="5" spans="1:30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474</v>
      </c>
      <c r="U5">
        <v>12420</v>
      </c>
      <c r="V5">
        <f>U5*1.5</f>
        <v>18630</v>
      </c>
    </row>
    <row r="6" spans="1:30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  <c r="T9" s="13"/>
      <c r="U9" s="13" t="s">
        <v>438</v>
      </c>
      <c r="V9" s="13" t="s">
        <v>515</v>
      </c>
      <c r="W9" s="13" t="s">
        <v>437</v>
      </c>
      <c r="X9" s="13" t="s">
        <v>514</v>
      </c>
    </row>
    <row r="10" spans="1:30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436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470</v>
      </c>
      <c r="T11" s="13" t="s">
        <v>435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434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452</v>
      </c>
      <c r="T13" s="13" t="s">
        <v>516</v>
      </c>
      <c r="U13" s="13">
        <f t="shared" si="10"/>
        <v>31</v>
      </c>
      <c r="V13" s="13">
        <v>73186</v>
      </c>
      <c r="W13" s="13">
        <v>5</v>
      </c>
      <c r="X13" s="34">
        <f t="shared" ref="X13" si="11">AVERAGE(V13,$V$3)</f>
        <v>50618</v>
      </c>
    </row>
    <row r="14" spans="1:30">
      <c r="A14" t="s">
        <v>445</v>
      </c>
      <c r="O14" s="16">
        <v>80</v>
      </c>
      <c r="P14" s="16">
        <f>O14</f>
        <v>80</v>
      </c>
      <c r="Q14">
        <v>4000</v>
      </c>
      <c r="T14" s="13" t="s">
        <v>517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431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444</v>
      </c>
      <c r="O16" s="16">
        <v>5</v>
      </c>
      <c r="P16" s="16">
        <f t="shared" ref="P16:P17" si="12">O16+P15</f>
        <v>95</v>
      </c>
      <c r="Q16">
        <v>500</v>
      </c>
      <c r="T16" s="13" t="s">
        <v>429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430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428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455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456</v>
      </c>
    </row>
    <row r="33" spans="1:24">
      <c r="O33" s="16">
        <v>5</v>
      </c>
      <c r="P33" s="16">
        <f t="shared" ref="P33:P34" si="13">O33+P32</f>
        <v>95</v>
      </c>
      <c r="Q33">
        <v>500</v>
      </c>
    </row>
    <row r="34" spans="1:24">
      <c r="O34" s="16">
        <v>5</v>
      </c>
      <c r="P34" s="16">
        <f t="shared" si="13"/>
        <v>100</v>
      </c>
      <c r="Q34">
        <v>250</v>
      </c>
    </row>
    <row r="37" spans="1:24">
      <c r="V37" s="13"/>
      <c r="W37" s="13" t="s">
        <v>341</v>
      </c>
      <c r="X37" s="13" t="s">
        <v>519</v>
      </c>
    </row>
    <row r="38" spans="1:24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  <c r="V38" s="13" t="s">
        <v>436</v>
      </c>
      <c r="W38" s="13">
        <v>78082</v>
      </c>
      <c r="X38" s="13">
        <v>4</v>
      </c>
    </row>
    <row r="39" spans="1:24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  <c r="V39" s="13" t="s">
        <v>435</v>
      </c>
      <c r="W39" s="13">
        <v>75286.5</v>
      </c>
      <c r="X39" s="13">
        <v>9</v>
      </c>
    </row>
    <row r="40" spans="1:24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  <c r="V40" s="13" t="s">
        <v>434</v>
      </c>
      <c r="W40" s="13">
        <v>56496</v>
      </c>
      <c r="X40" s="13">
        <v>13</v>
      </c>
    </row>
    <row r="41" spans="1:24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  <c r="V41" s="13" t="s">
        <v>516</v>
      </c>
      <c r="W41" s="13">
        <v>50618</v>
      </c>
      <c r="X41" s="13">
        <v>5</v>
      </c>
    </row>
    <row r="42" spans="1:24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  <c r="V42" s="13" t="s">
        <v>517</v>
      </c>
      <c r="W42" s="13">
        <v>44904</v>
      </c>
      <c r="X42" s="13">
        <v>28</v>
      </c>
    </row>
    <row r="43" spans="1:24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  <c r="V43" s="13" t="s">
        <v>431</v>
      </c>
      <c r="W43" s="13">
        <v>33635</v>
      </c>
      <c r="X43" s="13">
        <v>9</v>
      </c>
    </row>
    <row r="44" spans="1:24">
      <c r="V44" s="13" t="s">
        <v>429</v>
      </c>
      <c r="W44" s="13">
        <v>28646.5</v>
      </c>
      <c r="X44" s="13">
        <v>21</v>
      </c>
    </row>
    <row r="45" spans="1:24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  <c r="V45" s="13" t="s">
        <v>430</v>
      </c>
      <c r="W45" s="13">
        <v>27499.5</v>
      </c>
      <c r="X45" s="13">
        <v>8</v>
      </c>
    </row>
    <row r="46" spans="1:24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  <c r="V46" s="13" t="s">
        <v>428</v>
      </c>
      <c r="W46" s="13">
        <v>19207.5</v>
      </c>
      <c r="X46" s="13">
        <v>3</v>
      </c>
    </row>
    <row r="47" spans="1:24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4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>
        <f t="shared" ref="K48:K54" si="16">J2</f>
        <v>102043.30769230769</v>
      </c>
      <c r="M48" s="16">
        <f t="shared" ref="M48:M54" si="17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>
        <f t="shared" si="16"/>
        <v>84942</v>
      </c>
      <c r="M49" s="16">
        <f t="shared" si="17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>
        <f t="shared" si="16"/>
        <v>63489.515151515152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>
        <f t="shared" si="16"/>
        <v>42700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>
        <f t="shared" si="16"/>
        <v>32723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>
        <f t="shared" si="16"/>
        <v>30429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>
        <f t="shared" si="16"/>
        <v>19785</v>
      </c>
      <c r="M54" s="16">
        <f t="shared" si="17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G26" sqref="G26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O10"/>
  <sheetViews>
    <sheetView tabSelected="1" topLeftCell="C1" zoomScale="123" workbookViewId="0">
      <selection activeCell="M23" sqref="M23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5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501</v>
      </c>
      <c r="G1" s="13" t="s">
        <v>31</v>
      </c>
      <c r="H1" s="13" t="s">
        <v>214</v>
      </c>
      <c r="I1" s="13" t="s">
        <v>476</v>
      </c>
      <c r="J1" s="13" t="s">
        <v>395</v>
      </c>
      <c r="K1" s="13" t="s">
        <v>380</v>
      </c>
      <c r="L1" s="13" t="s">
        <v>478</v>
      </c>
      <c r="M1" s="13" t="s">
        <v>450</v>
      </c>
      <c r="O1" t="s">
        <v>521</v>
      </c>
    </row>
    <row r="2" spans="1:15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164</v>
      </c>
      <c r="I2" s="13" t="b">
        <v>0</v>
      </c>
      <c r="J2" s="13">
        <v>1</v>
      </c>
      <c r="K2" s="13">
        <v>1</v>
      </c>
      <c r="L2" s="13">
        <v>1</v>
      </c>
      <c r="M2" s="13" t="s">
        <v>500</v>
      </c>
    </row>
    <row r="3" spans="1:15">
      <c r="A3" s="13" t="s">
        <v>213</v>
      </c>
      <c r="B3" s="13">
        <v>0</v>
      </c>
      <c r="C3" s="13">
        <v>26500</v>
      </c>
      <c r="D3" s="13">
        <v>0.05</v>
      </c>
      <c r="E3" s="13">
        <v>0.05</v>
      </c>
      <c r="F3" s="13">
        <v>9000</v>
      </c>
      <c r="G3" s="13">
        <v>40000</v>
      </c>
      <c r="H3" s="13" t="s">
        <v>1</v>
      </c>
      <c r="I3" s="13" t="b">
        <v>0</v>
      </c>
      <c r="J3" s="65">
        <v>1.5</v>
      </c>
      <c r="K3" s="13">
        <v>1</v>
      </c>
      <c r="L3" s="13">
        <v>1</v>
      </c>
      <c r="M3" s="13" t="s">
        <v>500</v>
      </c>
    </row>
    <row r="4" spans="1:15">
      <c r="A4" s="13" t="s">
        <v>477</v>
      </c>
      <c r="B4" s="13">
        <v>0</v>
      </c>
      <c r="C4" s="13">
        <v>26500</v>
      </c>
      <c r="D4" s="13">
        <v>0.05</v>
      </c>
      <c r="E4" s="13">
        <v>0.05</v>
      </c>
      <c r="F4" s="13">
        <v>9000</v>
      </c>
      <c r="G4" s="13">
        <v>40000</v>
      </c>
      <c r="H4" s="13" t="s">
        <v>1</v>
      </c>
      <c r="I4" s="13" t="b">
        <v>1</v>
      </c>
      <c r="J4" s="13">
        <v>1.5</v>
      </c>
      <c r="K4" s="13">
        <v>1</v>
      </c>
      <c r="L4" s="13">
        <v>15</v>
      </c>
      <c r="M4" s="13" t="s">
        <v>500</v>
      </c>
    </row>
    <row r="6" spans="1:15">
      <c r="E6" t="s">
        <v>508</v>
      </c>
      <c r="G6" t="s">
        <v>502</v>
      </c>
    </row>
    <row r="7" spans="1:15">
      <c r="D7" s="13">
        <v>26776</v>
      </c>
      <c r="E7" t="s">
        <v>481</v>
      </c>
      <c r="F7" t="s">
        <v>503</v>
      </c>
    </row>
    <row r="8" spans="1:15">
      <c r="D8" s="13">
        <v>26500</v>
      </c>
      <c r="E8" t="s">
        <v>480</v>
      </c>
    </row>
    <row r="9" spans="1:15">
      <c r="D9">
        <v>20000</v>
      </c>
      <c r="E9" t="s">
        <v>520</v>
      </c>
    </row>
    <row r="10" spans="1:15">
      <c r="M10" s="13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workbookViewId="0">
      <selection activeCell="H14" sqref="H1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5" spans="1:11">
      <c r="B5">
        <v>3880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E25" sqref="E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H32" sqref="H32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0</v>
      </c>
      <c r="B1" s="73" t="s">
        <v>488</v>
      </c>
      <c r="C1" s="13" t="s">
        <v>489</v>
      </c>
      <c r="F1" t="s">
        <v>504</v>
      </c>
      <c r="G1" t="s">
        <v>505</v>
      </c>
    </row>
    <row r="2" spans="1:12">
      <c r="A2" s="73" t="s">
        <v>436</v>
      </c>
      <c r="B2" s="77">
        <v>78082</v>
      </c>
      <c r="C2" s="13">
        <v>0.04</v>
      </c>
      <c r="E2" s="13" t="s">
        <v>439</v>
      </c>
      <c r="F2">
        <v>50000</v>
      </c>
      <c r="G2" s="77">
        <v>102043.30769230769</v>
      </c>
    </row>
    <row r="3" spans="1:12">
      <c r="A3" s="73" t="s">
        <v>435</v>
      </c>
      <c r="B3" s="77">
        <v>75286.5</v>
      </c>
      <c r="C3" s="13">
        <v>0.09</v>
      </c>
      <c r="E3" s="13" t="s">
        <v>434</v>
      </c>
      <c r="F3">
        <v>40000</v>
      </c>
      <c r="G3" s="77">
        <v>84942</v>
      </c>
    </row>
    <row r="4" spans="1:12">
      <c r="A4" s="73" t="s">
        <v>434</v>
      </c>
      <c r="B4" s="77">
        <v>56496</v>
      </c>
      <c r="C4" s="13">
        <v>0.13</v>
      </c>
      <c r="E4" s="13" t="s">
        <v>440</v>
      </c>
      <c r="F4">
        <v>30000</v>
      </c>
      <c r="G4" s="77">
        <v>63489.515151515152</v>
      </c>
    </row>
    <row r="5" spans="1:12">
      <c r="A5" s="73" t="s">
        <v>518</v>
      </c>
      <c r="B5" s="77">
        <v>50618</v>
      </c>
      <c r="C5" s="13">
        <v>0.05</v>
      </c>
      <c r="E5" s="13" t="s">
        <v>431</v>
      </c>
      <c r="F5">
        <v>20000</v>
      </c>
      <c r="G5" s="77">
        <v>42700</v>
      </c>
    </row>
    <row r="6" spans="1:12">
      <c r="A6" s="73" t="s">
        <v>517</v>
      </c>
      <c r="B6" s="77">
        <v>44904</v>
      </c>
      <c r="C6" s="13">
        <v>0.28000000000000003</v>
      </c>
      <c r="E6" s="13" t="s">
        <v>429</v>
      </c>
      <c r="F6">
        <v>10000</v>
      </c>
      <c r="G6" s="77">
        <v>32723</v>
      </c>
      <c r="H6" t="s">
        <v>493</v>
      </c>
    </row>
    <row r="7" spans="1:12">
      <c r="A7" s="73" t="s">
        <v>431</v>
      </c>
      <c r="B7" s="34">
        <v>33635</v>
      </c>
      <c r="C7" s="13">
        <v>0.09</v>
      </c>
      <c r="H7">
        <f>SUM(C2:C8)</f>
        <v>0.89</v>
      </c>
      <c r="J7" s="13" t="s">
        <v>430</v>
      </c>
      <c r="K7" s="34">
        <v>30429</v>
      </c>
      <c r="L7" s="13">
        <v>0.08</v>
      </c>
    </row>
    <row r="8" spans="1:12">
      <c r="A8" s="73" t="s">
        <v>429</v>
      </c>
      <c r="B8" s="34">
        <v>28646.5</v>
      </c>
      <c r="C8" s="13">
        <v>0.21</v>
      </c>
      <c r="J8" s="13" t="s">
        <v>428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L15"/>
  <sheetViews>
    <sheetView zoomScale="85" zoomScaleNormal="85" workbookViewId="0">
      <selection activeCell="B2" sqref="B2:B8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8" width="17.85546875" customWidth="1"/>
  </cols>
  <sheetData>
    <row r="1" spans="1:12">
      <c r="A1" s="13" t="s">
        <v>0</v>
      </c>
      <c r="B1" s="75" t="s">
        <v>491</v>
      </c>
      <c r="C1" s="75" t="s">
        <v>492</v>
      </c>
      <c r="D1" s="75" t="s">
        <v>499</v>
      </c>
      <c r="F1" t="s">
        <v>490</v>
      </c>
    </row>
    <row r="2" spans="1:12">
      <c r="A2" s="73" t="s">
        <v>436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F2" s="13">
        <f>G2/100</f>
        <v>0.13</v>
      </c>
      <c r="G2">
        <v>13</v>
      </c>
      <c r="J2" s="13" t="s">
        <v>430</v>
      </c>
      <c r="K2" s="13">
        <f>F7-0.05</f>
        <v>0.03</v>
      </c>
      <c r="L2" s="75">
        <v>0</v>
      </c>
    </row>
    <row r="3" spans="1:12">
      <c r="A3" s="73" t="s">
        <v>435</v>
      </c>
      <c r="B3" s="13">
        <f>CapacitySubscriptionConsumer!C3</f>
        <v>0.09</v>
      </c>
      <c r="C3" s="78">
        <f>CapacitySubscriptionConsumer!B3</f>
        <v>75286.5</v>
      </c>
      <c r="D3" s="78">
        <f t="shared" ref="D3:D8" si="0">+B3*20000</f>
        <v>1800</v>
      </c>
      <c r="F3" s="13">
        <f t="shared" ref="F3:F6" si="1">G3/100</f>
        <v>0.13</v>
      </c>
      <c r="G3">
        <v>13</v>
      </c>
      <c r="J3" s="13" t="s">
        <v>428</v>
      </c>
      <c r="K3" s="13">
        <v>0</v>
      </c>
      <c r="L3" s="75">
        <v>0</v>
      </c>
    </row>
    <row r="4" spans="1:12">
      <c r="A4" s="73" t="s">
        <v>434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F4" s="13">
        <f t="shared" si="1"/>
        <v>0.33</v>
      </c>
      <c r="G4">
        <v>33</v>
      </c>
    </row>
    <row r="5" spans="1:12">
      <c r="A5" s="73" t="s">
        <v>518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F5" s="13">
        <f t="shared" si="1"/>
        <v>0.09</v>
      </c>
      <c r="G5">
        <v>9</v>
      </c>
    </row>
    <row r="6" spans="1:12">
      <c r="A6" s="73" t="s">
        <v>517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F6" s="13">
        <f t="shared" si="1"/>
        <v>0.21</v>
      </c>
      <c r="G6">
        <v>21</v>
      </c>
    </row>
    <row r="7" spans="1:12">
      <c r="A7" s="73" t="s">
        <v>431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F7" s="13">
        <f>G7/100</f>
        <v>0.08</v>
      </c>
      <c r="G7">
        <v>8</v>
      </c>
    </row>
    <row r="8" spans="1:12">
      <c r="A8" s="73" t="s">
        <v>429</v>
      </c>
      <c r="B8" s="13">
        <f>CapacitySubscriptionConsumer!C8</f>
        <v>0.21</v>
      </c>
      <c r="C8" s="78">
        <f>CapacitySubscriptionConsumer!B8</f>
        <v>28646.5</v>
      </c>
      <c r="D8" s="78">
        <f t="shared" si="0"/>
        <v>4200</v>
      </c>
    </row>
    <row r="9" spans="1:12">
      <c r="F9" s="13">
        <f>G9/100</f>
        <v>0.03</v>
      </c>
      <c r="G9">
        <v>3</v>
      </c>
    </row>
    <row r="13" spans="1:12">
      <c r="G13" s="13" t="s">
        <v>430</v>
      </c>
      <c r="H13" s="13">
        <f>CapacitySubscriptionConsumer!C8-0.04</f>
        <v>0.16999999999999998</v>
      </c>
      <c r="I13" s="78">
        <f>CapacitySubscriptionConsumer!B8</f>
        <v>28646.5</v>
      </c>
    </row>
    <row r="14" spans="1:12">
      <c r="G14" s="13" t="s">
        <v>428</v>
      </c>
      <c r="H14" s="13">
        <v>0.03</v>
      </c>
      <c r="I14" s="75">
        <v>0</v>
      </c>
    </row>
    <row r="15" spans="1:12">
      <c r="H15" s="76"/>
      <c r="I15" s="7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CapacitySubscriptionConsumer</vt:lpstr>
      <vt:lpstr>CS_subscribed</vt:lpstr>
      <vt:lpstr>LoadShedders</vt:lpstr>
      <vt:lpstr>LSyearly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LoadShifterCap</vt:lpstr>
      <vt:lpstr>weatherYears40</vt:lpstr>
      <vt:lpstr>Dismantled</vt:lpstr>
      <vt:lpstr>derating</vt:lpstr>
      <vt:lpstr>VOLLs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2024-07-24T09:35:57Z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