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DD8AE07-6F1B-40C3-8CC8-B5263479A0EB}" xr6:coauthVersionLast="47" xr6:coauthVersionMax="47" xr10:uidLastSave="{00000000-0000-0000-0000-000000000000}"/>
  <bookViews>
    <workbookView xWindow="-57720" yWindow="-3480" windowWidth="29040" windowHeight="17640" tabRatio="998" firstSheet="8" activeTab="1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derating" sheetId="74" r:id="rId14"/>
    <sheet name="TechnologyTrends" sheetId="63" r:id="rId15"/>
    <sheet name="EnergyProducers" sheetId="17" r:id="rId16"/>
    <sheet name="LoadShifterCap" sheetId="64" r:id="rId17"/>
    <sheet name="LoadShedders_feb24" sheetId="73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2" sheetId="68" r:id="rId24"/>
    <sheet name="LoadShedders_copy" sheetId="71" r:id="rId25"/>
    <sheet name="dictvariables" sheetId="43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weatherYearsOLD" sheetId="66" r:id="rId33"/>
    <sheet name="sources" sheetId="54" r:id="rId34"/>
    <sheet name="NewTechnologies" sheetId="35" r:id="rId35"/>
  </sheets>
  <externalReferences>
    <externalReference r:id="rId36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5" hidden="1">EnergyProducers!#REF!</definedName>
    <definedName name="_xlnm._FilterDatabase" localSheetId="22" hidden="1">LS_NL!$A$1:$D$1</definedName>
    <definedName name="_xlnm._FilterDatabase" localSheetId="34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72" l="1"/>
  <c r="J49" i="72"/>
  <c r="J50" i="72"/>
  <c r="J51" i="72"/>
  <c r="J52" i="72"/>
  <c r="J53" i="72"/>
  <c r="J54" i="72"/>
  <c r="J47" i="72"/>
  <c r="L49" i="72"/>
  <c r="L50" i="72"/>
  <c r="L51" i="72"/>
  <c r="L52" i="72"/>
  <c r="L53" i="72"/>
  <c r="L54" i="72"/>
  <c r="L48" i="72"/>
  <c r="K48" i="72"/>
  <c r="K49" i="72"/>
  <c r="K50" i="72"/>
  <c r="K51" i="72"/>
  <c r="K52" i="72"/>
  <c r="K53" i="72"/>
  <c r="K54" i="72"/>
  <c r="I49" i="72"/>
  <c r="I50" i="72"/>
  <c r="I51" i="72"/>
  <c r="I52" i="72"/>
  <c r="I53" i="72"/>
  <c r="I54" i="72"/>
  <c r="I48" i="72"/>
  <c r="N3" i="72"/>
  <c r="M10" i="33"/>
  <c r="L10" i="33"/>
  <c r="O3" i="72"/>
  <c r="U3" i="72"/>
  <c r="U4" i="72"/>
  <c r="U6" i="72"/>
  <c r="U5" i="72"/>
  <c r="X15" i="72"/>
  <c r="E2" i="72"/>
  <c r="E11" i="72"/>
  <c r="F50" i="72"/>
  <c r="F49" i="72"/>
  <c r="F48" i="72"/>
  <c r="F47" i="72"/>
  <c r="F46" i="72"/>
  <c r="F40" i="72"/>
  <c r="F41" i="72"/>
  <c r="F42" i="72"/>
  <c r="F43" i="72"/>
  <c r="F39" i="72"/>
  <c r="D40" i="72"/>
  <c r="D41" i="72"/>
  <c r="D42" i="72"/>
  <c r="D43" i="72"/>
  <c r="D39" i="72"/>
  <c r="Q41" i="72"/>
  <c r="Q42" i="72" s="1"/>
  <c r="Q39" i="72"/>
  <c r="O30" i="72"/>
  <c r="O33" i="72" s="1"/>
  <c r="O34" i="72" s="1"/>
  <c r="O2" i="72"/>
  <c r="O16" i="72"/>
  <c r="O17" i="72" s="1"/>
  <c r="O15" i="72"/>
  <c r="O14" i="72"/>
  <c r="C18" i="71"/>
  <c r="H3" i="65"/>
  <c r="H4" i="65"/>
  <c r="H5" i="65"/>
  <c r="H6" i="65"/>
  <c r="H7" i="65"/>
  <c r="H8" i="65"/>
  <c r="H9" i="65"/>
  <c r="H2" i="65"/>
  <c r="I2" i="65"/>
  <c r="I3" i="65"/>
  <c r="I4" i="65"/>
  <c r="I5" i="65"/>
  <c r="I6" i="65"/>
  <c r="I7" i="65"/>
  <c r="I8" i="65"/>
  <c r="F8" i="64"/>
  <c r="O4" i="72"/>
  <c r="O5" i="72"/>
  <c r="O6" i="72"/>
  <c r="O7" i="72"/>
  <c r="O8" i="72"/>
  <c r="N4" i="72"/>
  <c r="N5" i="72"/>
  <c r="N6" i="72"/>
  <c r="N7" i="72"/>
  <c r="N8" i="72"/>
  <c r="N2" i="72"/>
  <c r="M2" i="72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N2" i="65" l="1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T3" i="33"/>
  <c r="T4" i="33"/>
  <c r="T5" i="33"/>
  <c r="T6" i="33"/>
  <c r="T7" i="33"/>
  <c r="T8" i="33"/>
  <c r="T9" i="33"/>
  <c r="T12" i="33"/>
  <c r="T13" i="33"/>
  <c r="T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<sst xmlns="http://schemas.openxmlformats.org/spreadsheetml/2006/main" count="1013" uniqueCount="494">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</sst>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46" Type="http://schemas.openxmlformats.org/officeDocument/2006/relationships/customXml" Target="../customXml/item4.xml"/><Relationship Id="rId20" Type="http://schemas.openxmlformats.org/officeDocument/2006/relationships/worksheet" Target="worksheets/sheet20.xml"/><Relationship Id="rId41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LS_NL!$N$1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LS_NL!$N$2:$N$8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LS_NL!$P$13</c:f>
              <c:strCache>
                <c:ptCount val="1"/>
                <c:pt idx="0">
                  <c:v>old VOLL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LS_NL!$O$14:$O$17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LS_NL!$P$14:$P$17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LS_NL!$Q$30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LS_NL!$O$29:$O$30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LS_NL!$P$29:$P$30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LS_NL!$Q$32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LS_NL!$O$31:$O$34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LS_NL!$P$31:$P$34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434974</xdr:colOff>
      <xdr:row>13</xdr:row>
      <xdr:rowOff>73025</xdr:rowOff>
    </xdr:from>
    <xdr:to>
      <xdr:col>12</xdr:col>
      <xdr:colOff>177800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53975</xdr:colOff>
      <xdr:row>28</xdr:row>
      <xdr:rowOff>120650</xdr:rowOff>
    </xdr:from>
    <xdr:to>
      <xdr:col>18</xdr:col>
      <xdr:colOff>47625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423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421</v>
      </c>
      <c r="B5" s="13" t="s">
        <v>422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431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456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489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0</v>
      </c>
      <c r="D2" s="13">
        <v>1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1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0</v>
      </c>
      <c r="D3" s="13">
        <v>1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1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430</v>
      </c>
      <c r="B4" s="13" t="s">
        <v>119</v>
      </c>
      <c r="C4" s="13">
        <v>0</v>
      </c>
      <c r="D4" s="13">
        <v>1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1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427</v>
      </c>
      <c r="B5" s="13" t="s">
        <v>119</v>
      </c>
      <c r="C5" s="13">
        <v>0</v>
      </c>
      <c r="D5" s="13">
        <v>1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1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424</v>
      </c>
      <c r="B6" s="13" t="s">
        <v>120</v>
      </c>
      <c r="C6" s="13">
        <v>0</v>
      </c>
      <c r="D6" s="13">
        <v>1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0</v>
      </c>
      <c r="D7" s="13">
        <v>1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1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456</v>
      </c>
      <c r="B8" s="13" t="s">
        <v>119</v>
      </c>
      <c r="C8" s="13">
        <v>0</v>
      </c>
      <c r="D8" s="13">
        <v>1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461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1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0</v>
      </c>
      <c r="D9" s="13">
        <v>1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1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425</v>
      </c>
      <c r="B10" s="13" t="s">
        <v>120</v>
      </c>
      <c r="C10" s="13">
        <v>0</v>
      </c>
      <c r="D10" s="13">
        <v>1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1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429</v>
      </c>
      <c r="B11" s="13" t="s">
        <v>119</v>
      </c>
      <c r="C11" s="13">
        <v>0</v>
      </c>
      <c r="D11" s="13">
        <v>1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458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1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13">
        <v>0</v>
      </c>
      <c r="D12" s="13">
        <v>1</v>
      </c>
      <c r="E12" s="13" t="b">
        <v>0</v>
      </c>
      <c r="F12" s="13">
        <v>0</v>
      </c>
      <c r="G12" s="65">
        <v>0.09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0</v>
      </c>
      <c r="D13" s="13">
        <v>1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1</v>
      </c>
      <c r="AG13" s="9"/>
      <c r="AH13" s="9"/>
    </row>
    <row r="14" spans="1:39">
      <c r="A14" s="13" t="s">
        <v>89</v>
      </c>
      <c r="B14" s="13" t="s">
        <v>119</v>
      </c>
      <c r="C14" s="13">
        <v>0</v>
      </c>
      <c r="D14" s="13">
        <v>1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1</v>
      </c>
      <c r="AG14" s="9"/>
      <c r="AH14" s="9"/>
    </row>
    <row r="15" spans="1:39" s="9" customFormat="1">
      <c r="A15" s="60" t="s">
        <v>428</v>
      </c>
      <c r="B15" s="13" t="s">
        <v>119</v>
      </c>
      <c r="C15" s="13">
        <v>0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421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1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426</v>
      </c>
      <c r="B16" s="13" t="s">
        <v>146</v>
      </c>
      <c r="C16" s="13">
        <v>0</v>
      </c>
      <c r="D16" s="13">
        <v>1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1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0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0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0</v>
      </c>
      <c r="D19" s="13">
        <v>1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0</v>
      </c>
      <c r="D20" s="13">
        <v>1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1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432</v>
      </c>
      <c r="B22" s="13" t="s">
        <v>119</v>
      </c>
      <c r="C22" s="13">
        <v>0</v>
      </c>
      <c r="D22" s="13">
        <v>1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433</v>
      </c>
      <c r="P22">
        <v>0</v>
      </c>
      <c r="Q22" s="9"/>
      <c r="R22" s="9"/>
      <c r="S22" s="9"/>
    </row>
    <row r="24" spans="1:34">
      <c r="G24" t="s">
        <v>457</v>
      </c>
      <c r="P24" t="s">
        <v>457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490</v>
      </c>
      <c r="C1" t="s">
        <v>491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456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425</v>
      </c>
      <c r="B10">
        <v>0.41</v>
      </c>
      <c r="C10">
        <v>0.41</v>
      </c>
    </row>
    <row r="11" spans="1:3">
      <c r="A11" t="s">
        <v>429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428</v>
      </c>
      <c r="B14">
        <v>0.95</v>
      </c>
      <c r="C14">
        <v>0.95</v>
      </c>
    </row>
    <row r="15" spans="1:3">
      <c r="A15" t="s">
        <v>426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432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430</v>
      </c>
      <c r="B20">
        <v>0.9</v>
      </c>
      <c r="C20">
        <v>0.9</v>
      </c>
    </row>
    <row r="21" spans="1:3">
      <c r="A21" t="s">
        <v>427</v>
      </c>
      <c r="B21">
        <v>0.9</v>
      </c>
      <c r="C21">
        <v>0.9</v>
      </c>
    </row>
    <row r="22" spans="1:3">
      <c r="A22" t="s">
        <v>424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abSelected="1" zoomScale="115" zoomScaleNormal="11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0.7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0.7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8"/>
  <sheetViews>
    <sheetView zoomScale="115" zoomScaleNormal="115" workbookViewId="0">
      <selection activeCell="M18" sqref="M18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13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  <row r="8" spans="1:12">
      <c r="F8">
        <f>G8/12</f>
        <v>3063080.4166666665</v>
      </c>
      <c r="G8">
        <v>36756965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3"/>
  <sheetViews>
    <sheetView zoomScale="115" zoomScaleNormal="115" workbookViewId="0">
      <selection activeCell="E28" sqref="E2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16"/>
      <c r="H2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16"/>
      <c r="H3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16"/>
      <c r="H4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16"/>
      <c r="H5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16"/>
      <c r="H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ref="B7:B8" si="5">CONCATENATE("amiris-config/data/LS_",A7,".csv")</f>
        <v>amiris-config/data/LS_6.csv</v>
      </c>
      <c r="C7" s="13" t="str">
        <f t="shared" ref="C7:C8" si="6">CONCATENATE("amiris-config/data/future_LS_",A7,".csv")</f>
        <v>amiris-config/data/future_LS_6.csv</v>
      </c>
      <c r="D7" s="13" t="s">
        <v>69</v>
      </c>
      <c r="E7" s="34">
        <v>15</v>
      </c>
      <c r="F7" s="34">
        <v>1217.1600000000001</v>
      </c>
      <c r="G7" s="16"/>
      <c r="H7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5"/>
        <v>amiris-config/data/LS_7.csv</v>
      </c>
      <c r="C8" s="13" t="str">
        <f t="shared" si="6"/>
        <v>amiris-config/data/future_LS_7.csv</v>
      </c>
      <c r="D8" s="13" t="s">
        <v>69</v>
      </c>
      <c r="E8" s="34">
        <v>18</v>
      </c>
      <c r="F8" s="34">
        <v>791.4</v>
      </c>
      <c r="G8" s="16"/>
      <c r="H8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H9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410</v>
      </c>
    </row>
    <row r="4" spans="1:7">
      <c r="A4" s="62" t="s">
        <v>430</v>
      </c>
      <c r="B4" s="13" t="s">
        <v>208</v>
      </c>
      <c r="C4" s="13">
        <v>3</v>
      </c>
    </row>
    <row r="5" spans="1:7">
      <c r="A5" s="62" t="s">
        <v>427</v>
      </c>
      <c r="B5" s="13" t="s">
        <v>208</v>
      </c>
      <c r="C5" s="13">
        <v>4</v>
      </c>
    </row>
    <row r="6" spans="1:7">
      <c r="A6" s="62" t="s">
        <v>424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456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425</v>
      </c>
      <c r="B10" s="13" t="s">
        <v>195</v>
      </c>
      <c r="C10" s="13">
        <v>9</v>
      </c>
      <c r="G10" s="9"/>
    </row>
    <row r="11" spans="1:7">
      <c r="A11" s="62" t="s">
        <v>429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428</v>
      </c>
      <c r="B15" s="13" t="s">
        <v>208</v>
      </c>
      <c r="C15" s="13">
        <v>14</v>
      </c>
    </row>
    <row r="16" spans="1:7">
      <c r="A16" s="62" t="s">
        <v>426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H2" sqref="B2:H2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X54"/>
  <sheetViews>
    <sheetView topLeftCell="A30" workbookViewId="0">
      <selection activeCell="H64" sqref="H64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3" max="13" width="14.7109375" customWidth="1"/>
    <col min="24" max="24" width="11" bestFit="1" customWidth="1"/>
  </cols>
  <sheetData>
    <row r="1" spans="1:24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  <c r="N1" s="13" t="s">
        <v>464</v>
      </c>
      <c r="S1" t="s">
        <v>481</v>
      </c>
      <c r="U1" t="s">
        <v>482</v>
      </c>
    </row>
    <row r="2" spans="1:24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  <c r="N2" s="16">
        <f>J2/25</f>
        <v>4081.7323076923076</v>
      </c>
      <c r="O2">
        <f>N2*15</f>
        <v>61225.984615384616</v>
      </c>
    </row>
    <row r="3" spans="1:24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>
        <v>3999</v>
      </c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  <c r="N3" s="16">
        <f>J3/25</f>
        <v>3397.68</v>
      </c>
      <c r="O3">
        <f>N3*15</f>
        <v>50965.2</v>
      </c>
      <c r="S3" t="s">
        <v>485</v>
      </c>
      <c r="T3">
        <v>33500</v>
      </c>
      <c r="U3">
        <f t="shared" ref="U3:U4" si="3">T3*1.5</f>
        <v>50250</v>
      </c>
    </row>
    <row r="4" spans="1:24">
      <c r="A4" t="s">
        <v>441</v>
      </c>
      <c r="B4">
        <f t="shared" ref="B4:B10" si="4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  <c r="N4" s="16">
        <f t="shared" ref="N4:N8" si="5">J4/25</f>
        <v>2539.580606060606</v>
      </c>
      <c r="O4">
        <f t="shared" ref="O4:O8" si="6">N4*15</f>
        <v>38093.709090909091</v>
      </c>
      <c r="S4" t="s">
        <v>483</v>
      </c>
      <c r="T4">
        <v>18700</v>
      </c>
      <c r="U4">
        <f t="shared" si="3"/>
        <v>28050</v>
      </c>
    </row>
    <row r="5" spans="1:24">
      <c r="A5" t="s">
        <v>440</v>
      </c>
      <c r="B5">
        <f t="shared" si="4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7">C7</f>
        <v>42700</v>
      </c>
      <c r="K5" s="13">
        <f t="shared" si="7"/>
        <v>9</v>
      </c>
      <c r="L5" s="13">
        <f t="shared" si="2"/>
        <v>68</v>
      </c>
      <c r="M5" s="34">
        <f>J5/10</f>
        <v>4270</v>
      </c>
      <c r="N5" s="16">
        <f t="shared" si="5"/>
        <v>1708</v>
      </c>
      <c r="O5">
        <f t="shared" si="6"/>
        <v>25620</v>
      </c>
      <c r="S5" t="s">
        <v>354</v>
      </c>
      <c r="T5">
        <v>16380</v>
      </c>
      <c r="U5">
        <f>T5*1.5</f>
        <v>24570</v>
      </c>
    </row>
    <row r="6" spans="1:24">
      <c r="A6" t="s">
        <v>439</v>
      </c>
      <c r="B6">
        <f t="shared" si="4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13">
        <f t="shared" si="7"/>
        <v>21</v>
      </c>
      <c r="L6" s="13">
        <f t="shared" si="2"/>
        <v>89</v>
      </c>
      <c r="M6" s="34">
        <f t="shared" ref="M6:M8" si="8">J6/10</f>
        <v>3272.3</v>
      </c>
      <c r="N6" s="16">
        <f t="shared" si="5"/>
        <v>1308.92</v>
      </c>
      <c r="O6">
        <f t="shared" si="6"/>
        <v>19633.800000000003</v>
      </c>
      <c r="S6" t="s">
        <v>484</v>
      </c>
      <c r="T6">
        <v>12420</v>
      </c>
      <c r="U6">
        <f>T6*1.5</f>
        <v>18630</v>
      </c>
    </row>
    <row r="7" spans="1:24">
      <c r="A7" t="s">
        <v>438</v>
      </c>
      <c r="B7">
        <f t="shared" si="4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13">
        <f t="shared" si="7"/>
        <v>8</v>
      </c>
      <c r="L7" s="13">
        <f t="shared" si="2"/>
        <v>97</v>
      </c>
      <c r="M7" s="34">
        <f t="shared" si="8"/>
        <v>3042.9</v>
      </c>
      <c r="N7" s="16">
        <f t="shared" si="5"/>
        <v>1217.1600000000001</v>
      </c>
      <c r="O7">
        <f t="shared" si="6"/>
        <v>18257.400000000001</v>
      </c>
    </row>
    <row r="8" spans="1:24">
      <c r="A8" t="s">
        <v>436</v>
      </c>
      <c r="B8">
        <f t="shared" si="4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8"/>
        <v>1978.5</v>
      </c>
      <c r="N8" s="16">
        <f t="shared" si="5"/>
        <v>791.4</v>
      </c>
      <c r="O8">
        <f t="shared" si="6"/>
        <v>11871</v>
      </c>
    </row>
    <row r="9" spans="1:24">
      <c r="A9" t="s">
        <v>437</v>
      </c>
      <c r="B9">
        <f t="shared" si="4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  <c r="J9" t="s">
        <v>479</v>
      </c>
      <c r="N9" t="s">
        <v>463</v>
      </c>
    </row>
    <row r="10" spans="1:24">
      <c r="A10" t="s">
        <v>435</v>
      </c>
      <c r="B10">
        <f t="shared" si="4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24">
      <c r="E11" s="16">
        <f>SUM(E2:E10)</f>
        <v>59002.330000000009</v>
      </c>
      <c r="F11" s="16"/>
      <c r="G11" s="16"/>
      <c r="J11" t="s">
        <v>480</v>
      </c>
    </row>
    <row r="13" spans="1:24">
      <c r="P13" t="s">
        <v>462</v>
      </c>
    </row>
    <row r="14" spans="1:24">
      <c r="A14" t="s">
        <v>452</v>
      </c>
      <c r="N14" s="16">
        <v>80</v>
      </c>
      <c r="O14" s="16">
        <f>N14</f>
        <v>80</v>
      </c>
      <c r="P14">
        <v>4000</v>
      </c>
    </row>
    <row r="15" spans="1:24">
      <c r="N15" s="16">
        <v>10</v>
      </c>
      <c r="O15" s="16">
        <f>N15+O14</f>
        <v>90</v>
      </c>
      <c r="P15">
        <v>1500</v>
      </c>
      <c r="X15">
        <f>1.023^17</f>
        <v>1.4719253099280327</v>
      </c>
    </row>
    <row r="16" spans="1:24">
      <c r="A16" t="s">
        <v>451</v>
      </c>
      <c r="N16" s="16">
        <v>5</v>
      </c>
      <c r="O16" s="16">
        <f t="shared" ref="O16:O17" si="9">N16+O15</f>
        <v>95</v>
      </c>
      <c r="P16">
        <v>500</v>
      </c>
    </row>
    <row r="17" spans="14:17">
      <c r="N17" s="16">
        <v>5</v>
      </c>
      <c r="O17" s="16">
        <f t="shared" si="9"/>
        <v>100</v>
      </c>
      <c r="P17">
        <v>250</v>
      </c>
    </row>
    <row r="29" spans="14:17">
      <c r="O29">
        <v>0</v>
      </c>
      <c r="P29">
        <v>4000</v>
      </c>
    </row>
    <row r="30" spans="14:17">
      <c r="N30" s="16">
        <v>80</v>
      </c>
      <c r="O30" s="16">
        <f>N30</f>
        <v>80</v>
      </c>
      <c r="P30">
        <v>4000</v>
      </c>
      <c r="Q30" t="s">
        <v>465</v>
      </c>
    </row>
    <row r="31" spans="14:17">
      <c r="O31">
        <v>80</v>
      </c>
      <c r="P31">
        <v>1500</v>
      </c>
    </row>
    <row r="32" spans="14:17">
      <c r="N32" s="16">
        <v>20</v>
      </c>
      <c r="O32" s="16">
        <v>90</v>
      </c>
      <c r="P32">
        <v>1500</v>
      </c>
      <c r="Q32" t="s">
        <v>466</v>
      </c>
    </row>
    <row r="33" spans="1:19">
      <c r="N33" s="16">
        <v>5</v>
      </c>
      <c r="O33" s="16">
        <f t="shared" ref="O33:O34" si="10">N33+O32</f>
        <v>95</v>
      </c>
      <c r="P33">
        <v>500</v>
      </c>
    </row>
    <row r="34" spans="1:19">
      <c r="N34" s="16">
        <v>5</v>
      </c>
      <c r="O34" s="16">
        <f t="shared" si="10"/>
        <v>100</v>
      </c>
      <c r="P34">
        <v>250</v>
      </c>
    </row>
    <row r="38" spans="1:19" ht="27.75" customHeight="1">
      <c r="A38" t="s">
        <v>477</v>
      </c>
      <c r="B38" t="s">
        <v>454</v>
      </c>
      <c r="C38" s="2" t="s">
        <v>474</v>
      </c>
      <c r="D38" s="2" t="s">
        <v>473</v>
      </c>
      <c r="E38" s="2" t="s">
        <v>475</v>
      </c>
      <c r="F38" s="2" t="s">
        <v>476</v>
      </c>
      <c r="G38" s="2"/>
      <c r="P38" t="s">
        <v>467</v>
      </c>
      <c r="Q38" t="s">
        <v>445</v>
      </c>
      <c r="R38" t="s">
        <v>341</v>
      </c>
    </row>
    <row r="39" spans="1:19">
      <c r="A39" t="s">
        <v>468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P39" s="16">
        <v>80</v>
      </c>
      <c r="Q39" s="16">
        <f>P39</f>
        <v>80</v>
      </c>
      <c r="R39">
        <v>4000</v>
      </c>
      <c r="S39" t="s">
        <v>465</v>
      </c>
    </row>
    <row r="40" spans="1:19">
      <c r="A40" t="s">
        <v>472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P40" s="16">
        <v>20</v>
      </c>
      <c r="Q40" s="16">
        <v>90</v>
      </c>
      <c r="R40">
        <v>1500</v>
      </c>
      <c r="S40" t="s">
        <v>466</v>
      </c>
    </row>
    <row r="41" spans="1:19">
      <c r="A41" t="s">
        <v>469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P41" s="16">
        <v>5</v>
      </c>
      <c r="Q41" s="16">
        <f t="shared" ref="Q41:Q42" si="11">P41+Q40</f>
        <v>95</v>
      </c>
      <c r="R41">
        <v>500</v>
      </c>
    </row>
    <row r="42" spans="1:19">
      <c r="A42" t="s">
        <v>470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P42" s="16">
        <v>5</v>
      </c>
      <c r="Q42" s="16">
        <f t="shared" si="11"/>
        <v>100</v>
      </c>
      <c r="R42">
        <v>250</v>
      </c>
    </row>
    <row r="43" spans="1:19">
      <c r="A43" t="s">
        <v>471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19" ht="45">
      <c r="A45" t="s">
        <v>478</v>
      </c>
      <c r="B45" t="s">
        <v>454</v>
      </c>
      <c r="C45" s="2" t="s">
        <v>474</v>
      </c>
      <c r="D45" s="2" t="s">
        <v>473</v>
      </c>
      <c r="E45" s="2" t="s">
        <v>475</v>
      </c>
      <c r="F45" s="2" t="s">
        <v>476</v>
      </c>
    </row>
    <row r="46" spans="1:19">
      <c r="A46" t="s">
        <v>468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19">
      <c r="A47" t="s">
        <v>472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L47" t="s">
        <v>493</v>
      </c>
    </row>
    <row r="48" spans="1:19">
      <c r="A48" t="s">
        <v>469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2">K2</f>
        <v>13</v>
      </c>
      <c r="K48">
        <f t="shared" ref="K48:K54" si="13">J2</f>
        <v>102043.30769230769</v>
      </c>
      <c r="L48" s="16">
        <f t="shared" ref="L48:L54" si="14">N2</f>
        <v>4081.7323076923076</v>
      </c>
    </row>
    <row r="49" spans="1:12">
      <c r="A49" t="s">
        <v>470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5">I3</f>
        <v>commercial and service sector</v>
      </c>
      <c r="J49">
        <f t="shared" si="12"/>
        <v>13</v>
      </c>
      <c r="K49">
        <f t="shared" si="13"/>
        <v>84942</v>
      </c>
      <c r="L49" s="16">
        <f t="shared" si="14"/>
        <v>3397.68</v>
      </c>
    </row>
    <row r="50" spans="1:12">
      <c r="A50" t="s">
        <v>471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5"/>
        <v>industry</v>
      </c>
      <c r="J50">
        <f t="shared" si="12"/>
        <v>33</v>
      </c>
      <c r="K50">
        <f t="shared" si="13"/>
        <v>63489.515151515152</v>
      </c>
      <c r="L50" s="16">
        <f t="shared" si="14"/>
        <v>2539.580606060606</v>
      </c>
    </row>
    <row r="51" spans="1:12">
      <c r="I51" t="str">
        <f t="shared" si="15"/>
        <v>household other</v>
      </c>
      <c r="J51">
        <f t="shared" si="12"/>
        <v>9</v>
      </c>
      <c r="K51">
        <f t="shared" si="13"/>
        <v>42700</v>
      </c>
      <c r="L51" s="16">
        <f t="shared" si="14"/>
        <v>1708</v>
      </c>
    </row>
    <row r="52" spans="1:12">
      <c r="I52" t="str">
        <f t="shared" si="15"/>
        <v>household city center</v>
      </c>
      <c r="J52">
        <f t="shared" si="12"/>
        <v>21</v>
      </c>
      <c r="K52">
        <f t="shared" si="13"/>
        <v>32723</v>
      </c>
      <c r="L52" s="16">
        <f t="shared" si="14"/>
        <v>1308.92</v>
      </c>
    </row>
    <row r="53" spans="1:12">
      <c r="I53" t="str">
        <f t="shared" si="15"/>
        <v>household feed in areas</v>
      </c>
      <c r="J53">
        <f t="shared" si="12"/>
        <v>8</v>
      </c>
      <c r="K53">
        <f t="shared" si="13"/>
        <v>30429</v>
      </c>
      <c r="L53" s="16">
        <f t="shared" si="14"/>
        <v>1217.1600000000001</v>
      </c>
    </row>
    <row r="54" spans="1:12">
      <c r="I54" t="str">
        <f t="shared" si="15"/>
        <v>industrySME</v>
      </c>
      <c r="J54">
        <f t="shared" si="12"/>
        <v>3</v>
      </c>
      <c r="K54">
        <f t="shared" si="13"/>
        <v>19785</v>
      </c>
      <c r="L54" s="16">
        <f t="shared" si="14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F8" sqref="F8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492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486</v>
      </c>
      <c r="I1" s="13" t="s">
        <v>399</v>
      </c>
      <c r="J1" s="13" t="s">
        <v>381</v>
      </c>
      <c r="K1" s="13" t="s">
        <v>488</v>
      </c>
      <c r="L1" s="13" t="s">
        <v>459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460</v>
      </c>
    </row>
    <row r="3" spans="1:12">
      <c r="A3" s="13" t="s">
        <v>213</v>
      </c>
      <c r="B3" s="13">
        <v>0</v>
      </c>
      <c r="C3" s="13">
        <v>25500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460</v>
      </c>
    </row>
    <row r="4" spans="1:12">
      <c r="A4" s="13" t="s">
        <v>487</v>
      </c>
      <c r="B4" s="13">
        <v>0</v>
      </c>
      <c r="C4" s="13">
        <v>25500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460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Q13" sqref="Q13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2024-04-14T19:40:08Z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