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5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C1B91453-E1F3-4073-B020-16183047BF21}" xr6:coauthVersionLast="47" xr6:coauthVersionMax="47" xr10:uidLastSave="{00000000-0000-0000-0000-000000000000}"/>
  <bookViews>
    <workbookView xWindow="-108" yWindow="-108" windowWidth="23256" windowHeight="12576" tabRatio="998" firstSheet="10" activeTab="18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peakLoad" sheetId="67" r:id="rId7"/>
    <sheet name="Fuels" sheetId="29" r:id="rId8"/>
    <sheet name="FuelPriceTrends" sheetId="30" r:id="rId9"/>
    <sheet name="CandidatePowerPlants" sheetId="45" r:id="rId10"/>
    <sheet name="TechnologiesEmlab" sheetId="33" r:id="rId11"/>
    <sheet name="TechnologyTrends" sheetId="63" r:id="rId12"/>
    <sheet name="weatherYears" sheetId="60" r:id="rId13"/>
    <sheet name="weatherYears40" sheetId="61" r:id="rId14"/>
    <sheet name="weatherYearsOLD" sheetId="66" r:id="rId15"/>
    <sheet name="EnergyProducers" sheetId="17" r:id="rId16"/>
    <sheet name="ElectricitySpotMarkets" sheetId="14" r:id="rId17"/>
    <sheet name="LoadShifterCap" sheetId="64" r:id="rId18"/>
    <sheet name="LoadShedders" sheetId="65" r:id="rId19"/>
    <sheet name="TechnologyTargets" sheetId="26" r:id="rId20"/>
    <sheet name="YearlyTargets" sheetId="52" r:id="rId21"/>
    <sheet name="yearlyCO2" sheetId="53" r:id="rId22"/>
    <sheet name="technologyPotentials" sheetId="51" r:id="rId23"/>
    <sheet name="Dismantled" sheetId="49" r:id="rId24"/>
    <sheet name="StepTrends" sheetId="18" r:id="rId25"/>
    <sheet name="EnergyConsumers" sheetId="16" r:id="rId26"/>
    <sheet name="yearlytechnologyPotentials2" sheetId="58" r:id="rId27"/>
    <sheet name="graphs" sheetId="56" r:id="rId28"/>
    <sheet name="CO2DE" sheetId="44" r:id="rId29"/>
    <sheet name="backup" sheetId="50" r:id="rId30"/>
    <sheet name="sources" sheetId="54" r:id="rId31"/>
    <sheet name="NewTechnologies" sheetId="35" r:id="rId32"/>
  </sheets>
  <externalReferences>
    <externalReference r:id="rId33"/>
    <externalReference r:id="rId34"/>
  </externalReferences>
  <definedNames>
    <definedName name="_xlnm._FilterDatabase" localSheetId="9" hidden="1">CandidatePowerPlants!$A$1:$D$1</definedName>
    <definedName name="_xlnm._FilterDatabase" localSheetId="15" hidden="1">EnergyProducers!#REF!</definedName>
    <definedName name="_xlnm._FilterDatabase" localSheetId="31" hidden="1">NewTechnologies!$A$1:$I$11</definedName>
    <definedName name="_xlnm._FilterDatabase" localSheetId="10" hidden="1">TechnologiesEmlab!$A$1:$AD$1</definedName>
    <definedName name="ExternalData_19" localSheetId="7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65" l="1"/>
  <c r="I3" i="67"/>
  <c r="I4" i="67"/>
  <c r="I2" i="67"/>
  <c r="H2" i="67"/>
  <c r="B3" i="67"/>
  <c r="D3" i="67" l="1"/>
  <c r="I3" i="64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D2" i="64"/>
  <c r="F2" i="65"/>
  <c r="B6" i="65"/>
  <c r="I6" i="65"/>
  <c r="I7" i="65"/>
  <c r="G2" i="45"/>
  <c r="S4" i="33"/>
  <c r="S5" i="33"/>
  <c r="S6" i="33"/>
  <c r="S7" i="33"/>
  <c r="S8" i="33"/>
  <c r="S9" i="33"/>
  <c r="S10" i="33"/>
  <c r="S11" i="33"/>
  <c r="S12" i="33"/>
  <c r="S13" i="33"/>
  <c r="S14" i="33"/>
  <c r="S15" i="33"/>
  <c r="S16" i="33"/>
  <c r="S17" i="33"/>
  <c r="S20" i="33"/>
  <c r="S21" i="33"/>
  <c r="S22" i="33"/>
  <c r="S23" i="33"/>
  <c r="S24" i="33"/>
  <c r="S25" i="33"/>
  <c r="S26" i="33"/>
  <c r="S27" i="33"/>
  <c r="S28" i="33"/>
  <c r="S29" i="33"/>
  <c r="S30" i="33"/>
  <c r="S31" i="33"/>
  <c r="S32" i="33"/>
  <c r="S33" i="33"/>
  <c r="S34" i="33"/>
  <c r="S35" i="33"/>
  <c r="S36" i="33"/>
  <c r="S18" i="33"/>
  <c r="D1" i="64"/>
  <c r="K31" i="63"/>
  <c r="K32" i="63"/>
  <c r="N32" i="63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1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A137" i="63"/>
  <c r="A138" i="63"/>
  <c r="A139" i="63"/>
  <c r="A140" i="63"/>
  <c r="A141" i="63"/>
  <c r="A130" i="63"/>
  <c r="A131" i="63"/>
  <c r="A132" i="63"/>
  <c r="A133" i="63"/>
  <c r="A134" i="63"/>
  <c r="A135" i="63"/>
  <c r="A136" i="63"/>
  <c r="A108" i="63"/>
  <c r="A109" i="63"/>
  <c r="A110" i="63"/>
  <c r="A111" i="63"/>
  <c r="A112" i="63"/>
  <c r="A113" i="63"/>
  <c r="A114" i="63"/>
  <c r="A115" i="63"/>
  <c r="A116" i="63"/>
  <c r="A117" i="63"/>
  <c r="A118" i="63"/>
  <c r="A119" i="63"/>
  <c r="A120" i="63"/>
  <c r="A121" i="63"/>
  <c r="A122" i="63"/>
  <c r="A123" i="63"/>
  <c r="A124" i="63"/>
  <c r="A125" i="63"/>
  <c r="A126" i="63"/>
  <c r="A127" i="63"/>
  <c r="A128" i="63"/>
  <c r="A129" i="63"/>
  <c r="A107" i="63"/>
  <c r="M8" i="63"/>
  <c r="M9" i="63"/>
  <c r="M10" i="63"/>
  <c r="M11" i="63"/>
  <c r="M12" i="63"/>
  <c r="M13" i="63"/>
  <c r="M14" i="63"/>
  <c r="M15" i="63"/>
  <c r="M16" i="63"/>
  <c r="M17" i="63"/>
  <c r="M18" i="63"/>
  <c r="L8" i="63"/>
  <c r="L9" i="63"/>
  <c r="L10" i="63"/>
  <c r="L11" i="63"/>
  <c r="L12" i="63"/>
  <c r="L13" i="63"/>
  <c r="L14" i="63"/>
  <c r="L15" i="63"/>
  <c r="L16" i="63"/>
  <c r="L17" i="63"/>
  <c r="L18" i="63"/>
  <c r="K16" i="63"/>
  <c r="K9" i="63"/>
  <c r="K10" i="63"/>
  <c r="K11" i="63"/>
  <c r="K12" i="63"/>
  <c r="K13" i="63"/>
  <c r="K14" i="63"/>
  <c r="K15" i="63"/>
  <c r="K17" i="63"/>
  <c r="K18" i="63"/>
  <c r="A102" i="63"/>
  <c r="A101" i="63"/>
  <c r="A103" i="63"/>
  <c r="A104" i="63"/>
  <c r="A105" i="63"/>
  <c r="A106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94" i="63"/>
  <c r="A95" i="63"/>
  <c r="A96" i="63"/>
  <c r="A97" i="63"/>
  <c r="A98" i="63"/>
  <c r="A99" i="63"/>
  <c r="A100" i="63"/>
  <c r="A37" i="63"/>
  <c r="A38" i="63"/>
  <c r="A39" i="63"/>
  <c r="A34" i="63"/>
  <c r="A35" i="63"/>
  <c r="A36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2" i="63"/>
  <c r="A71" i="63"/>
  <c r="A70" i="63"/>
  <c r="A69" i="63"/>
  <c r="A68" i="63"/>
  <c r="A67" i="63"/>
  <c r="A66" i="63"/>
  <c r="A65" i="63"/>
  <c r="A64" i="63"/>
  <c r="A63" i="63"/>
  <c r="A62" i="63"/>
  <c r="A61" i="63"/>
  <c r="A60" i="63"/>
  <c r="A59" i="63"/>
  <c r="A58" i="63"/>
  <c r="A57" i="63"/>
  <c r="A56" i="63"/>
  <c r="A55" i="63"/>
  <c r="A54" i="63"/>
  <c r="A53" i="63"/>
  <c r="A52" i="63"/>
  <c r="A51" i="63"/>
  <c r="A50" i="63"/>
  <c r="A49" i="63"/>
  <c r="A48" i="63"/>
  <c r="A47" i="63"/>
  <c r="A46" i="63"/>
  <c r="A45" i="63"/>
  <c r="A44" i="63"/>
  <c r="A43" i="63"/>
  <c r="A42" i="63"/>
  <c r="A41" i="63"/>
  <c r="A40" i="63"/>
  <c r="B19" i="60"/>
  <c r="E6" i="58"/>
  <c r="E11" i="58"/>
  <c r="E10" i="58"/>
  <c r="E9" i="58"/>
  <c r="E8" i="58"/>
  <c r="E7" i="58"/>
  <c r="E2" i="58"/>
  <c r="E5" i="58"/>
  <c r="E4" i="58"/>
  <c r="E3" i="58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13" i="29"/>
  <c r="D9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/>
  <c r="T3" i="33"/>
  <c r="T15" i="33"/>
  <c r="T16" i="33"/>
  <c r="T35" i="33"/>
  <c r="T36" i="33"/>
  <c r="T18" i="33"/>
  <c r="T17" i="33"/>
  <c r="T25" i="33"/>
  <c r="T26" i="33"/>
  <c r="T27" i="33"/>
  <c r="T28" i="33"/>
  <c r="T29" i="33"/>
  <c r="T30" i="33"/>
  <c r="T31" i="33"/>
  <c r="T4" i="33"/>
  <c r="T5" i="33"/>
  <c r="T6" i="33"/>
  <c r="T7" i="33"/>
  <c r="T8" i="33"/>
  <c r="T32" i="33"/>
  <c r="T33" i="33"/>
  <c r="T9" i="33"/>
  <c r="T34" i="33"/>
  <c r="T13" i="33"/>
  <c r="T14" i="33"/>
  <c r="T10" i="33"/>
  <c r="T11" i="33"/>
  <c r="T12" i="33"/>
  <c r="T2" i="33"/>
  <c r="A30" i="41"/>
  <c r="A29" i="41"/>
  <c r="C3" i="18"/>
  <c r="D19" i="33"/>
  <c r="P19" i="33"/>
  <c r="T19" i="33"/>
  <c r="Q19" i="33"/>
  <c r="R19" i="33"/>
  <c r="C19" i="33"/>
  <c r="G3" i="35"/>
  <c r="G4" i="35"/>
  <c r="G5" i="35"/>
  <c r="G6" i="35"/>
  <c r="G7" i="35"/>
  <c r="G8" i="35"/>
  <c r="G9" i="35"/>
  <c r="G10" i="35"/>
  <c r="G11" i="35"/>
  <c r="G12" i="35"/>
  <c r="G13" i="35"/>
  <c r="G2" i="35"/>
  <c r="S19" i="33"/>
  <c r="I8" i="35"/>
  <c r="I11" i="35"/>
  <c r="S3" i="33"/>
  <c r="S2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4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J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<sst xmlns="http://schemas.openxmlformats.org/spreadsheetml/2006/main" count="1039" uniqueCount="456">
  <si>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</si>
  <si>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</si>
  <si>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</si>
  <si>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</si>
  <si>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</si>
  <si>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</si>
  <si>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</si>
  <si>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</si>
  <si>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</si>
  <si>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</si>
  <si>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</si>
  <si>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</si>
  <si>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</si>
  <si>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</si>
  <si>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</si>
  <si>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</si>
  <si>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</si>
  <si>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</si>
  <si>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</si>
  <si>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</si>
  <si>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</si>
  <si>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</si>
  <si>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</si>
  <si>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</si>
  <si>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</si>
  <si>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</si>
  <si>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</si>
  <si>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</si>
  <si>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</si>
  <si>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</si>
  <si>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</si>
  <si>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</si>
  <si>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</si>
  <si>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</si>
  <si>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</si>
  <si>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</si>
  <si>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</si>
  <si>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</si>
  <si>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</si>
  <si>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</si>
  <si>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</si>
  <si>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</si>
  <si>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</si>
  <si>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</si>
  <si>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</si>
  <si>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</si>
  <si>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</si>
  <si>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</si>
  <si>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</si>
  <si>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</si>
  <si>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</si>
  <si>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</si>
  <si>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</si>
  <si>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</si>
  <si>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</si>
  <si>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</si>
  <si>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</si>
  <si>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</si>
  <si>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</si>
  <si>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</si>
  <si>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</si>
  <si>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</si>
  <si>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</si>
  <si>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</si>
  <si>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</si>
  <si>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</si>
  <si>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</si>
  <si>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</si>
  <si>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</si>
  <si>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</si>
  <si>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</si>
  <si>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</si>
  <si>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</si>
  <si>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</si>
  <si>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</si>
  <si>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</si>
  <si>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</si>
  <si>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</si>
  <si>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</si>
  <si>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</si>
  <si>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</si>
  <si>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</si>
  <si>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</si>
  <si>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</si>
  <si>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</si>
  <si>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</si>
  <si>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</si>
  <si>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</si>
  <si>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</si>
  <si>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</si>
  <si>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</si>
  <si>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</si>
  <si>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</si>
  <si>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</si>
  <si>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</si>
  <si>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</si>
  <si>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</si>
  <si>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</si>
  <si>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</si>
  <si>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</si>
  <si>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</si>
  <si>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</si>
  <si>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</si>
  <si>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</si>
  <si>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</si>
  <si>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</si>
  <si>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</si>
  <si>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</si>
  <si>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</si>
  <si>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</si>
  <si>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</si>
  <si>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</si>
  <si>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</si>
  <si>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</si>
  <si>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</si>
  <si>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</si>
  <si>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</si>
  <si>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</si>
  <si>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</si>
  <si>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</si>
  <si>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</si>
  <si>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</si>
  <si>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</si>
  <si>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</si>
  <si>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</si>
  <si>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</si>
  <si>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</si>
  <si>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</si>
  <si>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</si>
  <si>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</si>
  <si>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</si>
  <si>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</si>
  <si>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</si>
  <si>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</si>
  <si>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</si>
  <si>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</si>
  <si>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</si>
  <si>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</si>
  <si>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</si>
  <si>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</si>
  <si>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</si>
  <si>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</si>
  <si>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</si>
  <si>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</si>
  <si>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</si>
  <si>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</si>
  <si>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</si>
  <si>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</si>
  <si>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</si>
  <si>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</si>
  <si>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</si>
  <si>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</si>
  <si>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</si>
  <si>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</si>
  <si>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</si>
  <si>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</si>
  <si>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</si>
  <si>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</si>
  <si>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</si>
  <si>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</si>
  <si>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</si>
  <si>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</si>
  <si>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</si>
  <si>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</si>
  <si>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</si>
  <si>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</si>
  <si>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</si>
  <si>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</si>
  <si>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</si>
  <si>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</si>
  <si>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</si>
  <si>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</si>
  <si>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</si>
  <si>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</si>
  <si>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</si>
  <si>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</si>
  <si>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</si>
  <si>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</si>
  <si>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</si>
  <si>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</si>
  <si>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</si>
  <si>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</si>
  <si>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</si>
  <si>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</si>
  <si>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</si>
  <si>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</si>
  <si>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</si>
  <si>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</si>
  <si>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</si>
  <si>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</si>
  <si>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</si>
  <si>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</si>
  <si>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</si>
  <si>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</si>
  <si>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</si>
  <si>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</si>
  <si>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</si>
  <si>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</si>
  <si>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</si>
  <si>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</si>
  <si>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</si>
  <si>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</si>
  <si>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</si>
  <si>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</si>
  <si>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</si>
  <si>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</si>
  <si>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</si>
  <si>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</si>
  <si>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</si>
  <si>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</si>
  <si>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</si>
  <si>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</si>
  <si>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</si>
  <si>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</si>
  <si>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</si>
  <si>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</si>
  <si>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</si>
  <si>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</si>
  <si>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</si>
  <si>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</si>
  <si>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</si>
  <si>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</si>
  <si>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</si>
  <si>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</si>
  <si>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</si>
  <si>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</si>
  <si>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</si>
  <si>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</si>
  <si>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</si>
  <si>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</si>
  <si>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</si>
  <si>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</si>
  <si>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</si>
  <si>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</si>
  <si>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</si>
  <si>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</si>
  <si>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</si>
  <si>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</si>
  <si>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</si>
  <si>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</si>
  <si>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</si>
  <si>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</si>
  <si>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BIOGAS</t>
  </si>
  <si>
    <t>DutchCapacityMarket</t>
  </si>
  <si>
    <t>country</t>
  </si>
  <si>
    <t>ProducerDE</t>
  </si>
  <si>
    <t>ProducerNL</t>
  </si>
  <si>
    <t>Complete info</t>
  </si>
  <si>
    <t>permit and build time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</si>
  <si>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</si>
  <si>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</si>
  <si>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</si>
  <si>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</si>
  <si>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</si>
  <si>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</si>
  <si>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</si>
  <si>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</si>
  <si>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</si>
  <si>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</si>
  <si>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</si>
  <si>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</si>
  <si>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</si>
  <si>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</si>
  <si>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</si>
  <si>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</si>
  <si>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</si>
  <si>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</si>
  <si>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</si>
  <si>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</si>
  <si>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</si>
  <si>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</si>
  <si>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</si>
  <si>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</si>
  <si>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</si>
  <si>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</si>
  <si>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</si>
  <si>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</si>
  <si>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</si>
  <si>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</si>
  <si>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</si>
  <si>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</si>
  <si>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</si>
  <si>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</si>
  <si>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</si>
  <si>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</si>
  <si>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</si>
  <si>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</si>
  <si>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</si>
  <si>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</si>
  <si>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</si>
  <si>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</si>
  <si>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</si>
  <si>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</si>
  <si>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</si>
  <si>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</si>
  <si>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</si>
  <si>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</si>
  <si>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</si>
  <si>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</si>
  <si>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</si>
  <si>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</si>
  <si>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</si>
  <si>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</si>
  <si>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</si>
  <si>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</si>
  <si>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</si>
  <si>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</si>
  <si>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</si>
  <si>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</si>
  <si>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</si>
  <si>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</si>
  <si>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</si>
  <si>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</si>
  <si>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</si>
  <si>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</si>
  <si>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</si>
  <si>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</si>
  <si>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</si>
  <si>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</si>
  <si>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</si>
  <si>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</si>
  <si>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</si>
  <si>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</si>
  <si>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</si>
  <si>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</si>
  <si>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</si>
  <si>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</si>
  <si>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</si>
  <si>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</si>
  <si>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</si>
  <si>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</si>
  <si>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</si>
  <si>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</si>
  <si>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</si>
  <si>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</si>
  <si>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</si>
  <si>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</si>
  <si>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</si>
  <si>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</si>
  <si>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</si>
  <si>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</si>
  <si>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</si>
  <si>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</si>
  <si>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</si>
  <si>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>hydrogen_turbine</t>
  </si>
  <si>
    <t>hydrogen_CHP</t>
  </si>
  <si>
    <t>hydrogen_combined_cycle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</si>
  <si>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</si>
  <si>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</si>
  <si>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</si>
  <si>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</si>
  <si>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</si>
  <si>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</si>
  <si>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</si>
  <si>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</si>
  <si>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</si>
  <si>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</si>
  <si>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</si>
  <si>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</si>
  <si>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</si>
  <si>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don’t know how much heat would be actually necessary</t>
  </si>
  <si>
    <t>calculated with =RANDARRAY(15;30;0;29;TRUE)</t>
  </si>
  <si>
    <t>iteration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</si>
  <si>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</si>
  <si>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</si>
  <si>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</si>
  <si>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</si>
  <si>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</si>
  <si>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</si>
  <si>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</si>
  <si>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</si>
  <si>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</si>
  <si>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</si>
  <si>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</si>
  <si>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</si>
  <si>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</si>
  <si>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</si>
  <si>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</si>
  <si>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</si>
  <si>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</si>
  <si>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 xml:space="preserve">see email Ni jept 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</si>
  <si>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</si>
  <si>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</si>
  <si>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</si>
  <si>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</si>
  <si>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</si>
  <si>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</si>
  <si>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</si>
  <si>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</si>
  <si>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</si>
  <si>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</si>
  <si>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</si>
  <si>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</si>
  <si>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</si>
  <si>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</si>
  <si>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</si>
  <si>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</si>
  <si>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</si>
  <si>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</si>
  <si>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</si>
  <si>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</si>
  <si>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</si>
  <si>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</si>
  <si>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</si>
  <si>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</si>
  <si>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</si>
  <si>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</si>
  <si>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</si>
  <si>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</si>
  <si>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</si>
  <si>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</si>
  <si>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</si>
  <si>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</si>
  <si>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</si>
  <si>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 xml:space="preserve"> Danish db</t>
  </si>
  <si>
    <t>otherwise it is looked interpolating the avialable data</t>
  </si>
  <si>
    <t>JRC/traderes</t>
  </si>
  <si>
    <t>NL Solar PV large New</t>
  </si>
  <si>
    <t>NL Solar PV rooftop New</t>
  </si>
  <si>
    <t>OTHER</t>
  </si>
  <si>
    <t>TNO</t>
  </si>
  <si>
    <t>???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</si>
  <si>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</si>
  <si>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</si>
  <si>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</si>
  <si>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</si>
  <si>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</si>
  <si>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</si>
  <si>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</si>
  <si>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</si>
  <si>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</si>
  <si>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</si>
  <si>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</si>
  <si>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</si>
  <si>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</si>
  <si>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</si>
  <si>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</si>
  <si>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</si>
  <si>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</si>
  <si>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</si>
  <si>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</si>
  <si>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</si>
  <si>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</si>
  <si>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</si>
  <si>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&lt;dummy</t>
  </si>
  <si>
    <t>&lt; technology factshee TNO</t>
  </si>
  <si>
    <t xml:space="preserve">&lt; reserveVolume, cash and list of plants are to keep track during </t>
  </si>
  <si>
    <t xml:space="preserve">&lt; fom </t>
  </si>
  <si>
    <t>SR</t>
  </si>
  <si>
    <t>max contracted</t>
  </si>
  <si>
    <t>contracted</t>
  </si>
  <si>
    <t>max_years_in_reserve</t>
  </si>
  <si>
    <t>&lt; if max years in reserve are less than look ahead shortages, that can bring shortages. No time to invest in estimated reserve</t>
  </si>
  <si>
    <t>amiris-config/data/future_LS_hydrogen.csv</t>
  </si>
  <si>
    <t>amiris-config/data/future_LS_base.csv</t>
  </si>
  <si>
    <t>amiris-config/data/LS_base.csv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</si>
</sst>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9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FF0000"/>
      <name val="Segoe UI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0B4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9" fillId="14" borderId="0" applyNumberFormat="0" applyBorder="0" applyAlignment="0" applyProtection="0"/>
    <xf numFmtId="0" fontId="9" fillId="0" borderId="0" applyNumberFormat="0" applyFill="0" applyBorder="0" applyAlignment="0" applyProtection="0"/>
    <xf numFmtId="9" fontId="28" fillId="0" borderId="0" applyFont="0" applyFill="0" applyBorder="0" applyAlignment="0" applyProtection="0"/>
  </cellStyleXfs>
  <cellXfs count="67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/>
    <xf numFmtId="0" fontId="0" fillId="0" borderId="1" xfId="0" applyBorder="1"/>
    <xf numFmtId="0" fontId="8" fillId="0" borderId="0" xfId="0" applyFont="1"/>
    <xf numFmtId="0" fontId="0" fillId="8" borderId="0" xfId="0" applyFill="1"/>
    <xf numFmtId="1" fontId="0" fillId="0" borderId="0" xfId="0" applyNumberFormat="1"/>
    <xf numFmtId="0" fontId="10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1" fillId="0" borderId="0" xfId="0" applyFont="1" applyAlignment="1">
      <alignment vertical="center"/>
    </xf>
    <xf numFmtId="0" fontId="0" fillId="9" borderId="0" xfId="0" applyFill="1"/>
    <xf numFmtId="0" fontId="12" fillId="0" borderId="0" xfId="0" applyFont="1" applyAlignment="1">
      <alignment wrapText="1"/>
    </xf>
    <xf numFmtId="0" fontId="4" fillId="6" borderId="0" xfId="0" applyFont="1" applyFill="1"/>
    <xf numFmtId="0" fontId="13" fillId="0" borderId="0" xfId="0" applyFont="1" applyAlignment="1">
      <alignment horizontal="right"/>
    </xf>
    <xf numFmtId="164" fontId="0" fillId="0" borderId="0" xfId="0" applyNumberFormat="1"/>
    <xf numFmtId="0" fontId="14" fillId="10" borderId="3" xfId="0" applyFont="1" applyFill="1" applyBorder="1" applyAlignment="1">
      <alignment vertical="center" wrapText="1"/>
    </xf>
    <xf numFmtId="0" fontId="14" fillId="10" borderId="0" xfId="0" applyFont="1" applyFill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17" fillId="11" borderId="0" xfId="0" applyFont="1" applyFill="1"/>
    <xf numFmtId="0" fontId="17" fillId="0" borderId="0" xfId="0" applyFont="1"/>
    <xf numFmtId="0" fontId="17" fillId="12" borderId="0" xfId="0" applyFont="1" applyFill="1"/>
    <xf numFmtId="0" fontId="18" fillId="0" borderId="0" xfId="0" applyFont="1"/>
    <xf numFmtId="0" fontId="0" fillId="13" borderId="0" xfId="0" applyFill="1"/>
    <xf numFmtId="1" fontId="19" fillId="14" borderId="0" xfId="3" applyNumberFormat="1"/>
    <xf numFmtId="1" fontId="0" fillId="7" borderId="0" xfId="0" applyNumberFormat="1" applyFill="1"/>
    <xf numFmtId="0" fontId="9" fillId="0" borderId="0" xfId="4"/>
    <xf numFmtId="0" fontId="4" fillId="6" borderId="1" xfId="0" applyFont="1" applyFill="1" applyBorder="1"/>
    <xf numFmtId="0" fontId="13" fillId="0" borderId="1" xfId="0" applyFont="1" applyBorder="1"/>
    <xf numFmtId="1" fontId="0" fillId="0" borderId="1" xfId="0" applyNumberFormat="1" applyBorder="1"/>
    <xf numFmtId="0" fontId="4" fillId="6" borderId="4" xfId="0" applyFont="1" applyFill="1" applyBorder="1"/>
    <xf numFmtId="0" fontId="0" fillId="0" borderId="0" xfId="0" quotePrefix="1"/>
    <xf numFmtId="2" fontId="0" fillId="0" borderId="0" xfId="0" applyNumberFormat="1"/>
    <xf numFmtId="0" fontId="20" fillId="0" borderId="0" xfId="0" applyFont="1" applyAlignment="1">
      <alignment vertical="center"/>
    </xf>
    <xf numFmtId="0" fontId="21" fillId="0" borderId="0" xfId="0" applyFont="1"/>
    <xf numFmtId="0" fontId="19" fillId="14" borderId="0" xfId="3" applyBorder="1" applyAlignment="1">
      <alignment wrapText="1"/>
    </xf>
    <xf numFmtId="0" fontId="0" fillId="3" borderId="1" xfId="0" applyFill="1" applyBorder="1" applyAlignment="1">
      <alignment wrapText="1"/>
    </xf>
    <xf numFmtId="0" fontId="0" fillId="6" borderId="1" xfId="0" applyFill="1" applyBorder="1"/>
    <xf numFmtId="0" fontId="22" fillId="0" borderId="0" xfId="0" applyFont="1" applyAlignment="1">
      <alignment vertical="center"/>
    </xf>
    <xf numFmtId="0" fontId="4" fillId="15" borderId="0" xfId="0" applyFont="1" applyFill="1"/>
    <xf numFmtId="0" fontId="0" fillId="15" borderId="0" xfId="0" applyFill="1"/>
    <xf numFmtId="0" fontId="12" fillId="0" borderId="0" xfId="0" applyFont="1"/>
    <xf numFmtId="0" fontId="24" fillId="0" borderId="0" xfId="0" applyFont="1"/>
    <xf numFmtId="0" fontId="25" fillId="16" borderId="0" xfId="0" applyFont="1" applyFill="1"/>
    <xf numFmtId="165" fontId="11" fillId="0" borderId="0" xfId="0" applyNumberFormat="1" applyFont="1" applyAlignment="1">
      <alignment vertical="center"/>
    </xf>
    <xf numFmtId="165" fontId="0" fillId="0" borderId="0" xfId="0" applyNumberFormat="1"/>
    <xf numFmtId="0" fontId="25" fillId="0" borderId="0" xfId="0" applyFont="1"/>
    <xf numFmtId="0" fontId="4" fillId="8" borderId="0" xfId="0" applyFont="1" applyFill="1"/>
    <xf numFmtId="0" fontId="0" fillId="7" borderId="0" xfId="0" applyFill="1"/>
    <xf numFmtId="9" fontId="0" fillId="0" borderId="0" xfId="0" applyNumberFormat="1"/>
    <xf numFmtId="0" fontId="26" fillId="0" borderId="0" xfId="0" applyFont="1"/>
    <xf numFmtId="0" fontId="27" fillId="0" borderId="0" xfId="0" applyFont="1"/>
    <xf numFmtId="9" fontId="0" fillId="0" borderId="0" xfId="5" applyFont="1"/>
    <xf numFmtId="0" fontId="18" fillId="0" borderId="0" xfId="0" applyFont="1" applyAlignment="1">
      <alignment horizontal="center" wrapText="1"/>
    </xf>
  </cellXfs>
  <cellStyles count="6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  <cellStyle name="Percent" xfId="5" builtinId="5"/>
  </cellStyles>
  <dxfs count="2">
    <dxf>
      <font>
        <color rgb="FFFF0000"/>
      </font>
    </dxf>
    <dxf>
      <font>
        <color theme="9" tint="-0.499984740745262"/>
      </font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microsoft.com/office/2017/10/relationships/person" Target="persons/perso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2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4.5224999999999991</c:v>
                </c:pt>
                <c:pt idx="2">
                  <c:v>4.5451124999999983</c:v>
                </c:pt>
                <c:pt idx="3">
                  <c:v>4.5678380624999981</c:v>
                </c:pt>
                <c:pt idx="4">
                  <c:v>4.7065976061527879</c:v>
                </c:pt>
                <c:pt idx="5">
                  <c:v>5.1230679883283088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yearlyCO2!$B$11:$B$46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C-4C30-93EA-14358982408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C-4C30-93EA-143589824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629295"/>
        <c:axId val="1662629711"/>
      </c:scatterChart>
      <c:valAx>
        <c:axId val="166262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711"/>
        <c:crosses val="autoZero"/>
        <c:crossBetween val="midCat"/>
      </c:valAx>
      <c:valAx>
        <c:axId val="16626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13</xdr:row>
      <xdr:rowOff>95250</xdr:rowOff>
    </xdr:from>
    <xdr:to>
      <xdr:col>16</xdr:col>
      <xdr:colOff>161925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FACA8-FB0C-C45C-99FF-5322C5752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40weatherYears2050TNO.xlsx" TargetMode="External"/><Relationship Id="rId1" Type="http://schemas.openxmlformats.org/officeDocument/2006/relationships/externalLinkPath" Target="40weatherYears2050TNO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ind Onshore profiles"/>
      <sheetName val="Load"/>
      <sheetName val="Wind Offshore profiles"/>
      <sheetName val="Sun PV profiles"/>
      <sheetName val="Sheet1"/>
      <sheetName val="PeakLoadAnalysiss"/>
    </sheetNames>
    <sheetDataSet>
      <sheetData sheetId="0"/>
      <sheetData sheetId="1"/>
      <sheetData sheetId="2"/>
      <sheetData sheetId="3"/>
      <sheetData sheetId="4"/>
      <sheetData sheetId="5">
        <row r="1">
          <cell r="D1">
            <v>33164.685167226271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node"/>
      <sheetName val="investmentCosts"/>
      <sheetName val="fixedCosts"/>
      <sheetName val="unit2020"/>
      <sheetName val="unit2030"/>
      <sheetName val="unit2050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/>
      <sheetData sheetId="1"/>
      <sheetData sheetId="2">
        <row r="34">
          <cell r="C34">
            <v>45.1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4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J1" dT="2022-03-02T09:21:14.78" personId="{9E95C7A5-7FDF-48FF-95DD-9C4C7D0F3D8F}" id="{3F82BEFE-3858-4198-984F-A2165197D0C4}">
    <text>CHECK fuels assigned in traderes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5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7.bin"/><Relationship Id="rId4" Type="http://schemas.microsoft.com/office/2017/10/relationships/threadedComment" Target="../threadedComments/threadedComment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50" activePane="bottomLeft" state="frozen"/>
      <selection pane="bottomLeft" activeCell="A84" sqref="A84"/>
    </sheetView>
  </sheetViews>
  <sheetFormatPr defaultRowHeight="14.4"/>
  <cols>
    <col min="1" max="1" width="31.88671875" customWidth="1"/>
    <col min="2" max="2" width="46.6640625" customWidth="1"/>
    <col min="3" max="3" width="60.44140625" customWidth="1"/>
    <col min="4" max="4" width="60.6640625" customWidth="1"/>
    <col min="5" max="5" width="12.5546875" customWidth="1"/>
    <col min="6" max="6" width="14.44140625" customWidth="1"/>
    <col min="9" max="9" width="13.44140625" customWidth="1"/>
  </cols>
  <sheetData>
    <row r="1" spans="1:5">
      <c r="A1" s="3" t="s">
        <v>68</v>
      </c>
      <c r="B1" t="s">
        <v>352</v>
      </c>
    </row>
    <row r="2" spans="1:5">
      <c r="A2" s="8" t="s">
        <v>351</v>
      </c>
      <c r="B2" t="s">
        <v>150</v>
      </c>
    </row>
    <row r="3" spans="1:5">
      <c r="A3" s="23" t="s">
        <v>287</v>
      </c>
      <c r="B3" t="s">
        <v>288</v>
      </c>
    </row>
    <row r="4" spans="1:5">
      <c r="A4" s="36" t="s">
        <v>328</v>
      </c>
      <c r="B4" t="s">
        <v>329</v>
      </c>
    </row>
    <row r="6" spans="1:5">
      <c r="A6" s="15"/>
      <c r="B6" s="15" t="s">
        <v>355</v>
      </c>
      <c r="C6" s="15" t="s">
        <v>70</v>
      </c>
      <c r="D6" s="15" t="s">
        <v>270</v>
      </c>
      <c r="E6" s="15" t="s">
        <v>260</v>
      </c>
    </row>
    <row r="7" spans="1:5">
      <c r="A7" s="15" t="s">
        <v>156</v>
      </c>
      <c r="B7" s="15" t="s">
        <v>192</v>
      </c>
      <c r="C7" s="15" t="s">
        <v>285</v>
      </c>
      <c r="D7" s="15"/>
      <c r="E7" s="15"/>
    </row>
    <row r="8" spans="1:5">
      <c r="A8" s="15"/>
      <c r="B8" s="15" t="s">
        <v>157</v>
      </c>
      <c r="C8" s="15" t="s">
        <v>195</v>
      </c>
      <c r="D8" s="15"/>
      <c r="E8" s="15"/>
    </row>
    <row r="9" spans="1:5">
      <c r="B9" s="21" t="s">
        <v>196</v>
      </c>
      <c r="C9" s="15" t="s">
        <v>281</v>
      </c>
      <c r="D9" s="15"/>
      <c r="E9" s="15"/>
    </row>
    <row r="10" spans="1:5">
      <c r="B10" s="15" t="s">
        <v>276</v>
      </c>
      <c r="C10" s="15"/>
      <c r="D10" s="15"/>
      <c r="E10" s="15"/>
    </row>
    <row r="11" spans="1:5">
      <c r="B11" s="15" t="s">
        <v>268</v>
      </c>
      <c r="C11" s="15" t="s">
        <v>269</v>
      </c>
      <c r="D11" s="15"/>
      <c r="E11" s="15"/>
    </row>
    <row r="12" spans="1:5">
      <c r="A12" s="15" t="s">
        <v>71</v>
      </c>
      <c r="B12" s="8" t="s">
        <v>191</v>
      </c>
      <c r="C12" s="15" t="s">
        <v>283</v>
      </c>
      <c r="D12" s="15"/>
      <c r="E12" s="15"/>
    </row>
    <row r="13" spans="1:5">
      <c r="A13" s="15"/>
      <c r="B13" s="8" t="s">
        <v>188</v>
      </c>
      <c r="C13" s="15" t="s">
        <v>283</v>
      </c>
      <c r="D13" s="15"/>
    </row>
    <row r="14" spans="1:5">
      <c r="A14" s="15"/>
      <c r="B14" s="8" t="s">
        <v>189</v>
      </c>
      <c r="C14" s="15" t="s">
        <v>283</v>
      </c>
      <c r="D14" s="15"/>
      <c r="E14" s="15"/>
    </row>
    <row r="15" spans="1:5">
      <c r="A15" s="15"/>
      <c r="B15" s="8" t="s">
        <v>185</v>
      </c>
      <c r="C15" s="15" t="s">
        <v>267</v>
      </c>
      <c r="D15" s="15"/>
      <c r="E15" s="15"/>
    </row>
    <row r="16" spans="1:5">
      <c r="A16" s="15"/>
      <c r="B16" s="8" t="s">
        <v>186</v>
      </c>
      <c r="C16" s="15" t="s">
        <v>259</v>
      </c>
      <c r="D16" s="15"/>
      <c r="E16" s="15"/>
    </row>
    <row r="17" spans="1:5">
      <c r="A17" s="15"/>
      <c r="B17" s="8" t="s">
        <v>187</v>
      </c>
      <c r="C17" s="15" t="s">
        <v>264</v>
      </c>
      <c r="D17" s="15"/>
      <c r="E17" s="15"/>
    </row>
    <row r="18" spans="1:5">
      <c r="A18" s="15"/>
      <c r="B18" s="15" t="s">
        <v>73</v>
      </c>
      <c r="C18" s="15"/>
      <c r="D18" s="15"/>
      <c r="E18" s="15"/>
    </row>
    <row r="19" spans="1:5">
      <c r="A19" s="15"/>
      <c r="B19" s="15" t="s">
        <v>136</v>
      </c>
      <c r="C19" s="15" t="s">
        <v>278</v>
      </c>
      <c r="D19" s="15" t="s">
        <v>257</v>
      </c>
      <c r="E19" s="15"/>
    </row>
    <row r="20" spans="1:5">
      <c r="A20" s="15"/>
      <c r="B20" s="15" t="s">
        <v>66</v>
      </c>
      <c r="C20" s="15"/>
      <c r="D20" s="15" t="s">
        <v>257</v>
      </c>
      <c r="E20" s="15"/>
    </row>
    <row r="21" spans="1:5">
      <c r="A21" s="15"/>
      <c r="B21" s="15" t="s">
        <v>67</v>
      </c>
      <c r="C21" s="15" t="s">
        <v>262</v>
      </c>
      <c r="D21" s="15" t="s">
        <v>257</v>
      </c>
      <c r="E21" s="15"/>
    </row>
    <row r="22" spans="1:5">
      <c r="A22" s="15"/>
      <c r="B22" s="15" t="s">
        <v>134</v>
      </c>
      <c r="C22" s="15" t="s">
        <v>261</v>
      </c>
      <c r="D22" s="15" t="s">
        <v>257</v>
      </c>
      <c r="E22" s="15"/>
    </row>
    <row r="23" spans="1:5">
      <c r="A23" s="15"/>
      <c r="B23" s="15" t="s">
        <v>240</v>
      </c>
      <c r="C23" s="20" t="s">
        <v>263</v>
      </c>
      <c r="D23" s="15" t="s">
        <v>257</v>
      </c>
      <c r="E23" s="15"/>
    </row>
    <row r="24" spans="1:5">
      <c r="A24" s="15"/>
      <c r="B24" s="15" t="s">
        <v>232</v>
      </c>
      <c r="C24" s="15" t="s">
        <v>166</v>
      </c>
      <c r="D24" s="15" t="s">
        <v>257</v>
      </c>
    </row>
    <row r="25" spans="1:5">
      <c r="A25" s="15"/>
      <c r="B25" s="15" t="s">
        <v>233</v>
      </c>
      <c r="C25" s="15" t="s">
        <v>166</v>
      </c>
      <c r="D25" s="15"/>
      <c r="E25" s="15"/>
    </row>
    <row r="26" spans="1:5">
      <c r="A26" s="15"/>
      <c r="B26" s="15" t="s">
        <v>234</v>
      </c>
      <c r="C26" s="15" t="s">
        <v>166</v>
      </c>
      <c r="D26" s="15"/>
      <c r="E26" s="15"/>
    </row>
    <row r="27" spans="1:5" ht="17.100000000000001" customHeight="1">
      <c r="A27" s="15"/>
      <c r="B27" s="15" t="s">
        <v>177</v>
      </c>
      <c r="C27" s="15"/>
      <c r="D27" s="15" t="s">
        <v>282</v>
      </c>
      <c r="E27" s="15"/>
    </row>
    <row r="28" spans="1:5">
      <c r="A28" s="15" t="s">
        <v>266</v>
      </c>
      <c r="B28" s="21" t="s">
        <v>271</v>
      </c>
      <c r="C28" s="15" t="s">
        <v>155</v>
      </c>
      <c r="D28" s="15"/>
      <c r="E28" s="15"/>
    </row>
    <row r="29" spans="1:5">
      <c r="A29" s="15"/>
      <c r="B29" s="15" t="s">
        <v>272</v>
      </c>
      <c r="C29" s="15" t="s">
        <v>279</v>
      </c>
      <c r="D29" s="15" t="s">
        <v>257</v>
      </c>
      <c r="E29" s="15"/>
    </row>
    <row r="30" spans="1:5">
      <c r="A30" s="15"/>
      <c r="B30" s="15" t="s">
        <v>35</v>
      </c>
      <c r="C30" s="15"/>
      <c r="D30" s="15"/>
      <c r="E30" s="15"/>
    </row>
    <row r="31" spans="1:5">
      <c r="A31" s="15"/>
      <c r="B31" s="15" t="s">
        <v>36</v>
      </c>
      <c r="C31" s="15"/>
      <c r="D31" s="15"/>
      <c r="E31" s="15"/>
    </row>
    <row r="32" spans="1:5">
      <c r="A32" s="15" t="s">
        <v>148</v>
      </c>
      <c r="B32" s="15" t="s">
        <v>272</v>
      </c>
      <c r="C32" s="15" t="s">
        <v>279</v>
      </c>
      <c r="D32" s="15" t="s">
        <v>257</v>
      </c>
      <c r="E32" s="15"/>
    </row>
    <row r="33" spans="1:5">
      <c r="A33" s="15" t="s">
        <v>265</v>
      </c>
      <c r="B33" s="15" t="s">
        <v>235</v>
      </c>
      <c r="C33" s="15"/>
      <c r="D33" s="15"/>
      <c r="E33" s="15"/>
    </row>
    <row r="34" spans="1:5">
      <c r="A34" s="15" t="s">
        <v>274</v>
      </c>
      <c r="B34" s="15" t="s">
        <v>231</v>
      </c>
      <c r="C34" s="15" t="s">
        <v>275</v>
      </c>
      <c r="D34" s="15"/>
      <c r="E34" s="15"/>
    </row>
    <row r="35" spans="1:5">
      <c r="A35" s="15"/>
      <c r="B35" s="15" t="s">
        <v>227</v>
      </c>
      <c r="C35" s="15" t="s">
        <v>275</v>
      </c>
      <c r="D35" s="15"/>
      <c r="E35" s="15"/>
    </row>
    <row r="36" spans="1:5">
      <c r="A36" s="15"/>
      <c r="B36" s="15" t="s">
        <v>228</v>
      </c>
      <c r="C36" s="15" t="s">
        <v>275</v>
      </c>
      <c r="D36" s="15"/>
      <c r="E36" s="15"/>
    </row>
    <row r="37" spans="1:5">
      <c r="A37" s="15"/>
      <c r="B37" s="15" t="s">
        <v>229</v>
      </c>
      <c r="C37" s="15" t="s">
        <v>275</v>
      </c>
      <c r="D37" s="15"/>
      <c r="E37" s="15"/>
    </row>
    <row r="38" spans="1:5">
      <c r="A38" s="15"/>
      <c r="B38" s="15" t="s">
        <v>230</v>
      </c>
      <c r="C38" s="15" t="s">
        <v>275</v>
      </c>
      <c r="D38" s="15"/>
      <c r="E38" s="15"/>
    </row>
    <row r="39" spans="1:5">
      <c r="A39" s="15" t="s">
        <v>72</v>
      </c>
      <c r="B39" s="15" t="s">
        <v>11</v>
      </c>
      <c r="C39" s="15"/>
      <c r="D39" s="15" t="s">
        <v>257</v>
      </c>
      <c r="E39" s="15"/>
    </row>
    <row r="40" spans="1:5">
      <c r="A40" s="15"/>
      <c r="B40" s="15" t="s">
        <v>12</v>
      </c>
      <c r="C40" s="15"/>
      <c r="D40" s="15" t="s">
        <v>257</v>
      </c>
      <c r="E40" s="15"/>
    </row>
    <row r="41" spans="1:5">
      <c r="A41" s="15"/>
      <c r="B41" s="15" t="s">
        <v>13</v>
      </c>
      <c r="C41" s="15"/>
      <c r="D41" s="15" t="s">
        <v>257</v>
      </c>
      <c r="E41" s="15"/>
    </row>
    <row r="42" spans="1:5">
      <c r="A42" s="15"/>
      <c r="B42" s="15" t="s">
        <v>14</v>
      </c>
      <c r="C42" s="15"/>
      <c r="D42" s="15" t="s">
        <v>257</v>
      </c>
      <c r="E42" s="15"/>
    </row>
    <row r="43" spans="1:5">
      <c r="A43" s="15"/>
      <c r="B43" s="15" t="s">
        <v>16</v>
      </c>
      <c r="C43" s="15" t="s">
        <v>284</v>
      </c>
      <c r="D43" s="15" t="s">
        <v>257</v>
      </c>
      <c r="E43" s="15"/>
    </row>
    <row r="44" spans="1:5">
      <c r="A44" s="15" t="s">
        <v>69</v>
      </c>
      <c r="B44" s="15" t="s">
        <v>28</v>
      </c>
      <c r="C44" s="15"/>
      <c r="D44" s="15" t="s">
        <v>257</v>
      </c>
      <c r="E44" s="15"/>
    </row>
    <row r="45" spans="1:5">
      <c r="A45" s="15"/>
      <c r="B45" s="15" t="s">
        <v>29</v>
      </c>
      <c r="C45" s="15"/>
      <c r="D45" s="15" t="s">
        <v>257</v>
      </c>
      <c r="E45" s="15"/>
    </row>
    <row r="46" spans="1:5">
      <c r="A46" s="15"/>
      <c r="B46" s="15" t="s">
        <v>30</v>
      </c>
      <c r="C46" s="15"/>
      <c r="D46" s="15" t="s">
        <v>257</v>
      </c>
      <c r="E46" s="15"/>
    </row>
    <row r="47" spans="1:5">
      <c r="A47" s="15"/>
      <c r="B47" s="15" t="s">
        <v>31</v>
      </c>
      <c r="C47" s="15"/>
      <c r="D47" s="15" t="s">
        <v>257</v>
      </c>
      <c r="E47" s="15"/>
    </row>
    <row r="48" spans="1:5">
      <c r="A48" s="15" t="s">
        <v>258</v>
      </c>
      <c r="B48" s="15" t="s">
        <v>252</v>
      </c>
      <c r="C48" s="15"/>
      <c r="D48" s="15" t="s">
        <v>257</v>
      </c>
      <c r="E48" s="15"/>
    </row>
    <row r="49" spans="1:5">
      <c r="A49" s="15"/>
      <c r="B49" s="15" t="s">
        <v>253</v>
      </c>
      <c r="C49" s="15"/>
      <c r="D49" s="15" t="s">
        <v>257</v>
      </c>
      <c r="E49" s="15"/>
    </row>
    <row r="50" spans="1:5">
      <c r="A50" s="15" t="s">
        <v>258</v>
      </c>
      <c r="B50" s="15" t="s">
        <v>277</v>
      </c>
      <c r="C50" s="15" t="s">
        <v>280</v>
      </c>
      <c r="D50" s="15" t="s">
        <v>257</v>
      </c>
      <c r="E50" s="15"/>
    </row>
    <row r="51" spans="1:5">
      <c r="A51" s="15" t="s">
        <v>74</v>
      </c>
      <c r="B51" s="15" t="s">
        <v>27</v>
      </c>
      <c r="C51" s="15" t="s">
        <v>273</v>
      </c>
      <c r="D51" s="15" t="s">
        <v>257</v>
      </c>
      <c r="E51" s="15"/>
    </row>
    <row r="52" spans="1:5">
      <c r="A52" s="15"/>
      <c r="B52" s="15" t="s">
        <v>20</v>
      </c>
      <c r="C52" s="15" t="s">
        <v>273</v>
      </c>
      <c r="D52" s="15" t="s">
        <v>257</v>
      </c>
      <c r="E52" s="15"/>
    </row>
    <row r="53" spans="1:5">
      <c r="A53" s="15"/>
      <c r="B53" s="15" t="s">
        <v>21</v>
      </c>
      <c r="C53" s="15" t="s">
        <v>273</v>
      </c>
      <c r="D53" s="15" t="s">
        <v>257</v>
      </c>
      <c r="E53" s="15"/>
    </row>
    <row r="54" spans="1:5">
      <c r="A54" s="15"/>
      <c r="B54" s="15" t="s">
        <v>22</v>
      </c>
      <c r="C54" s="15" t="s">
        <v>273</v>
      </c>
      <c r="D54" s="15" t="s">
        <v>257</v>
      </c>
      <c r="E54" s="15"/>
    </row>
    <row r="55" spans="1:5">
      <c r="A55" s="15"/>
      <c r="B55" s="15" t="s">
        <v>75</v>
      </c>
      <c r="C55" s="15" t="s">
        <v>273</v>
      </c>
      <c r="D55" s="15" t="s">
        <v>257</v>
      </c>
      <c r="E55" s="15"/>
    </row>
    <row r="56" spans="1:5">
      <c r="A56" t="s">
        <v>356</v>
      </c>
      <c r="C56" s="20" t="s">
        <v>358</v>
      </c>
    </row>
    <row r="57" spans="1:5">
      <c r="A57" t="s">
        <v>357</v>
      </c>
      <c r="C57" s="20" t="s">
        <v>359</v>
      </c>
    </row>
    <row r="62" spans="1:5" ht="18">
      <c r="A62" s="14"/>
      <c r="B62" s="14"/>
      <c r="C62" s="14"/>
    </row>
    <row r="63" spans="1:5">
      <c r="A63" s="11"/>
      <c r="B63" s="11"/>
      <c r="C63" s="1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15"/>
  <sheetViews>
    <sheetView zoomScale="107" zoomScaleNormal="85" workbookViewId="0">
      <selection activeCell="F22" sqref="F22"/>
    </sheetView>
  </sheetViews>
  <sheetFormatPr defaultRowHeight="14.4"/>
  <cols>
    <col min="1" max="1" width="15.88671875" customWidth="1"/>
    <col min="2" max="2" width="33.44140625" customWidth="1"/>
    <col min="4" max="4" width="10.88671875" customWidth="1"/>
    <col min="7" max="7" width="15.44140625" customWidth="1"/>
  </cols>
  <sheetData>
    <row r="1" spans="1:8">
      <c r="A1" s="15" t="s">
        <v>0</v>
      </c>
      <c r="B1" s="15" t="s">
        <v>158</v>
      </c>
      <c r="C1" s="15" t="s">
        <v>241</v>
      </c>
      <c r="D1" s="15" t="s">
        <v>256</v>
      </c>
      <c r="G1" t="s">
        <v>248</v>
      </c>
    </row>
    <row r="2" spans="1:8">
      <c r="A2" s="15">
        <v>1</v>
      </c>
      <c r="B2" s="15" t="s">
        <v>174</v>
      </c>
      <c r="C2" s="15" t="b">
        <v>1</v>
      </c>
      <c r="D2" s="15">
        <v>100</v>
      </c>
      <c r="G2">
        <f>LOOKUP(B2,TechnologiesEmlab!A2:A36,TechnologiesEmlab!S2:S36)</f>
        <v>0</v>
      </c>
    </row>
    <row r="3" spans="1:8">
      <c r="A3" s="15">
        <v>2</v>
      </c>
      <c r="B3" s="15" t="s">
        <v>114</v>
      </c>
      <c r="C3" s="15" t="b">
        <v>1</v>
      </c>
      <c r="D3" s="15">
        <v>500</v>
      </c>
    </row>
    <row r="4" spans="1:8">
      <c r="A4" s="15">
        <v>3</v>
      </c>
      <c r="B4" s="15" t="s">
        <v>344</v>
      </c>
      <c r="C4" s="15" t="b">
        <v>1</v>
      </c>
      <c r="D4" s="15">
        <v>500</v>
      </c>
    </row>
    <row r="5" spans="1:8">
      <c r="A5" s="15">
        <v>4</v>
      </c>
      <c r="B5" s="15" t="s">
        <v>112</v>
      </c>
      <c r="C5" s="15" t="b">
        <v>1</v>
      </c>
      <c r="D5" s="15">
        <v>350</v>
      </c>
    </row>
    <row r="6" spans="1:8">
      <c r="A6" s="15">
        <v>5</v>
      </c>
      <c r="B6" s="15" t="s">
        <v>115</v>
      </c>
      <c r="C6" s="15" t="b">
        <v>1</v>
      </c>
      <c r="D6" s="15">
        <v>250</v>
      </c>
    </row>
    <row r="7" spans="1:8">
      <c r="A7" s="15">
        <v>6</v>
      </c>
      <c r="B7" s="15" t="s">
        <v>95</v>
      </c>
      <c r="C7" s="15" t="b">
        <v>1</v>
      </c>
      <c r="D7" s="15">
        <v>300</v>
      </c>
    </row>
    <row r="8" spans="1:8">
      <c r="A8" s="15">
        <v>7</v>
      </c>
      <c r="B8" s="15" t="s">
        <v>111</v>
      </c>
      <c r="C8" s="15" t="b">
        <v>1</v>
      </c>
      <c r="D8" s="15">
        <v>300</v>
      </c>
    </row>
    <row r="9" spans="1:8">
      <c r="A9" s="15">
        <v>8</v>
      </c>
      <c r="B9" s="15" t="s">
        <v>48</v>
      </c>
      <c r="C9" s="15" t="b">
        <v>1</v>
      </c>
      <c r="D9" s="15">
        <v>1000</v>
      </c>
    </row>
    <row r="11" spans="1:8">
      <c r="A11" s="15">
        <v>9</v>
      </c>
      <c r="B11" s="15" t="s">
        <v>108</v>
      </c>
      <c r="C11" s="15" t="b">
        <v>1</v>
      </c>
      <c r="D11" s="15">
        <v>300</v>
      </c>
    </row>
    <row r="12" spans="1:8">
      <c r="A12">
        <v>5</v>
      </c>
      <c r="B12" t="s">
        <v>83</v>
      </c>
      <c r="C12" t="b">
        <v>1</v>
      </c>
      <c r="D12">
        <v>300</v>
      </c>
    </row>
    <row r="13" spans="1:8">
      <c r="A13">
        <v>7</v>
      </c>
      <c r="B13" t="s">
        <v>180</v>
      </c>
      <c r="C13" t="b">
        <v>1</v>
      </c>
      <c r="D13">
        <v>100</v>
      </c>
    </row>
    <row r="14" spans="1:8">
      <c r="A14">
        <v>9</v>
      </c>
      <c r="B14" t="s">
        <v>345</v>
      </c>
      <c r="C14" t="b">
        <v>1</v>
      </c>
      <c r="D14">
        <v>300</v>
      </c>
      <c r="H14" t="s">
        <v>360</v>
      </c>
    </row>
    <row r="15" spans="1:8">
      <c r="A15">
        <v>5</v>
      </c>
      <c r="B15" t="s">
        <v>346</v>
      </c>
      <c r="C15" t="b">
        <v>1</v>
      </c>
      <c r="D15">
        <v>500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AG38"/>
  <sheetViews>
    <sheetView zoomScale="96" zoomScaleNormal="96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Q26" sqref="Q26"/>
    </sheetView>
  </sheetViews>
  <sheetFormatPr defaultRowHeight="14.4"/>
  <cols>
    <col min="1" max="1" width="42.88671875" customWidth="1"/>
    <col min="2" max="2" width="28.6640625" customWidth="1"/>
    <col min="3" max="6" width="12" customWidth="1"/>
    <col min="7" max="7" width="15.109375" customWidth="1"/>
    <col min="8" max="9" width="9" customWidth="1"/>
    <col min="10" max="10" width="15.109375" customWidth="1"/>
    <col min="11" max="15" width="0.88671875" customWidth="1"/>
    <col min="16" max="16" width="18.44140625" customWidth="1"/>
    <col min="17" max="17" width="15.109375" customWidth="1"/>
    <col min="18" max="18" width="6.44140625" customWidth="1"/>
    <col min="19" max="19" width="15.109375" customWidth="1"/>
    <col min="20" max="20" width="11.109375" customWidth="1"/>
    <col min="21" max="21" width="15.109375" customWidth="1"/>
    <col min="22" max="24" width="10.109375" customWidth="1"/>
    <col min="25" max="27" width="8.44140625" customWidth="1"/>
    <col min="31" max="31" width="11.109375" customWidth="1"/>
    <col min="32" max="32" width="19.33203125" customWidth="1"/>
  </cols>
  <sheetData>
    <row r="1" spans="1:33" ht="55.5" customHeight="1">
      <c r="A1" s="6" t="s">
        <v>149</v>
      </c>
      <c r="B1" s="6" t="s">
        <v>175</v>
      </c>
      <c r="C1" s="48" t="s">
        <v>66</v>
      </c>
      <c r="D1" s="48" t="s">
        <v>67</v>
      </c>
      <c r="E1" s="6" t="s">
        <v>189</v>
      </c>
      <c r="F1" s="6" t="s">
        <v>188</v>
      </c>
      <c r="G1" s="7" t="s">
        <v>132</v>
      </c>
      <c r="H1" s="7" t="s">
        <v>378</v>
      </c>
      <c r="I1" s="48" t="s">
        <v>240</v>
      </c>
      <c r="J1" s="6" t="s">
        <v>153</v>
      </c>
      <c r="P1" s="7" t="s">
        <v>133</v>
      </c>
      <c r="Q1" s="7" t="s">
        <v>134</v>
      </c>
      <c r="R1" s="7" t="s">
        <v>135</v>
      </c>
      <c r="S1" t="s">
        <v>147</v>
      </c>
      <c r="T1" t="s">
        <v>247</v>
      </c>
      <c r="U1" s="2" t="s">
        <v>154</v>
      </c>
      <c r="V1" t="s">
        <v>137</v>
      </c>
      <c r="W1" s="2" t="s">
        <v>139</v>
      </c>
      <c r="X1" s="2" t="s">
        <v>139</v>
      </c>
      <c r="Y1" t="s">
        <v>76</v>
      </c>
      <c r="Z1" t="s">
        <v>77</v>
      </c>
      <c r="AA1" t="s">
        <v>62</v>
      </c>
      <c r="AB1" t="s">
        <v>63</v>
      </c>
      <c r="AC1" t="s">
        <v>64</v>
      </c>
      <c r="AD1" t="s">
        <v>65</v>
      </c>
      <c r="AF1" s="11" t="s">
        <v>413</v>
      </c>
      <c r="AG1" s="11"/>
    </row>
    <row r="2" spans="1:33" s="11" customFormat="1">
      <c r="A2" s="11" t="s">
        <v>95</v>
      </c>
      <c r="B2" s="11" t="s">
        <v>145</v>
      </c>
      <c r="C2" s="11">
        <v>1</v>
      </c>
      <c r="D2" s="11">
        <v>3</v>
      </c>
      <c r="E2" s="11">
        <v>30</v>
      </c>
      <c r="F2" s="11">
        <v>30</v>
      </c>
      <c r="G2" s="11" t="b">
        <v>0</v>
      </c>
      <c r="H2" s="11">
        <v>5</v>
      </c>
      <c r="I2" s="11">
        <v>0.7</v>
      </c>
      <c r="J2" s="11" t="s">
        <v>131</v>
      </c>
      <c r="N2"/>
      <c r="O2"/>
      <c r="P2" s="11" t="b">
        <v>1</v>
      </c>
      <c r="Q2" s="11">
        <v>1</v>
      </c>
      <c r="R2" s="11">
        <v>1</v>
      </c>
      <c r="S2" s="11">
        <f t="shared" ref="S2:S36" si="0">D2+C2</f>
        <v>4</v>
      </c>
      <c r="T2" s="11">
        <f t="shared" ref="T2:T30" si="1">IF(P2&lt;&gt;"",1,0)</f>
        <v>1</v>
      </c>
      <c r="V2" s="11" t="s">
        <v>138</v>
      </c>
      <c r="W2" s="11">
        <v>500</v>
      </c>
      <c r="X2" s="11">
        <v>500</v>
      </c>
      <c r="Y2" s="11" t="s">
        <v>78</v>
      </c>
      <c r="Z2" s="11" t="s">
        <v>80</v>
      </c>
      <c r="AA2" s="11">
        <v>0</v>
      </c>
      <c r="AB2" s="11">
        <v>2.2999999999999998</v>
      </c>
      <c r="AC2" s="11">
        <v>69.542579720367115</v>
      </c>
      <c r="AD2" s="11">
        <v>0</v>
      </c>
    </row>
    <row r="3" spans="1:33">
      <c r="A3" s="11" t="s">
        <v>96</v>
      </c>
      <c r="B3" s="11" t="s">
        <v>145</v>
      </c>
      <c r="C3">
        <v>1</v>
      </c>
      <c r="D3">
        <v>3</v>
      </c>
      <c r="E3">
        <v>20</v>
      </c>
      <c r="F3">
        <v>20</v>
      </c>
      <c r="G3" t="b">
        <v>0</v>
      </c>
      <c r="H3" s="11">
        <v>5</v>
      </c>
      <c r="I3">
        <v>0.7</v>
      </c>
      <c r="J3" s="11" t="s">
        <v>130</v>
      </c>
      <c r="P3" s="11" t="b">
        <v>1</v>
      </c>
      <c r="Q3" s="11">
        <v>1</v>
      </c>
      <c r="R3" s="11">
        <v>1</v>
      </c>
      <c r="S3">
        <f t="shared" si="0"/>
        <v>4</v>
      </c>
      <c r="T3">
        <f t="shared" si="1"/>
        <v>1</v>
      </c>
      <c r="Y3" t="s">
        <v>78</v>
      </c>
      <c r="Z3" t="s">
        <v>79</v>
      </c>
      <c r="AA3">
        <v>0</v>
      </c>
      <c r="AB3">
        <v>3.5</v>
      </c>
      <c r="AC3">
        <v>14.640543099024658</v>
      </c>
      <c r="AD3">
        <v>0</v>
      </c>
    </row>
    <row r="4" spans="1:33" s="11" customFormat="1">
      <c r="A4" s="11" t="s">
        <v>83</v>
      </c>
      <c r="B4" s="11" t="s">
        <v>145</v>
      </c>
      <c r="C4" s="11">
        <v>1</v>
      </c>
      <c r="D4" s="11">
        <v>2</v>
      </c>
      <c r="E4" s="11">
        <v>30</v>
      </c>
      <c r="F4" s="11">
        <v>30</v>
      </c>
      <c r="G4" s="11" t="b">
        <v>0</v>
      </c>
      <c r="H4" s="11">
        <v>5</v>
      </c>
      <c r="I4" s="11">
        <v>1</v>
      </c>
      <c r="J4" s="11" t="s">
        <v>127</v>
      </c>
      <c r="P4" s="11" t="b">
        <v>1</v>
      </c>
      <c r="Q4" s="11">
        <v>1</v>
      </c>
      <c r="R4" s="11">
        <v>1</v>
      </c>
      <c r="S4">
        <f t="shared" si="0"/>
        <v>3</v>
      </c>
      <c r="T4" s="11">
        <f t="shared" si="1"/>
        <v>1</v>
      </c>
      <c r="V4" s="11" t="s">
        <v>83</v>
      </c>
      <c r="W4" s="11">
        <v>775</v>
      </c>
      <c r="X4" s="11">
        <v>775</v>
      </c>
      <c r="Y4" s="11" t="s">
        <v>82</v>
      </c>
      <c r="Z4" s="11" t="s">
        <v>83</v>
      </c>
      <c r="AA4" s="11">
        <v>56.8</v>
      </c>
      <c r="AB4" s="11">
        <v>1.5</v>
      </c>
      <c r="AC4" s="11">
        <v>10.473234339905167</v>
      </c>
      <c r="AD4" s="11">
        <v>0</v>
      </c>
    </row>
    <row r="5" spans="1:33" s="11" customFormat="1">
      <c r="A5" s="11" t="s">
        <v>97</v>
      </c>
      <c r="B5" s="11" t="s">
        <v>145</v>
      </c>
      <c r="C5" s="11">
        <v>1</v>
      </c>
      <c r="D5" s="11">
        <v>2</v>
      </c>
      <c r="E5" s="11">
        <v>30</v>
      </c>
      <c r="F5" s="11">
        <v>30</v>
      </c>
      <c r="G5" s="11" t="b">
        <v>0</v>
      </c>
      <c r="H5" s="11">
        <v>5</v>
      </c>
      <c r="I5" s="11">
        <v>1</v>
      </c>
      <c r="J5" s="11" t="s">
        <v>127</v>
      </c>
      <c r="P5" s="11" t="b">
        <v>1</v>
      </c>
      <c r="Q5" s="11">
        <v>1</v>
      </c>
      <c r="R5" s="11">
        <v>1</v>
      </c>
      <c r="S5">
        <f t="shared" si="0"/>
        <v>3</v>
      </c>
      <c r="T5" s="11">
        <f t="shared" si="1"/>
        <v>1</v>
      </c>
    </row>
    <row r="6" spans="1:33">
      <c r="A6" s="11" t="s">
        <v>98</v>
      </c>
      <c r="B6" t="s">
        <v>145</v>
      </c>
      <c r="C6">
        <v>1</v>
      </c>
      <c r="D6">
        <v>2</v>
      </c>
      <c r="E6">
        <v>20</v>
      </c>
      <c r="F6">
        <v>20</v>
      </c>
      <c r="G6" t="b">
        <v>0</v>
      </c>
      <c r="H6" s="11">
        <v>5</v>
      </c>
      <c r="I6">
        <v>1</v>
      </c>
      <c r="J6" t="s">
        <v>127</v>
      </c>
      <c r="P6" t="b">
        <v>1</v>
      </c>
      <c r="Q6">
        <v>1</v>
      </c>
      <c r="R6">
        <v>1</v>
      </c>
      <c r="S6">
        <f t="shared" si="0"/>
        <v>3</v>
      </c>
      <c r="T6">
        <f t="shared" si="1"/>
        <v>1</v>
      </c>
    </row>
    <row r="7" spans="1:33">
      <c r="A7" s="11" t="s">
        <v>81</v>
      </c>
      <c r="B7" t="s">
        <v>145</v>
      </c>
      <c r="C7">
        <v>1</v>
      </c>
      <c r="D7">
        <v>2</v>
      </c>
      <c r="E7">
        <v>20</v>
      </c>
      <c r="F7">
        <v>20</v>
      </c>
      <c r="G7" t="b">
        <v>0</v>
      </c>
      <c r="H7" s="11">
        <v>5</v>
      </c>
      <c r="I7">
        <v>1</v>
      </c>
      <c r="J7" t="s">
        <v>122</v>
      </c>
      <c r="S7">
        <f t="shared" si="0"/>
        <v>3</v>
      </c>
      <c r="T7">
        <f t="shared" si="1"/>
        <v>0</v>
      </c>
      <c r="U7" t="s">
        <v>152</v>
      </c>
      <c r="Y7" t="s">
        <v>82</v>
      </c>
      <c r="Z7" t="s">
        <v>85</v>
      </c>
      <c r="AA7">
        <v>8.52</v>
      </c>
      <c r="AB7">
        <v>6.11</v>
      </c>
      <c r="AC7">
        <v>32</v>
      </c>
      <c r="AD7">
        <v>14</v>
      </c>
    </row>
    <row r="8" spans="1:33">
      <c r="A8" s="11" t="s">
        <v>48</v>
      </c>
      <c r="B8" s="11" t="s">
        <v>145</v>
      </c>
      <c r="C8" s="11">
        <v>2</v>
      </c>
      <c r="D8" s="11">
        <v>5</v>
      </c>
      <c r="E8" s="11">
        <v>45</v>
      </c>
      <c r="F8" s="11">
        <v>45</v>
      </c>
      <c r="G8" s="11" t="b">
        <v>0</v>
      </c>
      <c r="H8" s="11">
        <v>10</v>
      </c>
      <c r="I8" s="11">
        <v>1</v>
      </c>
      <c r="J8" s="11" t="s">
        <v>128</v>
      </c>
      <c r="N8" s="11"/>
      <c r="O8" s="11"/>
      <c r="P8" s="11" t="b">
        <v>1</v>
      </c>
      <c r="Q8" s="11">
        <v>0</v>
      </c>
      <c r="R8" s="11">
        <v>0</v>
      </c>
      <c r="S8">
        <f t="shared" si="0"/>
        <v>7</v>
      </c>
      <c r="T8" s="11">
        <f t="shared" si="1"/>
        <v>1</v>
      </c>
      <c r="U8" s="11"/>
      <c r="V8" s="11" t="s">
        <v>140</v>
      </c>
      <c r="W8" s="11">
        <v>1000</v>
      </c>
      <c r="X8" s="11"/>
      <c r="Y8" s="11" t="s">
        <v>89</v>
      </c>
      <c r="Z8" s="11" t="s">
        <v>86</v>
      </c>
      <c r="AA8" s="11">
        <v>0</v>
      </c>
      <c r="AB8" s="11">
        <v>1.74</v>
      </c>
      <c r="AC8" s="11">
        <v>110</v>
      </c>
      <c r="AD8" s="11">
        <v>0</v>
      </c>
      <c r="AF8" s="11"/>
      <c r="AG8" s="11"/>
    </row>
    <row r="9" spans="1:33">
      <c r="A9" s="11" t="s">
        <v>108</v>
      </c>
      <c r="B9" s="11" t="s">
        <v>145</v>
      </c>
      <c r="C9" s="11">
        <v>1</v>
      </c>
      <c r="D9" s="11">
        <v>2</v>
      </c>
      <c r="E9" s="11">
        <v>30</v>
      </c>
      <c r="F9" s="11">
        <v>30</v>
      </c>
      <c r="G9" s="11" t="b">
        <v>0</v>
      </c>
      <c r="H9" s="11">
        <v>5</v>
      </c>
      <c r="I9" s="11">
        <v>1</v>
      </c>
      <c r="J9" s="11" t="s">
        <v>127</v>
      </c>
      <c r="N9" s="11"/>
      <c r="O9" s="11"/>
      <c r="P9" s="11" t="b">
        <v>1</v>
      </c>
      <c r="Q9" s="11">
        <v>1</v>
      </c>
      <c r="R9" s="11">
        <v>1</v>
      </c>
      <c r="S9">
        <f t="shared" si="0"/>
        <v>3</v>
      </c>
      <c r="T9" s="11">
        <f t="shared" ref="T9:T19" si="2">IF(P9&lt;&gt;"",1,0)</f>
        <v>1</v>
      </c>
      <c r="U9" s="11"/>
      <c r="V9" s="11" t="s">
        <v>108</v>
      </c>
      <c r="W9" s="11">
        <v>150</v>
      </c>
      <c r="X9" s="11">
        <v>150</v>
      </c>
      <c r="Y9" s="11" t="s">
        <v>82</v>
      </c>
      <c r="Z9" s="11" t="s">
        <v>84</v>
      </c>
      <c r="AA9" s="11">
        <v>56.8</v>
      </c>
      <c r="AB9" s="11">
        <v>1.5</v>
      </c>
      <c r="AC9" s="11">
        <v>3.8504628350434844</v>
      </c>
      <c r="AD9" s="11">
        <v>0</v>
      </c>
      <c r="AF9" s="11"/>
      <c r="AG9" s="11"/>
    </row>
    <row r="10" spans="1:33">
      <c r="A10" s="11" t="s">
        <v>178</v>
      </c>
      <c r="B10" s="11" t="s">
        <v>145</v>
      </c>
      <c r="C10" s="11">
        <v>1</v>
      </c>
      <c r="D10" s="11">
        <v>4</v>
      </c>
      <c r="E10" s="11">
        <v>40</v>
      </c>
      <c r="F10" s="11">
        <v>40</v>
      </c>
      <c r="G10" s="11" t="b">
        <v>0</v>
      </c>
      <c r="H10" s="11">
        <v>5</v>
      </c>
      <c r="I10" s="11">
        <v>1</v>
      </c>
      <c r="J10" s="11" t="s">
        <v>122</v>
      </c>
      <c r="N10" s="11"/>
      <c r="O10" s="11"/>
      <c r="P10" s="11" t="b">
        <v>1</v>
      </c>
      <c r="Q10" s="11">
        <v>0</v>
      </c>
      <c r="R10" s="11">
        <v>0</v>
      </c>
      <c r="S10">
        <f t="shared" si="0"/>
        <v>5</v>
      </c>
      <c r="T10" s="11">
        <f t="shared" si="2"/>
        <v>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F10" s="11">
        <v>15</v>
      </c>
      <c r="AG10" s="11" t="s">
        <v>414</v>
      </c>
    </row>
    <row r="11" spans="1:33">
      <c r="A11" s="11" t="s">
        <v>179</v>
      </c>
      <c r="B11" s="11" t="s">
        <v>145</v>
      </c>
      <c r="C11" s="11">
        <v>1</v>
      </c>
      <c r="D11" s="11">
        <v>5</v>
      </c>
      <c r="E11" s="11">
        <v>40</v>
      </c>
      <c r="F11" s="11">
        <v>40</v>
      </c>
      <c r="G11" s="11" t="b">
        <v>0</v>
      </c>
      <c r="H11" s="11">
        <v>5</v>
      </c>
      <c r="I11" s="11">
        <v>1</v>
      </c>
      <c r="J11" s="11" t="s">
        <v>126</v>
      </c>
      <c r="N11" s="11"/>
      <c r="O11" s="11"/>
      <c r="P11" s="11" t="b">
        <v>1</v>
      </c>
      <c r="Q11" s="11">
        <v>0</v>
      </c>
      <c r="R11" s="11">
        <v>0</v>
      </c>
      <c r="S11">
        <f t="shared" si="0"/>
        <v>6</v>
      </c>
      <c r="T11" s="11">
        <f t="shared" si="2"/>
        <v>1</v>
      </c>
      <c r="U11" s="11"/>
      <c r="V11" s="11"/>
      <c r="W11" s="11"/>
      <c r="X11" s="11"/>
      <c r="Y11" s="11"/>
      <c r="Z11" s="11"/>
      <c r="AA11" s="11"/>
      <c r="AB11" s="11"/>
      <c r="AC11" s="11"/>
      <c r="AD11" s="11"/>
      <c r="AF11" s="11"/>
      <c r="AG11" s="11"/>
    </row>
    <row r="12" spans="1:33">
      <c r="A12" s="11" t="s">
        <v>180</v>
      </c>
      <c r="B12" s="11" t="s">
        <v>145</v>
      </c>
      <c r="C12" s="11">
        <v>1</v>
      </c>
      <c r="D12" s="11">
        <v>1</v>
      </c>
      <c r="E12" s="11">
        <v>25</v>
      </c>
      <c r="F12" s="11">
        <v>25</v>
      </c>
      <c r="G12" s="11" t="b">
        <v>0</v>
      </c>
      <c r="H12" s="11">
        <v>5</v>
      </c>
      <c r="I12" s="11">
        <v>1</v>
      </c>
      <c r="J12" s="11" t="s">
        <v>123</v>
      </c>
      <c r="N12" s="11"/>
      <c r="O12" s="11"/>
      <c r="P12" s="11" t="b">
        <v>1</v>
      </c>
      <c r="Q12" s="11">
        <v>1</v>
      </c>
      <c r="R12" s="11">
        <v>1</v>
      </c>
      <c r="S12">
        <f t="shared" si="0"/>
        <v>2</v>
      </c>
      <c r="T12" s="11">
        <f t="shared" si="2"/>
        <v>1</v>
      </c>
      <c r="U12" s="11"/>
      <c r="V12" s="11"/>
      <c r="W12" s="11"/>
      <c r="X12" s="11"/>
      <c r="Y12" s="11"/>
      <c r="Z12" s="11"/>
      <c r="AA12" s="11"/>
      <c r="AB12" s="11"/>
      <c r="AC12" s="11"/>
      <c r="AD12" s="11"/>
      <c r="AF12" s="11"/>
      <c r="AG12" s="11"/>
    </row>
    <row r="13" spans="1:33" s="11" customFormat="1">
      <c r="A13" s="11" t="s">
        <v>174</v>
      </c>
      <c r="B13" s="11" t="s">
        <v>172</v>
      </c>
      <c r="C13" s="31">
        <v>0</v>
      </c>
      <c r="D13" s="31">
        <v>1</v>
      </c>
      <c r="E13" s="11">
        <v>20</v>
      </c>
      <c r="F13" s="11">
        <v>20</v>
      </c>
      <c r="G13" s="11" t="b">
        <v>0</v>
      </c>
      <c r="H13" s="11">
        <v>0</v>
      </c>
      <c r="I13" s="31">
        <v>1</v>
      </c>
      <c r="P13" s="31" t="b">
        <v>0</v>
      </c>
      <c r="Q13" s="31">
        <v>1</v>
      </c>
      <c r="R13" s="31">
        <v>1</v>
      </c>
      <c r="S13">
        <f t="shared" si="0"/>
        <v>1</v>
      </c>
      <c r="T13" s="11">
        <f t="shared" si="2"/>
        <v>1</v>
      </c>
    </row>
    <row r="14" spans="1:33">
      <c r="A14" s="11" t="s">
        <v>173</v>
      </c>
      <c r="B14" s="11" t="s">
        <v>172</v>
      </c>
      <c r="C14" s="31">
        <v>3</v>
      </c>
      <c r="D14" s="31">
        <v>4</v>
      </c>
      <c r="E14" s="11">
        <v>100</v>
      </c>
      <c r="F14" s="11">
        <v>100</v>
      </c>
      <c r="G14" s="11" t="b">
        <v>0</v>
      </c>
      <c r="H14" s="11">
        <v>20</v>
      </c>
      <c r="I14" s="31">
        <v>1</v>
      </c>
      <c r="J14" s="11"/>
      <c r="N14" s="11"/>
      <c r="O14" s="11"/>
      <c r="P14" s="31" t="b">
        <v>0</v>
      </c>
      <c r="Q14" s="31">
        <v>1</v>
      </c>
      <c r="R14" s="31">
        <v>1</v>
      </c>
      <c r="S14">
        <f t="shared" si="0"/>
        <v>7</v>
      </c>
      <c r="T14" s="11">
        <f t="shared" si="2"/>
        <v>1</v>
      </c>
      <c r="U14" s="11"/>
      <c r="V14" s="11"/>
      <c r="W14" s="11"/>
      <c r="X14" s="11"/>
      <c r="Y14" s="11"/>
      <c r="Z14" s="11"/>
      <c r="AA14" s="11"/>
      <c r="AB14" s="11"/>
      <c r="AC14" s="11"/>
      <c r="AD14" s="11"/>
      <c r="AF14" s="11"/>
      <c r="AG14" s="11"/>
    </row>
    <row r="15" spans="1:33" s="11" customFormat="1">
      <c r="A15" s="11" t="s">
        <v>114</v>
      </c>
      <c r="B15" s="11" t="s">
        <v>146</v>
      </c>
      <c r="C15" s="11">
        <v>1</v>
      </c>
      <c r="D15" s="11">
        <v>2</v>
      </c>
      <c r="E15" s="11">
        <v>30</v>
      </c>
      <c r="F15" s="11">
        <v>30</v>
      </c>
      <c r="G15" s="11" t="b">
        <v>1</v>
      </c>
      <c r="H15" s="11">
        <v>3</v>
      </c>
      <c r="I15" s="11">
        <v>0.08</v>
      </c>
      <c r="P15" s="11" t="b">
        <v>1</v>
      </c>
      <c r="Q15" s="11">
        <v>1</v>
      </c>
      <c r="R15" s="11">
        <v>1</v>
      </c>
      <c r="S15">
        <f t="shared" si="0"/>
        <v>3</v>
      </c>
      <c r="T15" s="11">
        <f t="shared" si="2"/>
        <v>1</v>
      </c>
      <c r="U15" s="11" t="s">
        <v>151</v>
      </c>
      <c r="V15" s="30" t="s">
        <v>144</v>
      </c>
      <c r="W15" s="11">
        <v>600</v>
      </c>
      <c r="Y15" s="11" t="s">
        <v>92</v>
      </c>
      <c r="Z15" s="11" t="s">
        <v>94</v>
      </c>
      <c r="AA15" s="11">
        <v>0</v>
      </c>
      <c r="AB15" s="11">
        <v>2</v>
      </c>
      <c r="AC15" s="11">
        <v>47.8</v>
      </c>
      <c r="AD15" s="11">
        <v>0</v>
      </c>
    </row>
    <row r="16" spans="1:33" s="11" customFormat="1">
      <c r="A16" s="11" t="s">
        <v>115</v>
      </c>
      <c r="B16" s="11" t="s">
        <v>146</v>
      </c>
      <c r="C16" s="11">
        <v>1</v>
      </c>
      <c r="D16" s="11">
        <v>1</v>
      </c>
      <c r="E16" s="11">
        <v>25</v>
      </c>
      <c r="F16" s="11">
        <v>25</v>
      </c>
      <c r="G16" s="11" t="b">
        <v>1</v>
      </c>
      <c r="H16" s="11">
        <v>2</v>
      </c>
      <c r="I16" s="11">
        <v>0.05</v>
      </c>
      <c r="P16" s="11" t="b">
        <v>1</v>
      </c>
      <c r="Q16" s="11">
        <v>1</v>
      </c>
      <c r="R16" s="11">
        <v>1</v>
      </c>
      <c r="S16">
        <f t="shared" si="0"/>
        <v>2</v>
      </c>
      <c r="T16" s="11">
        <f t="shared" si="2"/>
        <v>1</v>
      </c>
      <c r="U16" s="11" t="s">
        <v>151</v>
      </c>
      <c r="V16" s="30" t="s">
        <v>143</v>
      </c>
      <c r="W16" s="11">
        <v>600</v>
      </c>
      <c r="Y16" s="11" t="s">
        <v>92</v>
      </c>
      <c r="Z16" s="11" t="s">
        <v>93</v>
      </c>
      <c r="AA16" s="11">
        <v>0</v>
      </c>
      <c r="AB16" s="11">
        <v>1.5</v>
      </c>
      <c r="AC16" s="11">
        <v>33.9</v>
      </c>
      <c r="AD16" s="11">
        <v>0</v>
      </c>
    </row>
    <row r="17" spans="1:33">
      <c r="A17" s="11" t="s">
        <v>112</v>
      </c>
      <c r="B17" s="11" t="s">
        <v>146</v>
      </c>
      <c r="C17" s="11">
        <v>1</v>
      </c>
      <c r="D17" s="11">
        <v>1</v>
      </c>
      <c r="E17" s="11">
        <v>25</v>
      </c>
      <c r="F17" s="11">
        <v>25</v>
      </c>
      <c r="G17" s="11" t="b">
        <v>1</v>
      </c>
      <c r="H17" s="11">
        <v>1</v>
      </c>
      <c r="I17" s="11">
        <v>0.03</v>
      </c>
      <c r="J17" s="11"/>
      <c r="N17" s="11"/>
      <c r="O17" s="11"/>
      <c r="P17" s="11" t="b">
        <v>1</v>
      </c>
      <c r="Q17" s="11">
        <v>1</v>
      </c>
      <c r="R17" s="11">
        <v>1</v>
      </c>
      <c r="S17">
        <f t="shared" si="0"/>
        <v>2</v>
      </c>
      <c r="T17" s="11">
        <f t="shared" si="2"/>
        <v>1</v>
      </c>
      <c r="U17" s="11" t="s">
        <v>151</v>
      </c>
      <c r="V17" s="30" t="s">
        <v>141</v>
      </c>
      <c r="W17" s="11">
        <v>500</v>
      </c>
      <c r="X17" s="11"/>
      <c r="Y17" s="11" t="s">
        <v>90</v>
      </c>
      <c r="Z17" s="11" t="s">
        <v>91</v>
      </c>
      <c r="AA17" s="11">
        <v>0</v>
      </c>
      <c r="AB17" s="11">
        <v>0</v>
      </c>
      <c r="AC17" s="11">
        <v>6.3</v>
      </c>
      <c r="AD17" s="11">
        <v>0</v>
      </c>
      <c r="AF17" s="11"/>
      <c r="AG17" s="11"/>
    </row>
    <row r="18" spans="1:33">
      <c r="A18" s="11" t="s">
        <v>111</v>
      </c>
      <c r="B18" s="11" t="s">
        <v>146</v>
      </c>
      <c r="C18" s="11">
        <v>1</v>
      </c>
      <c r="D18" s="11">
        <v>1</v>
      </c>
      <c r="E18" s="11">
        <v>25</v>
      </c>
      <c r="F18" s="11">
        <v>25</v>
      </c>
      <c r="G18" s="11" t="b">
        <v>1</v>
      </c>
      <c r="H18" s="11">
        <v>1</v>
      </c>
      <c r="I18" s="11">
        <v>0.03</v>
      </c>
      <c r="K18" s="11"/>
      <c r="L18" s="11"/>
      <c r="M18" s="11"/>
      <c r="S18">
        <f>D18+C18</f>
        <v>2</v>
      </c>
      <c r="T18">
        <f>IF(P18&lt;&gt;"",1,0)</f>
        <v>0</v>
      </c>
      <c r="U18" t="s">
        <v>151</v>
      </c>
      <c r="V18" s="30"/>
      <c r="W18" s="11"/>
      <c r="X18" s="11"/>
      <c r="Y18" s="11"/>
      <c r="Z18" s="11"/>
      <c r="AA18" s="11"/>
      <c r="AB18" s="11"/>
      <c r="AC18" s="11"/>
      <c r="AD18" s="11"/>
      <c r="AF18" s="11"/>
      <c r="AG18" s="11"/>
    </row>
    <row r="19" spans="1:33" s="11" customFormat="1">
      <c r="A19" s="11" t="s">
        <v>104</v>
      </c>
      <c r="B19" s="11" t="s">
        <v>146</v>
      </c>
      <c r="C19" s="11">
        <f>C29</f>
        <v>2</v>
      </c>
      <c r="D19" s="11">
        <f>D29</f>
        <v>5</v>
      </c>
      <c r="E19" s="11">
        <v>60</v>
      </c>
      <c r="F19" s="11">
        <v>60</v>
      </c>
      <c r="G19" s="11" t="b">
        <v>0</v>
      </c>
      <c r="H19" s="11">
        <v>20</v>
      </c>
      <c r="I19" s="11">
        <v>0.5</v>
      </c>
      <c r="P19" s="11" t="b">
        <f>P29</f>
        <v>1</v>
      </c>
      <c r="Q19" s="11">
        <f>Q29</f>
        <v>1</v>
      </c>
      <c r="R19" s="11">
        <f>R29</f>
        <v>1</v>
      </c>
      <c r="S19">
        <f t="shared" si="0"/>
        <v>7</v>
      </c>
      <c r="T19" s="11">
        <f t="shared" si="2"/>
        <v>1</v>
      </c>
      <c r="U19" s="11" t="s">
        <v>124</v>
      </c>
    </row>
    <row r="20" spans="1:33">
      <c r="A20" s="11" t="s">
        <v>344</v>
      </c>
      <c r="B20" s="11" t="s">
        <v>145</v>
      </c>
      <c r="C20" s="11">
        <v>2</v>
      </c>
      <c r="D20" s="11">
        <v>2</v>
      </c>
      <c r="E20" s="11">
        <v>30</v>
      </c>
      <c r="F20" s="11">
        <v>30</v>
      </c>
      <c r="G20" t="b">
        <v>0</v>
      </c>
      <c r="H20" s="11">
        <v>3</v>
      </c>
      <c r="I20">
        <v>1</v>
      </c>
      <c r="J20" s="17" t="s">
        <v>419</v>
      </c>
      <c r="N20" s="11"/>
      <c r="O20" s="11"/>
      <c r="S20">
        <f t="shared" si="0"/>
        <v>4</v>
      </c>
      <c r="AF20" s="11"/>
      <c r="AG20" s="11"/>
    </row>
    <row r="21" spans="1:33">
      <c r="A21" s="11" t="s">
        <v>345</v>
      </c>
      <c r="B21" s="11" t="s">
        <v>145</v>
      </c>
      <c r="C21" s="11">
        <v>2</v>
      </c>
      <c r="D21" s="11">
        <v>2</v>
      </c>
      <c r="E21" s="11">
        <v>30</v>
      </c>
      <c r="F21" s="11">
        <v>30</v>
      </c>
      <c r="G21" t="b">
        <v>0</v>
      </c>
      <c r="H21" s="11">
        <v>5</v>
      </c>
      <c r="I21">
        <v>1</v>
      </c>
      <c r="J21" s="17" t="s">
        <v>419</v>
      </c>
      <c r="N21" s="11"/>
      <c r="O21" s="11"/>
      <c r="S21">
        <f t="shared" si="0"/>
        <v>4</v>
      </c>
      <c r="AF21" s="11"/>
      <c r="AG21" s="11"/>
    </row>
    <row r="22" spans="1:33">
      <c r="A22" s="11" t="s">
        <v>346</v>
      </c>
      <c r="B22" s="11" t="s">
        <v>145</v>
      </c>
      <c r="C22" s="11">
        <v>2</v>
      </c>
      <c r="D22" s="11">
        <v>2</v>
      </c>
      <c r="E22" s="11">
        <v>30</v>
      </c>
      <c r="F22" s="11">
        <v>30</v>
      </c>
      <c r="G22" t="b">
        <v>0</v>
      </c>
      <c r="H22" s="11">
        <v>5</v>
      </c>
      <c r="I22">
        <v>1</v>
      </c>
      <c r="J22" s="17" t="s">
        <v>419</v>
      </c>
      <c r="N22" s="11"/>
      <c r="O22" s="11"/>
      <c r="S22">
        <f t="shared" si="0"/>
        <v>4</v>
      </c>
      <c r="AF22" s="11"/>
      <c r="AG22" s="11"/>
    </row>
    <row r="23" spans="1:33">
      <c r="A23" t="s">
        <v>348</v>
      </c>
      <c r="B23" t="s">
        <v>145</v>
      </c>
      <c r="C23">
        <v>1</v>
      </c>
      <c r="D23">
        <v>2</v>
      </c>
      <c r="E23">
        <v>10</v>
      </c>
      <c r="F23">
        <v>10</v>
      </c>
      <c r="G23" t="b">
        <v>0</v>
      </c>
      <c r="H23" s="11">
        <v>0</v>
      </c>
      <c r="I23">
        <v>1</v>
      </c>
      <c r="J23" t="s">
        <v>2</v>
      </c>
      <c r="N23" s="11"/>
      <c r="O23" s="11"/>
      <c r="S23">
        <f t="shared" si="0"/>
        <v>3</v>
      </c>
    </row>
    <row r="24" spans="1:33">
      <c r="A24" t="s">
        <v>343</v>
      </c>
      <c r="B24" t="s">
        <v>145</v>
      </c>
      <c r="C24">
        <v>2</v>
      </c>
      <c r="D24">
        <v>2</v>
      </c>
      <c r="E24">
        <v>20</v>
      </c>
      <c r="F24">
        <v>20</v>
      </c>
      <c r="G24" t="b">
        <v>0</v>
      </c>
      <c r="H24" s="11">
        <v>0</v>
      </c>
      <c r="I24">
        <v>1</v>
      </c>
      <c r="J24" t="s">
        <v>2</v>
      </c>
      <c r="N24" s="11"/>
      <c r="O24" s="11"/>
      <c r="S24">
        <f t="shared" si="0"/>
        <v>4</v>
      </c>
    </row>
    <row r="25" spans="1:33">
      <c r="A25" t="s">
        <v>113</v>
      </c>
      <c r="B25" t="s">
        <v>146</v>
      </c>
      <c r="E25">
        <v>0</v>
      </c>
      <c r="F25">
        <v>0</v>
      </c>
      <c r="G25" t="b">
        <v>0</v>
      </c>
      <c r="H25" s="11">
        <v>0</v>
      </c>
      <c r="I25">
        <v>1</v>
      </c>
      <c r="S25">
        <f t="shared" si="0"/>
        <v>0</v>
      </c>
      <c r="T25">
        <f t="shared" si="1"/>
        <v>0</v>
      </c>
      <c r="U25" t="s">
        <v>2</v>
      </c>
    </row>
    <row r="26" spans="1:33" s="11" customFormat="1">
      <c r="A26" t="s">
        <v>99</v>
      </c>
      <c r="B26" t="s">
        <v>146</v>
      </c>
      <c r="C26"/>
      <c r="D26"/>
      <c r="E26">
        <v>20</v>
      </c>
      <c r="F26">
        <v>20</v>
      </c>
      <c r="G26" t="b">
        <v>0</v>
      </c>
      <c r="H26" s="11">
        <v>0</v>
      </c>
      <c r="I26">
        <v>0.03</v>
      </c>
      <c r="J26"/>
      <c r="N26"/>
      <c r="O26"/>
      <c r="P26"/>
      <c r="Q26"/>
      <c r="R26"/>
      <c r="S26">
        <f t="shared" si="0"/>
        <v>0</v>
      </c>
      <c r="T26">
        <f t="shared" si="1"/>
        <v>0</v>
      </c>
      <c r="U26" t="s">
        <v>151</v>
      </c>
      <c r="V26"/>
      <c r="W26"/>
      <c r="X26"/>
      <c r="Y26"/>
      <c r="Z26"/>
      <c r="AA26"/>
      <c r="AB26"/>
      <c r="AC26"/>
      <c r="AD26"/>
      <c r="AF26"/>
      <c r="AG26"/>
    </row>
    <row r="27" spans="1:33">
      <c r="A27" t="s">
        <v>100</v>
      </c>
      <c r="B27" t="s">
        <v>146</v>
      </c>
      <c r="E27">
        <v>20</v>
      </c>
      <c r="F27">
        <v>20</v>
      </c>
      <c r="G27" t="b">
        <v>0</v>
      </c>
      <c r="H27" s="11">
        <v>0</v>
      </c>
      <c r="I27">
        <v>0.03</v>
      </c>
      <c r="S27">
        <f t="shared" si="0"/>
        <v>0</v>
      </c>
      <c r="T27">
        <f t="shared" si="1"/>
        <v>0</v>
      </c>
      <c r="U27" t="s">
        <v>151</v>
      </c>
    </row>
    <row r="28" spans="1:33" s="11" customFormat="1">
      <c r="A28" t="s">
        <v>101</v>
      </c>
      <c r="B28" t="s">
        <v>146</v>
      </c>
      <c r="C28"/>
      <c r="D28"/>
      <c r="E28">
        <v>0</v>
      </c>
      <c r="F28">
        <v>0</v>
      </c>
      <c r="G28" t="b">
        <v>0</v>
      </c>
      <c r="H28" s="11">
        <v>0</v>
      </c>
      <c r="I28">
        <v>1</v>
      </c>
      <c r="J28" t="s">
        <v>124</v>
      </c>
      <c r="N28"/>
      <c r="O28"/>
      <c r="P28"/>
      <c r="Q28"/>
      <c r="R28"/>
      <c r="S28">
        <f t="shared" si="0"/>
        <v>0</v>
      </c>
      <c r="T28">
        <f t="shared" si="1"/>
        <v>0</v>
      </c>
      <c r="U28" t="s">
        <v>124</v>
      </c>
      <c r="V28"/>
      <c r="W28"/>
      <c r="X28"/>
      <c r="Y28"/>
      <c r="Z28"/>
      <c r="AA28"/>
      <c r="AB28"/>
      <c r="AC28"/>
      <c r="AD28"/>
      <c r="AF28"/>
      <c r="AG28"/>
    </row>
    <row r="29" spans="1:33" s="11" customFormat="1">
      <c r="A29" t="s">
        <v>102</v>
      </c>
      <c r="B29" t="s">
        <v>146</v>
      </c>
      <c r="C29">
        <v>2</v>
      </c>
      <c r="D29">
        <v>5</v>
      </c>
      <c r="E29">
        <v>20</v>
      </c>
      <c r="F29">
        <v>20</v>
      </c>
      <c r="G29" t="b">
        <v>0</v>
      </c>
      <c r="H29" s="11">
        <v>0</v>
      </c>
      <c r="I29">
        <v>0.7</v>
      </c>
      <c r="J29"/>
      <c r="N29"/>
      <c r="O29"/>
      <c r="P29" t="b">
        <v>1</v>
      </c>
      <c r="Q29">
        <v>1</v>
      </c>
      <c r="R29">
        <v>1</v>
      </c>
      <c r="S29">
        <f t="shared" si="0"/>
        <v>7</v>
      </c>
      <c r="T29">
        <f t="shared" si="1"/>
        <v>1</v>
      </c>
      <c r="U29" t="s">
        <v>124</v>
      </c>
      <c r="V29" t="s">
        <v>142</v>
      </c>
      <c r="W29">
        <v>250</v>
      </c>
      <c r="X29"/>
      <c r="Y29" t="s">
        <v>87</v>
      </c>
      <c r="Z29" t="s">
        <v>88</v>
      </c>
      <c r="AA29">
        <v>0</v>
      </c>
      <c r="AB29">
        <v>1.2</v>
      </c>
      <c r="AC29">
        <v>16</v>
      </c>
      <c r="AD29">
        <v>0</v>
      </c>
      <c r="AF29"/>
      <c r="AG29"/>
    </row>
    <row r="30" spans="1:33" s="11" customFormat="1">
      <c r="A30" t="s">
        <v>103</v>
      </c>
      <c r="B30" t="s">
        <v>146</v>
      </c>
      <c r="C30"/>
      <c r="D30"/>
      <c r="E30">
        <v>20</v>
      </c>
      <c r="F30">
        <v>20</v>
      </c>
      <c r="G30" t="b">
        <v>0</v>
      </c>
      <c r="H30" s="11">
        <v>0</v>
      </c>
      <c r="I30">
        <v>0.5</v>
      </c>
      <c r="J30"/>
      <c r="N30"/>
      <c r="O30"/>
      <c r="P30"/>
      <c r="Q30"/>
      <c r="R30"/>
      <c r="S30">
        <f t="shared" si="0"/>
        <v>0</v>
      </c>
      <c r="T30">
        <f t="shared" si="1"/>
        <v>0</v>
      </c>
      <c r="U30" t="s">
        <v>124</v>
      </c>
      <c r="V30"/>
      <c r="W30"/>
      <c r="X30"/>
      <c r="Y30"/>
      <c r="Z30"/>
      <c r="AA30"/>
      <c r="AB30"/>
      <c r="AC30"/>
      <c r="AD30"/>
      <c r="AF30"/>
      <c r="AG30"/>
    </row>
    <row r="31" spans="1:33" s="11" customFormat="1">
      <c r="A31" t="s">
        <v>105</v>
      </c>
      <c r="B31" t="s">
        <v>146</v>
      </c>
      <c r="C31"/>
      <c r="D31"/>
      <c r="E31">
        <v>20</v>
      </c>
      <c r="F31">
        <v>20</v>
      </c>
      <c r="G31" t="b">
        <v>0</v>
      </c>
      <c r="H31" s="11">
        <v>0</v>
      </c>
      <c r="I31">
        <v>0.5</v>
      </c>
      <c r="J31"/>
      <c r="N31"/>
      <c r="O31"/>
      <c r="R31"/>
      <c r="S31">
        <f t="shared" si="0"/>
        <v>0</v>
      </c>
      <c r="T31" t="e">
        <f>IF(#REF!&lt;&gt;"",1,0)</f>
        <v>#REF!</v>
      </c>
      <c r="U31" t="s">
        <v>124</v>
      </c>
      <c r="V31"/>
      <c r="W31"/>
      <c r="X31"/>
      <c r="Y31"/>
      <c r="Z31"/>
      <c r="AA31"/>
      <c r="AB31"/>
      <c r="AC31"/>
      <c r="AD31"/>
      <c r="AF31"/>
      <c r="AG31"/>
    </row>
    <row r="32" spans="1:33" s="11" customFormat="1">
      <c r="A32" t="s">
        <v>106</v>
      </c>
      <c r="B32" t="s">
        <v>145</v>
      </c>
      <c r="C32"/>
      <c r="D32"/>
      <c r="E32">
        <v>20</v>
      </c>
      <c r="F32">
        <v>20</v>
      </c>
      <c r="G32" t="b">
        <v>0</v>
      </c>
      <c r="H32" s="11">
        <v>0</v>
      </c>
      <c r="I32">
        <v>1</v>
      </c>
      <c r="J32" t="s">
        <v>128</v>
      </c>
      <c r="N32"/>
      <c r="O32"/>
      <c r="P32"/>
      <c r="Q32"/>
      <c r="R32"/>
      <c r="S32">
        <f t="shared" si="0"/>
        <v>0</v>
      </c>
      <c r="T32">
        <f t="shared" ref="T32:T36" si="3">IF(P32&lt;&gt;"",1,0)</f>
        <v>0</v>
      </c>
      <c r="U32"/>
      <c r="V32"/>
      <c r="W32"/>
      <c r="X32"/>
      <c r="Y32"/>
      <c r="Z32"/>
      <c r="AA32"/>
      <c r="AB32"/>
      <c r="AC32"/>
      <c r="AD32"/>
      <c r="AF32"/>
      <c r="AG32"/>
    </row>
    <row r="33" spans="1:33">
      <c r="A33" t="s">
        <v>107</v>
      </c>
      <c r="B33" t="s">
        <v>145</v>
      </c>
      <c r="E33">
        <v>20</v>
      </c>
      <c r="F33">
        <v>20</v>
      </c>
      <c r="G33" t="b">
        <v>0</v>
      </c>
      <c r="H33" s="11">
        <v>0</v>
      </c>
      <c r="I33">
        <v>1</v>
      </c>
      <c r="J33" t="s">
        <v>128</v>
      </c>
      <c r="S33">
        <f t="shared" si="0"/>
        <v>0</v>
      </c>
      <c r="T33">
        <f t="shared" si="3"/>
        <v>0</v>
      </c>
    </row>
    <row r="34" spans="1:33">
      <c r="A34" t="s">
        <v>109</v>
      </c>
      <c r="B34" t="s">
        <v>145</v>
      </c>
      <c r="E34">
        <v>15</v>
      </c>
      <c r="F34">
        <v>15</v>
      </c>
      <c r="G34" t="b">
        <v>0</v>
      </c>
      <c r="H34" s="11">
        <v>0</v>
      </c>
      <c r="I34">
        <v>1</v>
      </c>
      <c r="S34">
        <f t="shared" si="0"/>
        <v>0</v>
      </c>
      <c r="T34">
        <f t="shared" si="3"/>
        <v>0</v>
      </c>
      <c r="U34" t="s">
        <v>2</v>
      </c>
    </row>
    <row r="35" spans="1:33">
      <c r="A35" t="s">
        <v>116</v>
      </c>
      <c r="B35" t="s">
        <v>146</v>
      </c>
      <c r="E35">
        <v>20</v>
      </c>
      <c r="F35">
        <v>20</v>
      </c>
      <c r="G35" t="b">
        <v>0</v>
      </c>
      <c r="H35" s="11">
        <v>0</v>
      </c>
      <c r="I35">
        <v>0.05</v>
      </c>
      <c r="S35">
        <f t="shared" si="0"/>
        <v>0</v>
      </c>
      <c r="T35">
        <f t="shared" si="3"/>
        <v>0</v>
      </c>
      <c r="U35" t="s">
        <v>151</v>
      </c>
    </row>
    <row r="36" spans="1:33">
      <c r="A36" t="s">
        <v>91</v>
      </c>
      <c r="B36" t="s">
        <v>146</v>
      </c>
      <c r="C36" s="11">
        <v>1</v>
      </c>
      <c r="D36" s="11">
        <v>1</v>
      </c>
      <c r="E36" s="11">
        <v>25</v>
      </c>
      <c r="F36" s="11">
        <v>25</v>
      </c>
      <c r="G36" t="b">
        <v>1</v>
      </c>
      <c r="H36" s="11">
        <v>0</v>
      </c>
      <c r="I36">
        <v>0.03</v>
      </c>
      <c r="S36">
        <f t="shared" si="0"/>
        <v>2</v>
      </c>
      <c r="T36">
        <f t="shared" si="3"/>
        <v>0</v>
      </c>
      <c r="U36" t="s">
        <v>151</v>
      </c>
    </row>
    <row r="37" spans="1:33" s="11" customFormat="1">
      <c r="V37"/>
      <c r="W37"/>
      <c r="X37"/>
      <c r="Y37"/>
      <c r="Z37"/>
      <c r="AA37"/>
      <c r="AB37"/>
      <c r="AC37"/>
      <c r="AD37"/>
      <c r="AF37"/>
      <c r="AG37"/>
    </row>
    <row r="38" spans="1:33">
      <c r="C38" s="10"/>
      <c r="D38" s="10"/>
      <c r="J38" s="11"/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42"/>
  <sheetViews>
    <sheetView topLeftCell="A62" zoomScale="71" workbookViewId="0">
      <selection activeCell="H104" sqref="H104"/>
    </sheetView>
  </sheetViews>
  <sheetFormatPr defaultRowHeight="14.4"/>
  <cols>
    <col min="1" max="1" width="58.6640625" customWidth="1"/>
    <col min="2" max="2" width="12.33203125" customWidth="1"/>
    <col min="4" max="4" width="12.33203125" customWidth="1"/>
    <col min="8" max="8" width="28.5546875" customWidth="1"/>
    <col min="11" max="11" width="18.33203125" customWidth="1"/>
  </cols>
  <sheetData>
    <row r="1" spans="1:13">
      <c r="A1" t="s">
        <v>390</v>
      </c>
      <c r="B1" s="7" t="s">
        <v>387</v>
      </c>
      <c r="D1" s="7" t="s">
        <v>387</v>
      </c>
      <c r="E1" s="54" t="s">
        <v>401</v>
      </c>
      <c r="K1" t="s">
        <v>394</v>
      </c>
    </row>
    <row r="2" spans="1:13">
      <c r="A2" s="11" t="str">
        <f>_xlfn.CONCAT(TechnologiesEmlab!A2,"FixedOperatingCostTimeSeries")</f>
        <v>Biomass_CHP_wood_pellets_DHFixedOperatingCostTimeSeries</v>
      </c>
      <c r="B2" s="11">
        <v>0</v>
      </c>
      <c r="D2" s="11">
        <v>0</v>
      </c>
      <c r="E2" t="s">
        <v>392</v>
      </c>
      <c r="K2">
        <v>5.0000000000000001E-3</v>
      </c>
    </row>
    <row r="3" spans="1:13">
      <c r="A3" t="str">
        <f>_xlfn.CONCAT(TechnologiesEmlab!A3,"FixedOperatingCostTimeSeries")</f>
        <v>Biomass_CHP_wood_pellets_PHFixedOperatingCostTimeSeries</v>
      </c>
      <c r="B3" s="11">
        <v>0</v>
      </c>
      <c r="D3" s="11">
        <v>0</v>
      </c>
      <c r="E3" t="str">
        <f>IF(TechnologiesEmlab!H2&gt;0,"ACTIVE", "not active, max life extension 0")</f>
        <v>ACTIVE</v>
      </c>
      <c r="L3" s="51"/>
    </row>
    <row r="4" spans="1:13">
      <c r="A4" t="str">
        <f>_xlfn.CONCAT(TechnologiesEmlab!A4,"FixedOperatingCostTimeSeries")</f>
        <v>CCGTFixedOperatingCostTimeSeries</v>
      </c>
      <c r="B4" s="11">
        <v>0</v>
      </c>
      <c r="D4" s="11">
        <v>0</v>
      </c>
      <c r="E4" t="str">
        <f>IF(TechnologiesEmlab!H3&gt;0,"ACTIVE", "not active, max life extension 0")</f>
        <v>ACTIVE</v>
      </c>
    </row>
    <row r="5" spans="1:13">
      <c r="A5" t="str">
        <f>_xlfn.CONCAT(TechnologiesEmlab!A5,"FixedOperatingCostTimeSeries")</f>
        <v>CCGT_CHP_backpressure_DHFixedOperatingCostTimeSeries</v>
      </c>
      <c r="B5" s="11">
        <v>0</v>
      </c>
      <c r="D5" s="11">
        <v>0</v>
      </c>
      <c r="E5" t="str">
        <f>IF(TechnologiesEmlab!H4&gt;0,"ACTIVE", "not active, max life extension 0")</f>
        <v>ACTIVE</v>
      </c>
      <c r="K5" t="s">
        <v>395</v>
      </c>
      <c r="L5" t="s">
        <v>396</v>
      </c>
      <c r="M5" t="s">
        <v>397</v>
      </c>
    </row>
    <row r="6" spans="1:13">
      <c r="A6" t="str">
        <f>_xlfn.CONCAT(TechnologiesEmlab!A6,"FixedOperatingCostTimeSeries")</f>
        <v>CCGT_CHP_backpressure_PHFixedOperatingCostTimeSeries</v>
      </c>
      <c r="B6" s="11">
        <v>0</v>
      </c>
      <c r="D6" s="11">
        <v>0</v>
      </c>
      <c r="E6" t="str">
        <f>IF(TechnologiesEmlab!H5&gt;0,"ACTIVE",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t="str">
        <f>_xlfn.CONCAT(TechnologiesEmlab!A7,"FixedOperatingCostTimeSeries")</f>
        <v>CCSFixedOperatingCostTimeSeries</v>
      </c>
      <c r="B7" s="11">
        <v>0</v>
      </c>
      <c r="D7" s="11">
        <v>0</v>
      </c>
      <c r="E7" t="str">
        <f>IF(TechnologiesEmlab!H6&gt;0,"ACTIVE", "not active, max life extension 0")</f>
        <v>ACTIVE</v>
      </c>
      <c r="I7" t="s">
        <v>393</v>
      </c>
      <c r="J7">
        <v>0</v>
      </c>
      <c r="K7">
        <f t="shared" ref="K7" si="0">(1+$K$2)^J7</f>
        <v>1</v>
      </c>
    </row>
    <row r="8" spans="1:13">
      <c r="A8" t="str">
        <f>_xlfn.CONCAT(TechnologiesEmlab!A8,"FixedOperatingCostTimeSeries")</f>
        <v>NuclearFixedOperatingCostTimeSeries</v>
      </c>
      <c r="B8" s="11">
        <v>0</v>
      </c>
      <c r="D8" s="11">
        <v>0</v>
      </c>
      <c r="E8" t="str">
        <f>IF(TechnologiesEmlab!H7&gt;0,"ACTIVE", "not active, max life extension 0")</f>
        <v>ACTIVE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t="str">
        <f>_xlfn.CONCAT(TechnologiesEmlab!A9,"FixedOperatingCostTimeSeries")</f>
        <v>OCGTFixedOperatingCostTimeSeries</v>
      </c>
      <c r="B9" s="11">
        <v>0</v>
      </c>
      <c r="D9" s="11">
        <v>0</v>
      </c>
      <c r="E9" t="str">
        <f>IF(TechnologiesEmlab!H8&gt;0,"ACTIVE", "not active, max life extension 0")</f>
        <v>ACTIVE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t="str">
        <f>_xlfn.CONCAT(TechnologiesEmlab!A10,"FixedOperatingCostTimeSeries")</f>
        <v>Coal PSCFixedOperatingCostTimeSeries</v>
      </c>
      <c r="B10" s="11">
        <v>0</v>
      </c>
      <c r="D10" s="11">
        <v>0</v>
      </c>
      <c r="E10" t="str">
        <f>IF(TechnologiesEmlab!H9&gt;0,"ACTIVE", "not active, max life extension 0")</f>
        <v>ACTIVE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t="str">
        <f>_xlfn.CONCAT(TechnologiesEmlab!A11,"FixedOperatingCostTimeSeries")</f>
        <v>Lignite PSCFixedOperatingCostTimeSeries</v>
      </c>
      <c r="B11" s="11">
        <v>0</v>
      </c>
      <c r="D11" s="11">
        <v>0</v>
      </c>
      <c r="E11" t="str">
        <f>IF(TechnologiesEmlab!H10&gt;0,"ACTIVE", "not active, max life extension 0")</f>
        <v>ACTIVE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t="str">
        <f>_xlfn.CONCAT(TechnologiesEmlab!A12,"FixedOperatingCostTimeSeries")</f>
        <v>Fuel oil PGTFixedOperatingCostTimeSeries</v>
      </c>
      <c r="B12" s="11">
        <v>0</v>
      </c>
      <c r="D12" s="11">
        <v>0</v>
      </c>
      <c r="E12" t="str">
        <f>IF(TechnologiesEmlab!H11&gt;0,"ACTIVE", "not active, max life extension 0")</f>
        <v>ACTIVE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t="str">
        <f>_xlfn.CONCAT(TechnologiesEmlab!A13,"FixedOperatingCostTimeSeries")</f>
        <v>Lithium_ion_batteryFixedOperatingCostTimeSeries</v>
      </c>
      <c r="B13" s="11">
        <v>0</v>
      </c>
      <c r="D13" s="11">
        <v>0</v>
      </c>
      <c r="E13" t="str">
        <f>IF(TechnologiesEmlab!H12&gt;0,"ACTIVE",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t="str">
        <f>_xlfn.CONCAT(TechnologiesEmlab!A14,"FixedOperatingCostTimeSeries")</f>
        <v>Pumped_hydroFixedOperatingCostTimeSeries</v>
      </c>
      <c r="B14" s="11">
        <v>0</v>
      </c>
      <c r="D14" s="11">
        <v>0</v>
      </c>
      <c r="E14" t="str">
        <f>IF(TechnologiesEmlab!H13&gt;0,"ACTIVE", "not active, max life extension 0")</f>
        <v>not active, max life extension 0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t="str">
        <f>_xlfn.CONCAT(TechnologiesEmlab!A15,"FixedOperatingCostTimeSeries")</f>
        <v>WTG_offshoreFixedOperatingCostTimeSeries</v>
      </c>
      <c r="B15" s="11">
        <v>0</v>
      </c>
      <c r="D15" s="11">
        <v>0</v>
      </c>
      <c r="E15" t="str">
        <f>IF(TechnologiesEmlab!H14&gt;0,"ACTIVE",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t="str">
        <f>_xlfn.CONCAT(TechnologiesEmlab!A16,"FixedOperatingCostTimeSeries")</f>
        <v>WTG_onshoreFixedOperatingCostTimeSeries</v>
      </c>
      <c r="B16" s="11">
        <v>0</v>
      </c>
      <c r="D16" s="11">
        <v>0</v>
      </c>
      <c r="E16" t="str">
        <f>IF(TechnologiesEmlab!H15&gt;0,"ACTIVE",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t="str">
        <f>_xlfn.CONCAT(TechnologiesEmlab!A17,"FixedOperatingCostTimeSeries")</f>
        <v>PV_utility_systemsFixedOperatingCostTimeSeries</v>
      </c>
      <c r="B17" s="11">
        <v>0</v>
      </c>
      <c r="D17" s="11">
        <v>0</v>
      </c>
      <c r="E17" t="str">
        <f>IF(TechnologiesEmlab!H16&gt;0,"ACTIVE",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t="str">
        <f>_xlfn.CONCAT(TechnologiesEmlab!A19,"FixedOperatingCostTimeSeries")</f>
        <v>Hydropower_reservoir_mediumFixedOperatingCostTimeSeries</v>
      </c>
      <c r="B18" s="11">
        <v>0</v>
      </c>
      <c r="D18" s="11">
        <v>0</v>
      </c>
      <c r="E18" t="str">
        <f>IF(TechnologiesEmlab!H17&gt;0,"ACTIVE",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t="str">
        <f>_xlfn.CONCAT(TechnologiesEmlab!A20,"FixedOperatingCostTimeSeries")</f>
        <v>hydrogen_turbineFixedOperatingCostTimeSeries</v>
      </c>
      <c r="B19" s="11">
        <v>0</v>
      </c>
      <c r="D19" s="11">
        <v>0</v>
      </c>
      <c r="E19" t="str">
        <f>IF(TechnologiesEmlab!H19&gt;0,"ACTIVE", "not active, max life extension 0")</f>
        <v>ACTIVE</v>
      </c>
    </row>
    <row r="20" spans="1:14">
      <c r="A20" t="str">
        <f>_xlfn.CONCAT(TechnologiesEmlab!A21,"FixedOperatingCostTimeSeries")</f>
        <v>hydrogen_CHPFixedOperatingCostTimeSeries</v>
      </c>
      <c r="B20" s="11">
        <v>0</v>
      </c>
      <c r="D20" s="11">
        <v>0</v>
      </c>
      <c r="E20" t="str">
        <f>IF(TechnologiesEmlab!H20&gt;0,"ACTIVE", "not active, max life extension 0")</f>
        <v>ACTIVE</v>
      </c>
      <c r="I20" t="s">
        <v>108</v>
      </c>
      <c r="K20" t="s">
        <v>400</v>
      </c>
      <c r="L20" t="s">
        <v>212</v>
      </c>
    </row>
    <row r="21" spans="1:14">
      <c r="A21" t="str">
        <f>_xlfn.CONCAT(TechnologiesEmlab!A22,"FixedOperatingCostTimeSeries")</f>
        <v>hydrogen_combined_cycleFixedOperatingCostTimeSeries</v>
      </c>
      <c r="B21" s="11">
        <v>0</v>
      </c>
      <c r="D21" s="11">
        <v>0</v>
      </c>
      <c r="E21" t="str">
        <f>IF(TechnologiesEmlab!H21&gt;0,"ACTIVE", "not active, max life extension 0")</f>
        <v>ACTIVE</v>
      </c>
      <c r="J21">
        <v>0</v>
      </c>
      <c r="K21">
        <v>4.5</v>
      </c>
      <c r="L21">
        <v>0.43</v>
      </c>
    </row>
    <row r="22" spans="1:14">
      <c r="A22" t="str">
        <f>_xlfn.CONCAT(TechnologiesEmlab!A23,"FixedOperatingCostTimeSeries")</f>
        <v>fuel_cellFixedOperatingCostTimeSeries</v>
      </c>
      <c r="B22" s="11">
        <v>0</v>
      </c>
      <c r="D22" s="11">
        <v>0</v>
      </c>
      <c r="E22" t="str">
        <f>IF(TechnologiesEmlab!H22&gt;0,"ACTIVE", "not active, max life extension 0")</f>
        <v>ACTIVE</v>
      </c>
      <c r="J22">
        <v>1</v>
      </c>
      <c r="K22">
        <f>$K$21*(1+$B$79)^J22</f>
        <v>4.5224999999999991</v>
      </c>
      <c r="L22">
        <f>$L$21*(1+$B$114)^J22</f>
        <v>0.43</v>
      </c>
    </row>
    <row r="23" spans="1:14">
      <c r="A23" t="str">
        <f>_xlfn.CONCAT(TechnologiesEmlab!A24,"FixedOperatingCostTimeSeries")</f>
        <v>electrolyzerFixedOperatingCostTimeSeries</v>
      </c>
      <c r="B23" s="11">
        <v>0</v>
      </c>
      <c r="D23" s="11">
        <v>0</v>
      </c>
      <c r="E23" t="str">
        <f>IF(TechnologiesEmlab!H23&gt;0,"ACTIVE", "not active, max life extension 0")</f>
        <v>not active, max life extension 0</v>
      </c>
      <c r="J23">
        <v>2</v>
      </c>
      <c r="K23">
        <f t="shared" ref="K23:K26" si="4">$K$21*(1+$B$79)^J23</f>
        <v>4.5451124999999983</v>
      </c>
      <c r="L23">
        <f>$L$21*(1+$B$114)^J23</f>
        <v>0.43</v>
      </c>
    </row>
    <row r="24" spans="1:14">
      <c r="A24" t="str">
        <f>_xlfn.CONCAT(TechnologiesEmlab!A25,"FixedOperatingCostTimeSeries")</f>
        <v>Power_to_Jet_FuelFixedOperatingCostTimeSeries</v>
      </c>
      <c r="B24" s="11">
        <v>0</v>
      </c>
      <c r="D24" s="11">
        <v>0</v>
      </c>
      <c r="E24" t="str">
        <f>IF(TechnologiesEmlab!H24&gt;0,"ACTIVE", "not active, max life extension 0")</f>
        <v>not active, max life extension 0</v>
      </c>
      <c r="J24">
        <v>3</v>
      </c>
      <c r="K24">
        <f t="shared" si="4"/>
        <v>4.5678380624999981</v>
      </c>
      <c r="L24">
        <f>$L$21*(1+$B$114)^J24</f>
        <v>0.43</v>
      </c>
    </row>
    <row r="25" spans="1:14">
      <c r="A25" t="str">
        <f>_xlfn.CONCAT(TechnologiesEmlab!A26,"FixedOperatingCostTimeSeries")</f>
        <v>CSP_ParabolicFixedOperatingCostTimeSeries</v>
      </c>
      <c r="B25" s="11">
        <v>0</v>
      </c>
      <c r="D25" s="11">
        <v>0</v>
      </c>
      <c r="E25" t="str">
        <f>IF(TechnologiesEmlab!H25&gt;0,"ACTIVE", "not active, max life extension 0")</f>
        <v>not active, max life extension 0</v>
      </c>
      <c r="J25">
        <v>9</v>
      </c>
      <c r="K25">
        <f t="shared" si="4"/>
        <v>4.7065976061527879</v>
      </c>
      <c r="L25">
        <f>$L$21*(1+$B$114)^J25</f>
        <v>0.43</v>
      </c>
    </row>
    <row r="26" spans="1:14">
      <c r="A26" t="str">
        <f>_xlfn.CONCAT(TechnologiesEmlab!A27,"FixedOperatingCostTimeSeries")</f>
        <v>CSP_TowerFixedOperatingCostTimeSeries</v>
      </c>
      <c r="B26" s="11">
        <v>0</v>
      </c>
      <c r="D26" s="11">
        <v>0</v>
      </c>
      <c r="E26" t="str">
        <f>IF(TechnologiesEmlab!H26&gt;0,"ACTIVE", "not active, max life extension 0")</f>
        <v>not active, max life extension 0</v>
      </c>
      <c r="J26">
        <v>26</v>
      </c>
      <c r="K26">
        <f t="shared" si="4"/>
        <v>5.1230679883283088</v>
      </c>
      <c r="L26">
        <f>$L$21*(1+$B$114)^J26</f>
        <v>0.43</v>
      </c>
    </row>
    <row r="27" spans="1:14">
      <c r="A27" t="str">
        <f>_xlfn.CONCAT(TechnologiesEmlab!A28,"FixedOperatingCostTimeSeries")</f>
        <v>Hydrogen_to_Jet_FuelFixedOperatingCostTimeSeries</v>
      </c>
      <c r="B27" s="11">
        <v>0</v>
      </c>
      <c r="D27" s="11">
        <v>0</v>
      </c>
      <c r="E27" t="str">
        <f>IF(TechnologiesEmlab!H27&gt;0,"ACTIVE", "not active, max life extension 0")</f>
        <v>not active, max life extension 0</v>
      </c>
    </row>
    <row r="28" spans="1:14">
      <c r="A28" t="str">
        <f>_xlfn.CONCAT(TechnologiesEmlab!A29,"FixedOperatingCostTimeSeries")</f>
        <v>Hydropower_RORFixedOperatingCostTimeSeries</v>
      </c>
      <c r="B28" s="11">
        <v>0</v>
      </c>
      <c r="D28" s="11">
        <v>0</v>
      </c>
      <c r="E28" t="str">
        <f>IF(TechnologiesEmlab!H28&gt;0,"ACTIVE", "not active, max life extension 0")</f>
        <v>not active, max life extension 0</v>
      </c>
      <c r="I28" t="s">
        <v>91</v>
      </c>
      <c r="K28" t="s">
        <v>400</v>
      </c>
    </row>
    <row r="29" spans="1:14">
      <c r="A29" t="str">
        <f>_xlfn.CONCAT(TechnologiesEmlab!A30,"FixedOperatingCostTimeSeries")</f>
        <v>Hydropower_reservoir_largeFixedOperatingCostTimeSeries</v>
      </c>
      <c r="B29" s="11">
        <v>0</v>
      </c>
      <c r="D29" s="11">
        <v>0</v>
      </c>
      <c r="E29" t="str">
        <f>IF(TechnologiesEmlab!H29&gt;0,"ACTIVE", "not active, max life extension 0")</f>
        <v>not active, max life extension 0</v>
      </c>
      <c r="J29">
        <v>0</v>
      </c>
      <c r="K29">
        <v>3</v>
      </c>
    </row>
    <row r="30" spans="1:14">
      <c r="A30" t="str">
        <f>_xlfn.CONCAT(TechnologiesEmlab!A31,"FixedOperatingCostTimeSeries")</f>
        <v>Hydropower_reservoir_smallFixedOperatingCostTimeSeries</v>
      </c>
      <c r="B30" s="11">
        <v>0</v>
      </c>
      <c r="D30" s="11">
        <v>0</v>
      </c>
      <c r="E30" t="str">
        <f>IF(TechnologiesEmlab!H30&gt;0,"ACTIVE", "not active, max life extension 0")</f>
        <v>not active, max life extension 0</v>
      </c>
      <c r="J30">
        <v>1</v>
      </c>
      <c r="K30">
        <f>$K$29*(1+$B$86)^J30</f>
        <v>3.0149999999999997</v>
      </c>
    </row>
    <row r="31" spans="1:14">
      <c r="A31" t="str">
        <f>_xlfn.CONCAT(TechnologiesEmlab!A32,"FixedOperatingCostTimeSeries")</f>
        <v>Nuclear_CHP_DHFixedOperatingCostTimeSeries</v>
      </c>
      <c r="B31" s="11">
        <v>0</v>
      </c>
      <c r="D31" s="11">
        <v>0</v>
      </c>
      <c r="E31" t="str">
        <f>IF(TechnologiesEmlab!H31&gt;0,"ACTIVE", "not active, max life extension 0")</f>
        <v>not active, max life extension 0</v>
      </c>
      <c r="J31">
        <v>2</v>
      </c>
      <c r="K31">
        <f t="shared" ref="K31:K32" si="5">$K$29*(1+$B$86)^J31</f>
        <v>3.0300749999999992</v>
      </c>
    </row>
    <row r="32" spans="1:14">
      <c r="A32" t="str">
        <f>_xlfn.CONCAT(TechnologiesEmlab!A33,"FixedOperatingCostTimeSeries")</f>
        <v>Nuclear_CHP_PHFixedOperatingCostTimeSeries</v>
      </c>
      <c r="B32" s="11">
        <v>0</v>
      </c>
      <c r="D32" s="11">
        <v>0</v>
      </c>
      <c r="E32" t="str">
        <f>IF(TechnologiesEmlab!H32&gt;0,"ACTIVE", "not active, max life extension 0")</f>
        <v>not active, max life extension 0</v>
      </c>
      <c r="J32">
        <v>25</v>
      </c>
      <c r="K32">
        <f t="shared" si="5"/>
        <v>3.3983867252592432</v>
      </c>
      <c r="N32">
        <f>K32/K29</f>
        <v>1.1327955750864145</v>
      </c>
    </row>
    <row r="33" spans="1:5">
      <c r="A33" t="str">
        <f>_xlfn.CONCAT(TechnologiesEmlab!A34,"FixedOperatingCostTimeSeries")</f>
        <v>PEM_ElectrolyzerFixedOperatingCostTimeSeries</v>
      </c>
      <c r="B33" s="11">
        <v>0</v>
      </c>
      <c r="D33" s="11">
        <v>0</v>
      </c>
      <c r="E33" t="str">
        <f>IF(TechnologiesEmlab!H33&gt;0,"ACTIVE", "not active, max life extension 0")</f>
        <v>not active, max life extension 0</v>
      </c>
    </row>
    <row r="34" spans="1:5">
      <c r="A34" t="str">
        <f>_xlfn.CONCAT(TechnologiesEmlab!A35,"FixedOperatingCostTimeSeries")</f>
        <v>Wave_energyFixedOperatingCostTimeSeries</v>
      </c>
      <c r="B34" s="11">
        <v>0</v>
      </c>
      <c r="D34" s="11">
        <v>0</v>
      </c>
      <c r="E34" t="str">
        <f>IF(TechnologiesEmlab!H34&gt;0,"ACTIVE", "not active, max life extension 0")</f>
        <v>not active, max life extension 0</v>
      </c>
    </row>
    <row r="35" spans="1:5">
      <c r="A35" t="str">
        <f>_xlfn.CONCAT(TechnologiesEmlab!A36,"FixedOperatingCostTimeSeries")</f>
        <v>PVFixedOperatingCostTimeSeries</v>
      </c>
      <c r="B35" s="11">
        <v>0</v>
      </c>
      <c r="D35" s="11">
        <v>0</v>
      </c>
      <c r="E35" t="str">
        <f>IF(TechnologiesEmlab!H35&gt;0,"ACTIVE", "not active, max life extension 0")</f>
        <v>not active, max life extension 0</v>
      </c>
    </row>
    <row r="36" spans="1:5">
      <c r="A36" t="str">
        <f>_xlfn.CONCAT(TechnologiesEmlab!A18,"FixedOperatingCostTimeSeries")</f>
        <v>PV_residentialFixedOperatingCostTimeSeries</v>
      </c>
      <c r="B36" s="11">
        <v>0</v>
      </c>
      <c r="D36" s="11">
        <v>0</v>
      </c>
      <c r="E36" t="str">
        <f>IF(TechnologiesEmlab!H36&gt;0,"ACTIVE", "not active, max life extension 0")</f>
        <v>not active, max life extension 0</v>
      </c>
    </row>
    <row r="37" spans="1:5">
      <c r="A37" s="52" t="str">
        <f>_xlfn.CONCAT(TechnologiesEmlab!A2,"InvestmentCostTimeSeries")</f>
        <v>Biomass_CHP_wood_pellets_DHInvestmentCostTimeSeries</v>
      </c>
      <c r="B37" s="11">
        <v>0</v>
      </c>
      <c r="D37" s="52">
        <v>0</v>
      </c>
      <c r="E37" t="s">
        <v>391</v>
      </c>
    </row>
    <row r="38" spans="1:5" s="11" customFormat="1">
      <c r="A38" s="53" t="str">
        <f>_xlfn.CONCAT(TechnologiesEmlab!A3,"InvestmentCostTimeSeries")</f>
        <v>Biomass_CHP_wood_pellets_PHInvestmentCostTimeSeries</v>
      </c>
      <c r="B38" s="11">
        <v>0</v>
      </c>
      <c r="D38" s="52">
        <v>0</v>
      </c>
      <c r="E38" t="s">
        <v>399</v>
      </c>
    </row>
    <row r="39" spans="1:5">
      <c r="A39" s="53" t="str">
        <f>_xlfn.CONCAT(TechnologiesEmlab!A4,"InvestmentCostTimeSeries")</f>
        <v>CCGTInvestmentCostTimeSeries</v>
      </c>
      <c r="B39" s="11">
        <v>0</v>
      </c>
      <c r="D39" s="52">
        <v>0</v>
      </c>
    </row>
    <row r="40" spans="1:5">
      <c r="A40" s="53" t="str">
        <f>_xlfn.CONCAT(TechnologiesEmlab!A5,"InvestmentCostTimeSeries")</f>
        <v>CCGT_CHP_backpressure_DHInvestmentCostTimeSeries</v>
      </c>
      <c r="B40" s="11">
        <v>0</v>
      </c>
      <c r="D40" s="52">
        <v>0</v>
      </c>
      <c r="E40" t="s">
        <v>388</v>
      </c>
    </row>
    <row r="41" spans="1:5">
      <c r="A41" s="53" t="str">
        <f>_xlfn.CONCAT(TechnologiesEmlab!A6,"InvestmentCostTimeSeries")</f>
        <v>CCGT_CHP_backpressure_PHInvestmentCostTimeSeries</v>
      </c>
      <c r="B41" s="11">
        <v>0</v>
      </c>
      <c r="D41" s="52">
        <v>0</v>
      </c>
      <c r="E41" t="s">
        <v>389</v>
      </c>
    </row>
    <row r="42" spans="1:5">
      <c r="A42" s="53" t="str">
        <f>_xlfn.CONCAT(TechnologiesEmlab!A7,"InvestmentCostTimeSeries")</f>
        <v>CCSInvestmentCostTimeSeries</v>
      </c>
      <c r="B42" s="11">
        <v>0</v>
      </c>
      <c r="D42" s="52">
        <v>0</v>
      </c>
      <c r="E42" t="s">
        <v>415</v>
      </c>
    </row>
    <row r="43" spans="1:5">
      <c r="A43" s="53" t="str">
        <f>_xlfn.CONCAT(TechnologiesEmlab!A8,"InvestmentCostTimeSeries")</f>
        <v>NuclearInvestmentCostTimeSeries</v>
      </c>
      <c r="B43" s="11">
        <v>0</v>
      </c>
      <c r="D43" s="52">
        <v>0</v>
      </c>
    </row>
    <row r="44" spans="1:5">
      <c r="A44" s="53" t="str">
        <f>_xlfn.CONCAT(TechnologiesEmlab!A9,"InvestmentCostTimeSeries")</f>
        <v>OCGTInvestmentCostTimeSeries</v>
      </c>
      <c r="B44" s="11">
        <v>0</v>
      </c>
      <c r="D44" s="52">
        <v>0</v>
      </c>
    </row>
    <row r="45" spans="1:5">
      <c r="A45" s="53" t="str">
        <f>_xlfn.CONCAT(TechnologiesEmlab!A10,"InvestmentCostTimeSeries")</f>
        <v>Coal PSCInvestmentCostTimeSeries</v>
      </c>
      <c r="B45" s="11">
        <v>0</v>
      </c>
      <c r="D45" s="52">
        <v>0</v>
      </c>
    </row>
    <row r="46" spans="1:5">
      <c r="A46" s="53" t="str">
        <f>_xlfn.CONCAT(TechnologiesEmlab!A11,"InvestmentCostTimeSeries")</f>
        <v>Lignite PSCInvestmentCostTimeSeries</v>
      </c>
      <c r="B46" s="11">
        <v>0</v>
      </c>
      <c r="D46" s="52">
        <v>0</v>
      </c>
    </row>
    <row r="47" spans="1:5">
      <c r="A47" s="53" t="str">
        <f>_xlfn.CONCAT(TechnologiesEmlab!A12,"InvestmentCostTimeSeries")</f>
        <v>Fuel oil PGTInvestmentCostTimeSeries</v>
      </c>
      <c r="B47" s="11">
        <v>0</v>
      </c>
      <c r="D47" s="52">
        <v>0</v>
      </c>
    </row>
    <row r="48" spans="1:5">
      <c r="A48" s="53" t="str">
        <f>_xlfn.CONCAT(TechnologiesEmlab!A13,"InvestmentCostTimeSeries")</f>
        <v>Lithium_ion_batteryInvestmentCostTimeSeries</v>
      </c>
      <c r="B48" s="11">
        <v>0</v>
      </c>
      <c r="D48" s="52">
        <v>0</v>
      </c>
    </row>
    <row r="49" spans="1:4">
      <c r="A49" s="53" t="str">
        <f>_xlfn.CONCAT(TechnologiesEmlab!A14,"InvestmentCostTimeSeries")</f>
        <v>Pumped_hydroInvestmentCostTimeSeries</v>
      </c>
      <c r="B49" s="11">
        <v>0</v>
      </c>
      <c r="D49" s="52">
        <v>0</v>
      </c>
    </row>
    <row r="50" spans="1:4">
      <c r="A50" s="53" t="str">
        <f>_xlfn.CONCAT(TechnologiesEmlab!A15,"InvestmentCostTimeSeries")</f>
        <v>WTG_offshoreInvestmentCostTimeSeries</v>
      </c>
      <c r="B50" s="11">
        <v>0</v>
      </c>
      <c r="D50" s="52">
        <v>0</v>
      </c>
    </row>
    <row r="51" spans="1:4">
      <c r="A51" s="53" t="str">
        <f>_xlfn.CONCAT(TechnologiesEmlab!A16,"InvestmentCostTimeSeries")</f>
        <v>WTG_onshoreInvestmentCostTimeSeries</v>
      </c>
      <c r="B51" s="11">
        <v>0</v>
      </c>
      <c r="D51" s="52">
        <v>0</v>
      </c>
    </row>
    <row r="52" spans="1:4">
      <c r="A52" s="53" t="str">
        <f>_xlfn.CONCAT(TechnologiesEmlab!A17,"InvestmentCostTimeSeries")</f>
        <v>PV_utility_systemsInvestmentCostTimeSeries</v>
      </c>
      <c r="B52" s="11">
        <v>0</v>
      </c>
      <c r="D52" s="52">
        <v>0</v>
      </c>
    </row>
    <row r="53" spans="1:4">
      <c r="A53" s="53" t="str">
        <f>_xlfn.CONCAT(TechnologiesEmlab!A19,"InvestmentCostTimeSeries")</f>
        <v>Hydropower_reservoir_mediumInvestmentCostTimeSeries</v>
      </c>
      <c r="B53" s="11">
        <v>0</v>
      </c>
      <c r="D53" s="52">
        <v>0</v>
      </c>
    </row>
    <row r="54" spans="1:4">
      <c r="A54" s="53" t="str">
        <f>_xlfn.CONCAT(TechnologiesEmlab!A20,"InvestmentCostTimeSeries")</f>
        <v>hydrogen_turbineInvestmentCostTimeSeries</v>
      </c>
      <c r="B54" s="11">
        <v>0</v>
      </c>
      <c r="D54" s="52">
        <v>0</v>
      </c>
    </row>
    <row r="55" spans="1:4">
      <c r="A55" s="53" t="str">
        <f>_xlfn.CONCAT(TechnologiesEmlab!A21,"InvestmentCostTimeSeries")</f>
        <v>hydrogen_CHPInvestmentCostTimeSeries</v>
      </c>
      <c r="B55" s="11">
        <v>0</v>
      </c>
      <c r="D55" s="52">
        <v>0</v>
      </c>
    </row>
    <row r="56" spans="1:4">
      <c r="A56" s="53" t="str">
        <f>_xlfn.CONCAT(TechnologiesEmlab!A22,"InvestmentCostTimeSeries")</f>
        <v>hydrogen_combined_cycleInvestmentCostTimeSeries</v>
      </c>
      <c r="B56" s="11">
        <v>0</v>
      </c>
      <c r="D56" s="52">
        <v>0</v>
      </c>
    </row>
    <row r="57" spans="1:4">
      <c r="A57" s="53" t="str">
        <f>_xlfn.CONCAT(TechnologiesEmlab!A23,"InvestmentCostTimeSeries")</f>
        <v>fuel_cellInvestmentCostTimeSeries</v>
      </c>
      <c r="B57" s="11">
        <v>0</v>
      </c>
      <c r="D57" s="52">
        <v>0</v>
      </c>
    </row>
    <row r="58" spans="1:4">
      <c r="A58" s="53" t="str">
        <f>_xlfn.CONCAT(TechnologiesEmlab!A24,"InvestmentCostTimeSeries")</f>
        <v>electrolyzerInvestmentCostTimeSeries</v>
      </c>
      <c r="B58" s="11">
        <v>0</v>
      </c>
      <c r="D58" s="52">
        <v>0</v>
      </c>
    </row>
    <row r="59" spans="1:4">
      <c r="A59" s="53" t="str">
        <f>_xlfn.CONCAT(TechnologiesEmlab!A25,"InvestmentCostTimeSeries")</f>
        <v>Power_to_Jet_FuelInvestmentCostTimeSeries</v>
      </c>
      <c r="B59" s="11">
        <v>0</v>
      </c>
      <c r="D59" s="52">
        <v>0</v>
      </c>
    </row>
    <row r="60" spans="1:4">
      <c r="A60" s="53" t="str">
        <f>_xlfn.CONCAT(TechnologiesEmlab!A26,"InvestmentCostTimeSeries")</f>
        <v>CSP_ParabolicInvestmentCostTimeSeries</v>
      </c>
      <c r="B60" s="11">
        <v>0</v>
      </c>
      <c r="D60" s="52">
        <v>0</v>
      </c>
    </row>
    <row r="61" spans="1:4">
      <c r="A61" s="53" t="str">
        <f>_xlfn.CONCAT(TechnologiesEmlab!A27,"InvestmentCostTimeSeries")</f>
        <v>CSP_TowerInvestmentCostTimeSeries</v>
      </c>
      <c r="B61" s="11">
        <v>0</v>
      </c>
      <c r="D61" s="52">
        <v>0</v>
      </c>
    </row>
    <row r="62" spans="1:4">
      <c r="A62" s="53" t="str">
        <f>_xlfn.CONCAT(TechnologiesEmlab!A28,"InvestmentCostTimeSeries")</f>
        <v>Hydrogen_to_Jet_FuelInvestmentCostTimeSeries</v>
      </c>
      <c r="B62" s="11">
        <v>0</v>
      </c>
      <c r="D62" s="52">
        <v>0</v>
      </c>
    </row>
    <row r="63" spans="1:4">
      <c r="A63" s="53" t="str">
        <f>_xlfn.CONCAT(TechnologiesEmlab!A29,"InvestmentCostTimeSeries")</f>
        <v>Hydropower_RORInvestmentCostTimeSeries</v>
      </c>
      <c r="B63" s="11">
        <v>0</v>
      </c>
      <c r="D63" s="52">
        <v>0</v>
      </c>
    </row>
    <row r="64" spans="1:4">
      <c r="A64" s="53" t="str">
        <f>_xlfn.CONCAT(TechnologiesEmlab!A30,"InvestmentCostTimeSeries")</f>
        <v>Hydropower_reservoir_largeInvestmentCostTimeSeries</v>
      </c>
      <c r="B64" s="11">
        <v>0</v>
      </c>
      <c r="D64" s="52">
        <v>0</v>
      </c>
    </row>
    <row r="65" spans="1:4">
      <c r="A65" s="53" t="str">
        <f>_xlfn.CONCAT(TechnologiesEmlab!A31,"InvestmentCostTimeSeries")</f>
        <v>Hydropower_reservoir_smallInvestmentCostTimeSeries</v>
      </c>
      <c r="B65" s="11">
        <v>0</v>
      </c>
      <c r="D65" s="52">
        <v>0</v>
      </c>
    </row>
    <row r="66" spans="1:4">
      <c r="A66" s="53" t="str">
        <f>_xlfn.CONCAT(TechnologiesEmlab!A32,"InvestmentCostTimeSeries")</f>
        <v>Nuclear_CHP_DHInvestmentCostTimeSeries</v>
      </c>
      <c r="B66" s="11">
        <v>0</v>
      </c>
      <c r="D66" s="52">
        <v>0</v>
      </c>
    </row>
    <row r="67" spans="1:4">
      <c r="A67" s="53" t="str">
        <f>_xlfn.CONCAT(TechnologiesEmlab!A33,"InvestmentCostTimeSeries")</f>
        <v>Nuclear_CHP_PHInvestmentCostTimeSeries</v>
      </c>
      <c r="B67" s="11">
        <v>0</v>
      </c>
      <c r="D67" s="52">
        <v>0</v>
      </c>
    </row>
    <row r="68" spans="1:4">
      <c r="A68" s="53" t="str">
        <f>_xlfn.CONCAT(TechnologiesEmlab!A34,"InvestmentCostTimeSeries")</f>
        <v>PEM_ElectrolyzerInvestmentCostTimeSeries</v>
      </c>
      <c r="B68" s="11">
        <v>0</v>
      </c>
      <c r="D68" s="52">
        <v>0</v>
      </c>
    </row>
    <row r="69" spans="1:4">
      <c r="A69" s="53" t="str">
        <f>_xlfn.CONCAT(TechnologiesEmlab!A35,"InvestmentCostTimeSeries")</f>
        <v>Wave_energyInvestmentCostTimeSeries</v>
      </c>
      <c r="B69" s="11">
        <v>0</v>
      </c>
      <c r="D69" s="52">
        <v>0</v>
      </c>
    </row>
    <row r="70" spans="1:4">
      <c r="A70" s="53" t="str">
        <f>_xlfn.CONCAT(TechnologiesEmlab!A36,"InvestmentCostTimeSeries")</f>
        <v>PVInvestmentCostTimeSeries</v>
      </c>
      <c r="B70" s="11">
        <v>0</v>
      </c>
      <c r="D70" s="52">
        <v>0</v>
      </c>
    </row>
    <row r="71" spans="1:4">
      <c r="A71" s="53" t="str">
        <f>_xlfn.CONCAT(TechnologiesEmlab!A18,"InvestmentCostTimeSeries")</f>
        <v>PV_residentialInvestmentCostTimeSeries</v>
      </c>
      <c r="B71" s="11">
        <v>0</v>
      </c>
      <c r="D71" s="52">
        <v>0</v>
      </c>
    </row>
    <row r="72" spans="1:4">
      <c r="A72" s="11" t="str">
        <f>_xlfn.CONCAT(TechnologiesEmlab!A2,"VariableCostTimeSeries")</f>
        <v>Biomass_CHP_wood_pellets_DHVariableCostTimeSeries</v>
      </c>
      <c r="B72" s="11">
        <v>5.0000000000000001E-3</v>
      </c>
      <c r="D72" s="11">
        <v>5.0000000000000001E-3</v>
      </c>
    </row>
    <row r="73" spans="1:4">
      <c r="A73" t="str">
        <f>_xlfn.CONCAT(TechnologiesEmlab!A3,"VariableCostTimeSeries")</f>
        <v>Biomass_CHP_wood_pellets_PHVariableCostTimeSeries</v>
      </c>
      <c r="B73" s="11">
        <v>5.0000000000000001E-3</v>
      </c>
      <c r="D73" s="11">
        <v>5.0000000000000001E-3</v>
      </c>
    </row>
    <row r="74" spans="1:4">
      <c r="A74" t="str">
        <f>_xlfn.CONCAT(TechnologiesEmlab!A4,"VariableCostTimeSeries")</f>
        <v>CCGTVariableCostTimeSeries</v>
      </c>
      <c r="B74" s="11">
        <v>5.0000000000000001E-3</v>
      </c>
      <c r="D74" s="11">
        <v>5.0000000000000001E-3</v>
      </c>
    </row>
    <row r="75" spans="1:4">
      <c r="A75" t="str">
        <f>_xlfn.CONCAT(TechnologiesEmlab!A5,"VariableCostTimeSeries")</f>
        <v>CCGT_CHP_backpressure_DHVariableCostTimeSeries</v>
      </c>
      <c r="B75" s="11">
        <v>5.0000000000000001E-3</v>
      </c>
      <c r="D75" s="11">
        <v>5.0000000000000001E-3</v>
      </c>
    </row>
    <row r="76" spans="1:4">
      <c r="A76" t="str">
        <f>_xlfn.CONCAT(TechnologiesEmlab!A6,"VariableCostTimeSeries")</f>
        <v>CCGT_CHP_backpressure_PHVariableCostTimeSeries</v>
      </c>
      <c r="B76" s="11">
        <v>5.0000000000000001E-3</v>
      </c>
      <c r="D76" s="11">
        <v>5.0000000000000001E-3</v>
      </c>
    </row>
    <row r="77" spans="1:4">
      <c r="A77" t="str">
        <f>_xlfn.CONCAT(TechnologiesEmlab!A7,"VariableCostTimeSeries")</f>
        <v>CCSVariableCostTimeSeries</v>
      </c>
      <c r="B77" s="11">
        <v>5.0000000000000001E-3</v>
      </c>
      <c r="D77" s="11">
        <v>5.0000000000000001E-3</v>
      </c>
    </row>
    <row r="78" spans="1:4">
      <c r="A78" t="str">
        <f>_xlfn.CONCAT(TechnologiesEmlab!A8,"VariableCostTimeSeries")</f>
        <v>NuclearVariableCostTimeSeries</v>
      </c>
      <c r="B78" s="11">
        <v>5.0000000000000001E-3</v>
      </c>
      <c r="D78" s="11">
        <v>5.0000000000000001E-3</v>
      </c>
    </row>
    <row r="79" spans="1:4">
      <c r="A79" t="str">
        <f>_xlfn.CONCAT(TechnologiesEmlab!A9,"VariableCostTimeSeries")</f>
        <v>OCGTVariableCostTimeSeries</v>
      </c>
      <c r="B79" s="11">
        <v>5.0000000000000001E-3</v>
      </c>
      <c r="D79" s="11">
        <v>5.0000000000000001E-3</v>
      </c>
    </row>
    <row r="80" spans="1:4">
      <c r="A80" t="str">
        <f>_xlfn.CONCAT(TechnologiesEmlab!A10,"VariableCostTimeSeries")</f>
        <v>Coal PSCVariableCostTimeSeries</v>
      </c>
      <c r="B80" s="11">
        <v>5.0000000000000001E-3</v>
      </c>
      <c r="D80" s="11">
        <v>5.0000000000000001E-3</v>
      </c>
    </row>
    <row r="81" spans="1:4">
      <c r="A81" t="str">
        <f>_xlfn.CONCAT(TechnologiesEmlab!A11,"VariableCostTimeSeries")</f>
        <v>Lignite PSCVariableCostTimeSeries</v>
      </c>
      <c r="B81" s="11">
        <v>5.0000000000000001E-3</v>
      </c>
      <c r="D81" s="11">
        <v>5.0000000000000001E-3</v>
      </c>
    </row>
    <row r="82" spans="1:4">
      <c r="A82" t="str">
        <f>_xlfn.CONCAT(TechnologiesEmlab!A12,"VariableCostTimeSeries")</f>
        <v>Fuel oil PGTVariableCostTimeSeries</v>
      </c>
      <c r="B82" s="11">
        <v>5.0000000000000001E-3</v>
      </c>
      <c r="D82" s="11">
        <v>5.0000000000000001E-3</v>
      </c>
    </row>
    <row r="83" spans="1:4">
      <c r="A83" t="str">
        <f>_xlfn.CONCAT(TechnologiesEmlab!A13,"VariableCostTimeSeries")</f>
        <v>Lithium_ion_batteryVariableCostTimeSeries</v>
      </c>
      <c r="B83" s="11">
        <v>5.0000000000000001E-3</v>
      </c>
      <c r="D83" s="11">
        <v>5.0000000000000001E-3</v>
      </c>
    </row>
    <row r="84" spans="1:4">
      <c r="A84" t="str">
        <f>_xlfn.CONCAT(TechnologiesEmlab!A14,"VariableCostTimeSeries")</f>
        <v>Pumped_hydroVariableCostTimeSeries</v>
      </c>
      <c r="B84" s="11">
        <v>5.0000000000000001E-3</v>
      </c>
      <c r="D84" s="11">
        <v>5.0000000000000001E-3</v>
      </c>
    </row>
    <row r="85" spans="1:4">
      <c r="A85" t="str">
        <f>_xlfn.CONCAT(TechnologiesEmlab!A15,"VariableCostTimeSeries")</f>
        <v>WTG_offshoreVariableCostTimeSeries</v>
      </c>
      <c r="B85" s="11">
        <v>5.0000000000000001E-3</v>
      </c>
      <c r="D85" s="11">
        <v>5.0000000000000001E-3</v>
      </c>
    </row>
    <row r="86" spans="1:4">
      <c r="A86" t="str">
        <f>_xlfn.CONCAT(TechnologiesEmlab!A16,"VariableCostTimeSeries")</f>
        <v>WTG_onshoreVariableCostTimeSeries</v>
      </c>
      <c r="B86" s="11">
        <v>5.0000000000000001E-3</v>
      </c>
      <c r="D86" s="11">
        <v>5.0000000000000001E-3</v>
      </c>
    </row>
    <row r="87" spans="1:4">
      <c r="A87" t="str">
        <f>_xlfn.CONCAT(TechnologiesEmlab!A17,"VariableCostTimeSeries")</f>
        <v>PV_utility_systemsVariableCostTimeSeries</v>
      </c>
      <c r="B87" s="11">
        <v>5.0000000000000001E-3</v>
      </c>
      <c r="D87" s="11">
        <v>5.0000000000000001E-3</v>
      </c>
    </row>
    <row r="88" spans="1:4">
      <c r="A88" t="str">
        <f>_xlfn.CONCAT(TechnologiesEmlab!A19,"VariableCostTimeSeries")</f>
        <v>Hydropower_reservoir_mediumVariableCostTimeSeries</v>
      </c>
      <c r="B88" s="11">
        <v>5.0000000000000001E-3</v>
      </c>
      <c r="D88" s="11">
        <v>5.0000000000000001E-3</v>
      </c>
    </row>
    <row r="89" spans="1:4">
      <c r="A89" t="str">
        <f>_xlfn.CONCAT(TechnologiesEmlab!A20,"VariableCostTimeSeries")</f>
        <v>hydrogen_turbineVariableCostTimeSeries</v>
      </c>
      <c r="B89" s="11">
        <v>5.0000000000000001E-3</v>
      </c>
      <c r="D89" s="11">
        <v>5.0000000000000001E-3</v>
      </c>
    </row>
    <row r="90" spans="1:4">
      <c r="A90" t="str">
        <f>_xlfn.CONCAT(TechnologiesEmlab!A21,"VariableCostTimeSeries")</f>
        <v>hydrogen_CHPVariableCostTimeSeries</v>
      </c>
      <c r="B90" s="11">
        <v>5.0000000000000001E-3</v>
      </c>
      <c r="D90" s="11">
        <v>5.0000000000000001E-3</v>
      </c>
    </row>
    <row r="91" spans="1:4">
      <c r="A91" t="str">
        <f>_xlfn.CONCAT(TechnologiesEmlab!A22,"VariableCostTimeSeries")</f>
        <v>hydrogen_combined_cycleVariableCostTimeSeries</v>
      </c>
      <c r="B91" s="11">
        <v>5.0000000000000001E-3</v>
      </c>
      <c r="D91" s="11">
        <v>5.0000000000000001E-3</v>
      </c>
    </row>
    <row r="92" spans="1:4">
      <c r="A92" t="str">
        <f>_xlfn.CONCAT(TechnologiesEmlab!A23,"VariableCostTimeSeries")</f>
        <v>fuel_cellVariableCostTimeSeries</v>
      </c>
      <c r="B92" s="11">
        <v>5.0000000000000001E-3</v>
      </c>
      <c r="D92" s="11">
        <v>5.0000000000000001E-3</v>
      </c>
    </row>
    <row r="93" spans="1:4">
      <c r="A93" t="str">
        <f>_xlfn.CONCAT(TechnologiesEmlab!A24,"VariableCostTimeSeries")</f>
        <v>electrolyzerVariableCostTimeSeries</v>
      </c>
      <c r="B93" s="11">
        <v>5.0000000000000001E-3</v>
      </c>
      <c r="D93" s="11">
        <v>5.0000000000000001E-3</v>
      </c>
    </row>
    <row r="94" spans="1:4">
      <c r="A94" t="str">
        <f>_xlfn.CONCAT(TechnologiesEmlab!A25,"VariableCostTimeSeries")</f>
        <v>Power_to_Jet_FuelVariableCostTimeSeries</v>
      </c>
      <c r="B94" s="11">
        <v>5.0000000000000001E-3</v>
      </c>
      <c r="D94" s="11">
        <v>5.0000000000000001E-3</v>
      </c>
    </row>
    <row r="95" spans="1:4">
      <c r="A95" t="str">
        <f>_xlfn.CONCAT(TechnologiesEmlab!A26,"VariableCostTimeSeries")</f>
        <v>CSP_ParabolicVariableCostTimeSeries</v>
      </c>
      <c r="B95" s="11">
        <v>5.0000000000000001E-3</v>
      </c>
      <c r="D95" s="11">
        <v>5.0000000000000001E-3</v>
      </c>
    </row>
    <row r="96" spans="1:4">
      <c r="A96" t="str">
        <f>_xlfn.CONCAT(TechnologiesEmlab!A27,"VariableCostTimeSeries")</f>
        <v>CSP_TowerVariableCostTimeSeries</v>
      </c>
      <c r="B96" s="11">
        <v>5.0000000000000001E-3</v>
      </c>
      <c r="D96" s="11">
        <v>5.0000000000000001E-3</v>
      </c>
    </row>
    <row r="97" spans="1:5">
      <c r="A97" t="str">
        <f>_xlfn.CONCAT(TechnologiesEmlab!A28,"VariableCostTimeSeries")</f>
        <v>Hydrogen_to_Jet_FuelVariableCostTimeSeries</v>
      </c>
      <c r="B97" s="11">
        <v>5.0000000000000001E-3</v>
      </c>
      <c r="D97" s="11">
        <v>5.0000000000000001E-3</v>
      </c>
    </row>
    <row r="98" spans="1:5">
      <c r="A98" t="str">
        <f>_xlfn.CONCAT(TechnologiesEmlab!A29,"VariableCostTimeSeries")</f>
        <v>Hydropower_RORVariableCostTimeSeries</v>
      </c>
      <c r="B98" s="11">
        <v>5.0000000000000001E-3</v>
      </c>
      <c r="D98" s="11">
        <v>5.0000000000000001E-3</v>
      </c>
    </row>
    <row r="99" spans="1:5">
      <c r="A99" t="str">
        <f>_xlfn.CONCAT(TechnologiesEmlab!A30,"VariableCostTimeSeries")</f>
        <v>Hydropower_reservoir_largeVariableCostTimeSeries</v>
      </c>
      <c r="B99" s="11">
        <v>5.0000000000000001E-3</v>
      </c>
      <c r="D99" s="11">
        <v>5.0000000000000001E-3</v>
      </c>
    </row>
    <row r="100" spans="1:5">
      <c r="A100" t="str">
        <f>_xlfn.CONCAT(TechnologiesEmlab!A31,"VariableCostTimeSeries")</f>
        <v>Hydropower_reservoir_smallVariableCostTimeSeries</v>
      </c>
      <c r="B100" s="11">
        <v>5.0000000000000001E-3</v>
      </c>
      <c r="D100" s="11">
        <v>5.0000000000000001E-3</v>
      </c>
    </row>
    <row r="101" spans="1:5">
      <c r="A101" t="str">
        <f>_xlfn.CONCAT(TechnologiesEmlab!A32,"VariableCostTimeSeries")</f>
        <v>Nuclear_CHP_DHVariableCostTimeSeries</v>
      </c>
      <c r="B101" s="11">
        <v>5.0000000000000001E-3</v>
      </c>
      <c r="D101" s="11">
        <v>5.0000000000000001E-3</v>
      </c>
    </row>
    <row r="102" spans="1:5">
      <c r="A102" t="str">
        <f>_xlfn.CONCAT(TechnologiesEmlab!A33,"VariableCostTimeSeries")</f>
        <v>Nuclear_CHP_PHVariableCostTimeSeries</v>
      </c>
      <c r="B102" s="11">
        <v>5.0000000000000001E-3</v>
      </c>
      <c r="D102" s="11">
        <v>5.0000000000000001E-3</v>
      </c>
    </row>
    <row r="103" spans="1:5">
      <c r="A103" t="str">
        <f>_xlfn.CONCAT(TechnologiesEmlab!A34,"VariableCostTimeSeries")</f>
        <v>PEM_ElectrolyzerVariableCostTimeSeries</v>
      </c>
      <c r="B103" s="11">
        <v>5.0000000000000001E-3</v>
      </c>
      <c r="D103" s="11">
        <v>5.0000000000000001E-3</v>
      </c>
    </row>
    <row r="104" spans="1:5">
      <c r="A104" t="str">
        <f>_xlfn.CONCAT(TechnologiesEmlab!A35,"VariableCostTimeSeries")</f>
        <v>Wave_energyVariableCostTimeSeries</v>
      </c>
      <c r="B104" s="11">
        <v>5.0000000000000001E-3</v>
      </c>
      <c r="D104" s="11">
        <v>5.0000000000000001E-3</v>
      </c>
    </row>
    <row r="105" spans="1:5">
      <c r="A105" t="str">
        <f>_xlfn.CONCAT(TechnologiesEmlab!A36,"VariableCostTimeSeries")</f>
        <v>PVVariableCostTimeSeries</v>
      </c>
      <c r="B105" s="11">
        <v>5.0000000000000001E-3</v>
      </c>
      <c r="D105" s="11">
        <v>5.0000000000000001E-3</v>
      </c>
    </row>
    <row r="106" spans="1:5">
      <c r="A106" t="str">
        <f>_xlfn.CONCAT(TechnologiesEmlab!A18,"VariableCostTimeSeries")</f>
        <v>PV_residentialVariableCostTimeSeries</v>
      </c>
      <c r="B106" s="11">
        <v>5.0000000000000001E-3</v>
      </c>
      <c r="D106" s="11">
        <v>5.0000000000000001E-3</v>
      </c>
    </row>
    <row r="107" spans="1:5">
      <c r="A107" s="52" t="str">
        <f>_xlfn.CONCAT(TechnologiesEmlab!A2,"EfficiencyTimeSeries")</f>
        <v>Biomass_CHP_wood_pellets_DHEfficiencyTimeSeries</v>
      </c>
      <c r="B107" s="11">
        <v>0</v>
      </c>
      <c r="D107" s="52">
        <v>-5.0000000000000001E-3</v>
      </c>
      <c r="E107" t="s">
        <v>398</v>
      </c>
    </row>
    <row r="108" spans="1:5">
      <c r="A108" s="53" t="str">
        <f>_xlfn.CONCAT(TechnologiesEmlab!A3,"EfficiencyTimeSeries")</f>
        <v>Biomass_CHP_wood_pellets_PHEfficiencyTimeSeries</v>
      </c>
      <c r="B108" s="11">
        <v>0</v>
      </c>
      <c r="D108" s="52">
        <v>-5.0000000000000001E-3</v>
      </c>
    </row>
    <row r="109" spans="1:5">
      <c r="A109" s="53" t="str">
        <f>_xlfn.CONCAT(TechnologiesEmlab!A4,"EfficiencyTimeSeries")</f>
        <v>CCGTEfficiencyTimeSeries</v>
      </c>
      <c r="B109" s="11">
        <v>0</v>
      </c>
      <c r="D109" s="52">
        <v>-5.0000000000000001E-3</v>
      </c>
    </row>
    <row r="110" spans="1:5">
      <c r="A110" s="53" t="str">
        <f>_xlfn.CONCAT(TechnologiesEmlab!A5,"EfficiencyTimeSeries")</f>
        <v>CCGT_CHP_backpressure_DHEfficiencyTimeSeries</v>
      </c>
      <c r="B110" s="11">
        <v>0</v>
      </c>
      <c r="D110" s="52">
        <v>-5.0000000000000001E-3</v>
      </c>
    </row>
    <row r="111" spans="1:5">
      <c r="A111" s="53" t="str">
        <f>_xlfn.CONCAT(TechnologiesEmlab!A6,"EfficiencyTimeSeries")</f>
        <v>CCGT_CHP_backpressure_PHEfficiencyTimeSeries</v>
      </c>
      <c r="B111" s="11">
        <v>0</v>
      </c>
      <c r="D111" s="52">
        <v>-5.0000000000000001E-3</v>
      </c>
    </row>
    <row r="112" spans="1:5">
      <c r="A112" s="53" t="str">
        <f>_xlfn.CONCAT(TechnologiesEmlab!A7,"EfficiencyTimeSeries")</f>
        <v>CCSEfficiencyTimeSeries</v>
      </c>
      <c r="B112" s="11">
        <v>0</v>
      </c>
      <c r="D112" s="52">
        <v>-5.0000000000000001E-3</v>
      </c>
    </row>
    <row r="113" spans="1:4">
      <c r="A113" s="53" t="str">
        <f>_xlfn.CONCAT(TechnologiesEmlab!A8,"EfficiencyTimeSeries")</f>
        <v>NuclearEfficiencyTimeSeries</v>
      </c>
      <c r="B113" s="11">
        <v>0</v>
      </c>
      <c r="D113" s="52">
        <v>-5.0000000000000001E-3</v>
      </c>
    </row>
    <row r="114" spans="1:4">
      <c r="A114" s="53" t="str">
        <f>_xlfn.CONCAT(TechnologiesEmlab!A9,"EfficiencyTimeSeries")</f>
        <v>OCGTEfficiencyTimeSeries</v>
      </c>
      <c r="B114" s="11">
        <v>0</v>
      </c>
      <c r="D114" s="52">
        <v>-5.0000000000000001E-3</v>
      </c>
    </row>
    <row r="115" spans="1:4">
      <c r="A115" s="53" t="str">
        <f>_xlfn.CONCAT(TechnologiesEmlab!A10,"EfficiencyTimeSeries")</f>
        <v>Coal PSCEfficiencyTimeSeries</v>
      </c>
      <c r="B115" s="11">
        <v>0</v>
      </c>
      <c r="D115" s="52">
        <v>-5.0000000000000001E-3</v>
      </c>
    </row>
    <row r="116" spans="1:4">
      <c r="A116" s="53" t="str">
        <f>_xlfn.CONCAT(TechnologiesEmlab!A11,"EfficiencyTimeSeries")</f>
        <v>Lignite PSCEfficiencyTimeSeries</v>
      </c>
      <c r="B116" s="11">
        <v>0</v>
      </c>
      <c r="D116" s="52">
        <v>-5.0000000000000001E-3</v>
      </c>
    </row>
    <row r="117" spans="1:4">
      <c r="A117" s="53" t="str">
        <f>_xlfn.CONCAT(TechnologiesEmlab!A12,"EfficiencyTimeSeries")</f>
        <v>Fuel oil PGTEfficiencyTimeSeries</v>
      </c>
      <c r="B117" s="11">
        <v>0</v>
      </c>
      <c r="D117" s="52">
        <v>-5.0000000000000001E-3</v>
      </c>
    </row>
    <row r="118" spans="1:4">
      <c r="A118" s="53" t="str">
        <f>_xlfn.CONCAT(TechnologiesEmlab!A13,"EfficiencyTimeSeries")</f>
        <v>Lithium_ion_batteryEfficiencyTimeSeries</v>
      </c>
      <c r="B118" s="11">
        <v>0</v>
      </c>
      <c r="D118" s="52">
        <v>-5.0000000000000001E-3</v>
      </c>
    </row>
    <row r="119" spans="1:4">
      <c r="A119" s="53" t="str">
        <f>_xlfn.CONCAT(TechnologiesEmlab!A14,"EfficiencyTimeSeries")</f>
        <v>Pumped_hydroEfficiencyTimeSeries</v>
      </c>
      <c r="B119" s="11">
        <v>0</v>
      </c>
      <c r="D119" s="52">
        <v>-5.0000000000000001E-3</v>
      </c>
    </row>
    <row r="120" spans="1:4">
      <c r="A120" s="53" t="str">
        <f>_xlfn.CONCAT(TechnologiesEmlab!A15,"EfficiencyTimeSeries")</f>
        <v>WTG_offshoreEfficiencyTimeSeries</v>
      </c>
      <c r="B120" s="11">
        <v>0</v>
      </c>
      <c r="D120" s="52">
        <v>-5.0000000000000001E-3</v>
      </c>
    </row>
    <row r="121" spans="1:4">
      <c r="A121" s="53" t="str">
        <f>_xlfn.CONCAT(TechnologiesEmlab!A16,"EfficiencyTimeSeries")</f>
        <v>WTG_onshoreEfficiencyTimeSeries</v>
      </c>
      <c r="B121" s="11">
        <v>0</v>
      </c>
      <c r="D121" s="52">
        <v>-5.0000000000000001E-3</v>
      </c>
    </row>
    <row r="122" spans="1:4">
      <c r="A122" s="53" t="str">
        <f>_xlfn.CONCAT(TechnologiesEmlab!A17,"EfficiencyTimeSeries")</f>
        <v>PV_utility_systemsEfficiencyTimeSeries</v>
      </c>
      <c r="B122" s="11">
        <v>0</v>
      </c>
      <c r="D122" s="52">
        <v>-5.0000000000000001E-3</v>
      </c>
    </row>
    <row r="123" spans="1:4">
      <c r="A123" s="53" t="str">
        <f>_xlfn.CONCAT(TechnologiesEmlab!A19,"EfficiencyTimeSeries")</f>
        <v>Hydropower_reservoir_mediumEfficiencyTimeSeries</v>
      </c>
      <c r="B123" s="11">
        <v>0</v>
      </c>
      <c r="D123" s="52">
        <v>-5.0000000000000001E-3</v>
      </c>
    </row>
    <row r="124" spans="1:4">
      <c r="A124" s="53" t="str">
        <f>_xlfn.CONCAT(TechnologiesEmlab!A20,"EfficiencyTimeSeries")</f>
        <v>hydrogen_turbineEfficiencyTimeSeries</v>
      </c>
      <c r="B124" s="11">
        <v>0</v>
      </c>
      <c r="D124" s="52">
        <v>-5.0000000000000001E-3</v>
      </c>
    </row>
    <row r="125" spans="1:4">
      <c r="A125" s="53" t="str">
        <f>_xlfn.CONCAT(TechnologiesEmlab!A21,"EfficiencyTimeSeries")</f>
        <v>hydrogen_CHPEfficiencyTimeSeries</v>
      </c>
      <c r="B125" s="11">
        <v>0</v>
      </c>
      <c r="D125" s="52">
        <v>-5.0000000000000001E-3</v>
      </c>
    </row>
    <row r="126" spans="1:4">
      <c r="A126" s="53" t="str">
        <f>_xlfn.CONCAT(TechnologiesEmlab!A22,"EfficiencyTimeSeries")</f>
        <v>hydrogen_combined_cycleEfficiencyTimeSeries</v>
      </c>
      <c r="B126" s="11">
        <v>0</v>
      </c>
      <c r="D126" s="52">
        <v>-5.0000000000000001E-3</v>
      </c>
    </row>
    <row r="127" spans="1:4">
      <c r="A127" s="53" t="str">
        <f>_xlfn.CONCAT(TechnologiesEmlab!A23,"EfficiencyTimeSeries")</f>
        <v>fuel_cellEfficiencyTimeSeries</v>
      </c>
      <c r="B127" s="11">
        <v>0</v>
      </c>
      <c r="D127" s="52">
        <v>-5.0000000000000001E-3</v>
      </c>
    </row>
    <row r="128" spans="1:4">
      <c r="A128" s="53" t="str">
        <f>_xlfn.CONCAT(TechnologiesEmlab!A24,"EfficiencyTimeSeries")</f>
        <v>electrolyzerEfficiencyTimeSeries</v>
      </c>
      <c r="B128" s="11">
        <v>0</v>
      </c>
      <c r="D128" s="52">
        <v>-5.0000000000000001E-3</v>
      </c>
    </row>
    <row r="129" spans="1:4">
      <c r="A129" s="53" t="str">
        <f>_xlfn.CONCAT(TechnologiesEmlab!A25,"EfficiencyTimeSeries")</f>
        <v>Power_to_Jet_FuelEfficiencyTimeSeries</v>
      </c>
      <c r="B129" s="11">
        <v>0</v>
      </c>
      <c r="D129" s="52">
        <v>-5.0000000000000001E-3</v>
      </c>
    </row>
    <row r="130" spans="1:4">
      <c r="A130" s="53" t="str">
        <f>_xlfn.CONCAT(TechnologiesEmlab!A26,"EfficiencyTimeSeries")</f>
        <v>CSP_ParabolicEfficiencyTimeSeries</v>
      </c>
      <c r="B130" s="11">
        <v>0</v>
      </c>
      <c r="D130" s="52">
        <v>-5.0000000000000001E-3</v>
      </c>
    </row>
    <row r="131" spans="1:4">
      <c r="A131" s="53" t="str">
        <f>_xlfn.CONCAT(TechnologiesEmlab!A27,"EfficiencyTimeSeries")</f>
        <v>CSP_TowerEfficiencyTimeSeries</v>
      </c>
      <c r="B131" s="11">
        <v>0</v>
      </c>
      <c r="D131" s="52">
        <v>-5.0000000000000001E-3</v>
      </c>
    </row>
    <row r="132" spans="1:4">
      <c r="A132" s="53" t="str">
        <f>_xlfn.CONCAT(TechnologiesEmlab!A28,"EfficiencyTimeSeries")</f>
        <v>Hydrogen_to_Jet_FuelEfficiencyTimeSeries</v>
      </c>
      <c r="B132" s="11">
        <v>0</v>
      </c>
      <c r="D132" s="52">
        <v>-5.0000000000000001E-3</v>
      </c>
    </row>
    <row r="133" spans="1:4">
      <c r="A133" s="53" t="str">
        <f>_xlfn.CONCAT(TechnologiesEmlab!A29,"EfficiencyTimeSeries")</f>
        <v>Hydropower_ROREfficiencyTimeSeries</v>
      </c>
      <c r="B133" s="11">
        <v>0</v>
      </c>
      <c r="D133" s="52">
        <v>-5.0000000000000001E-3</v>
      </c>
    </row>
    <row r="134" spans="1:4">
      <c r="A134" s="53" t="str">
        <f>_xlfn.CONCAT(TechnologiesEmlab!A30,"EfficiencyTimeSeries")</f>
        <v>Hydropower_reservoir_largeEfficiencyTimeSeries</v>
      </c>
      <c r="B134" s="11">
        <v>0</v>
      </c>
      <c r="D134" s="52">
        <v>-5.0000000000000001E-3</v>
      </c>
    </row>
    <row r="135" spans="1:4">
      <c r="A135" s="53" t="str">
        <f>_xlfn.CONCAT(TechnologiesEmlab!A31,"EfficiencyTimeSeries")</f>
        <v>Hydropower_reservoir_smallEfficiencyTimeSeries</v>
      </c>
      <c r="B135" s="11">
        <v>0</v>
      </c>
      <c r="D135" s="52">
        <v>-5.0000000000000001E-3</v>
      </c>
    </row>
    <row r="136" spans="1:4">
      <c r="A136" s="53" t="str">
        <f>_xlfn.CONCAT(TechnologiesEmlab!A32,"EfficiencyTimeSeries")</f>
        <v>Nuclear_CHP_DHEfficiencyTimeSeries</v>
      </c>
      <c r="B136" s="11">
        <v>0</v>
      </c>
      <c r="D136" s="52">
        <v>-5.0000000000000001E-3</v>
      </c>
    </row>
    <row r="137" spans="1:4">
      <c r="A137" s="53" t="str">
        <f>_xlfn.CONCAT(TechnologiesEmlab!A33,"EfficiencyTimeSeries")</f>
        <v>Nuclear_CHP_PHEfficiencyTimeSeries</v>
      </c>
      <c r="B137" s="11">
        <v>0</v>
      </c>
      <c r="D137" s="52">
        <v>-5.0000000000000001E-3</v>
      </c>
    </row>
    <row r="138" spans="1:4">
      <c r="A138" s="53" t="str">
        <f>_xlfn.CONCAT(TechnologiesEmlab!A34,"EfficiencyTimeSeries")</f>
        <v>PEM_ElectrolyzerEfficiencyTimeSeries</v>
      </c>
      <c r="B138" s="11">
        <v>0</v>
      </c>
      <c r="D138" s="52">
        <v>-5.0000000000000001E-3</v>
      </c>
    </row>
    <row r="139" spans="1:4">
      <c r="A139" s="53" t="str">
        <f>_xlfn.CONCAT(TechnologiesEmlab!A35,"EfficiencyTimeSeries")</f>
        <v>Wave_energyEfficiencyTimeSeries</v>
      </c>
      <c r="B139" s="11">
        <v>0</v>
      </c>
      <c r="D139" s="52">
        <v>-5.0000000000000001E-3</v>
      </c>
    </row>
    <row r="140" spans="1:4">
      <c r="A140" s="53" t="str">
        <f>_xlfn.CONCAT(TechnologiesEmlab!A36,"EfficiencyTimeSeries")</f>
        <v>PVEfficiencyTimeSeries</v>
      </c>
      <c r="B140" s="11">
        <v>0</v>
      </c>
      <c r="D140" s="52">
        <v>-5.0000000000000001E-3</v>
      </c>
    </row>
    <row r="141" spans="1:4">
      <c r="A141" s="53" t="str">
        <f>_xlfn.CONCAT(TechnologiesEmlab!A18,"EfficiencyTimeSeries")</f>
        <v>PV_residentialEfficiencyTimeSeries</v>
      </c>
      <c r="B141" s="11">
        <v>0</v>
      </c>
      <c r="D141" s="52">
        <v>-5.0000000000000001E-3</v>
      </c>
    </row>
    <row r="142" spans="1:4">
      <c r="A142" s="1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00C2-5618-47C8-85DE-085C29978032}">
  <sheetPr>
    <tabColor theme="7" tint="0.79998168889431442"/>
  </sheetPr>
  <dimension ref="A1:AE19"/>
  <sheetViews>
    <sheetView topLeftCell="I1" workbookViewId="0">
      <selection activeCell="Q31" sqref="Q31"/>
    </sheetView>
  </sheetViews>
  <sheetFormatPr defaultRowHeight="14.4"/>
  <cols>
    <col min="1" max="1" width="12.44140625" customWidth="1"/>
  </cols>
  <sheetData>
    <row r="1" spans="1:31">
      <c r="A1" t="s">
        <v>362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>
      <c r="A2" t="s">
        <v>363</v>
      </c>
      <c r="B2">
        <v>21</v>
      </c>
      <c r="C2">
        <v>21</v>
      </c>
      <c r="D2">
        <v>3</v>
      </c>
      <c r="E2">
        <v>13</v>
      </c>
      <c r="F2">
        <v>12</v>
      </c>
      <c r="G2">
        <v>9</v>
      </c>
      <c r="H2">
        <v>25</v>
      </c>
      <c r="I2">
        <v>23</v>
      </c>
      <c r="J2">
        <v>20</v>
      </c>
      <c r="K2">
        <v>17</v>
      </c>
      <c r="L2">
        <v>15</v>
      </c>
      <c r="M2">
        <v>24</v>
      </c>
      <c r="N2">
        <v>11</v>
      </c>
      <c r="O2">
        <v>12</v>
      </c>
      <c r="P2">
        <v>2</v>
      </c>
      <c r="Q2">
        <v>24</v>
      </c>
      <c r="R2">
        <v>12</v>
      </c>
      <c r="S2">
        <v>19</v>
      </c>
      <c r="T2">
        <v>22</v>
      </c>
      <c r="U2">
        <v>17</v>
      </c>
      <c r="V2">
        <v>19</v>
      </c>
      <c r="W2">
        <v>8</v>
      </c>
      <c r="X2">
        <v>16</v>
      </c>
      <c r="Y2">
        <v>25</v>
      </c>
      <c r="Z2">
        <v>15</v>
      </c>
      <c r="AA2">
        <v>2</v>
      </c>
      <c r="AB2">
        <v>25</v>
      </c>
      <c r="AC2">
        <v>8</v>
      </c>
      <c r="AD2">
        <v>24</v>
      </c>
      <c r="AE2">
        <v>6</v>
      </c>
    </row>
    <row r="3" spans="1:31">
      <c r="A3" t="s">
        <v>364</v>
      </c>
      <c r="B3">
        <v>16</v>
      </c>
      <c r="C3">
        <v>12</v>
      </c>
      <c r="D3">
        <v>16</v>
      </c>
      <c r="E3">
        <v>7</v>
      </c>
      <c r="F3">
        <v>7</v>
      </c>
      <c r="G3">
        <v>15</v>
      </c>
      <c r="H3">
        <v>11</v>
      </c>
      <c r="I3">
        <v>13</v>
      </c>
      <c r="J3">
        <v>28</v>
      </c>
      <c r="K3">
        <v>29</v>
      </c>
      <c r="L3">
        <v>7</v>
      </c>
      <c r="M3">
        <v>16</v>
      </c>
      <c r="N3">
        <v>20</v>
      </c>
      <c r="O3">
        <v>3</v>
      </c>
      <c r="P3">
        <v>26</v>
      </c>
      <c r="Q3">
        <v>11</v>
      </c>
      <c r="R3">
        <v>26</v>
      </c>
      <c r="S3">
        <v>17</v>
      </c>
      <c r="T3">
        <v>27</v>
      </c>
      <c r="U3">
        <v>7</v>
      </c>
      <c r="V3">
        <v>9</v>
      </c>
      <c r="W3">
        <v>3</v>
      </c>
      <c r="X3">
        <v>3</v>
      </c>
      <c r="Y3">
        <v>7</v>
      </c>
      <c r="Z3">
        <v>13</v>
      </c>
      <c r="AA3">
        <v>19</v>
      </c>
      <c r="AB3">
        <v>5</v>
      </c>
      <c r="AC3">
        <v>1</v>
      </c>
      <c r="AD3">
        <v>10</v>
      </c>
      <c r="AE3">
        <v>16</v>
      </c>
    </row>
    <row r="4" spans="1:31">
      <c r="A4" t="s">
        <v>365</v>
      </c>
      <c r="B4">
        <v>3</v>
      </c>
      <c r="C4">
        <v>22</v>
      </c>
      <c r="D4">
        <v>11</v>
      </c>
      <c r="E4">
        <v>21</v>
      </c>
      <c r="F4">
        <v>22</v>
      </c>
      <c r="G4">
        <v>1</v>
      </c>
      <c r="H4">
        <v>13</v>
      </c>
      <c r="I4">
        <v>15</v>
      </c>
      <c r="J4">
        <v>13</v>
      </c>
      <c r="K4">
        <v>23</v>
      </c>
      <c r="L4">
        <v>14</v>
      </c>
      <c r="M4">
        <v>28</v>
      </c>
      <c r="N4">
        <v>27</v>
      </c>
      <c r="O4">
        <v>1</v>
      </c>
      <c r="P4">
        <v>2</v>
      </c>
      <c r="Q4">
        <v>2</v>
      </c>
      <c r="R4">
        <v>2</v>
      </c>
      <c r="S4">
        <v>18</v>
      </c>
      <c r="T4">
        <v>12</v>
      </c>
      <c r="U4">
        <v>22</v>
      </c>
      <c r="V4">
        <v>28</v>
      </c>
      <c r="W4">
        <v>9</v>
      </c>
      <c r="X4">
        <v>28</v>
      </c>
      <c r="Y4">
        <v>17</v>
      </c>
      <c r="Z4">
        <v>9</v>
      </c>
      <c r="AA4">
        <v>21</v>
      </c>
      <c r="AB4">
        <v>3</v>
      </c>
      <c r="AC4">
        <v>9</v>
      </c>
      <c r="AD4">
        <v>13</v>
      </c>
      <c r="AE4">
        <v>13</v>
      </c>
    </row>
    <row r="5" spans="1:31">
      <c r="A5" t="s">
        <v>366</v>
      </c>
      <c r="B5">
        <v>14</v>
      </c>
      <c r="C5">
        <v>25</v>
      </c>
      <c r="D5">
        <v>19</v>
      </c>
      <c r="E5">
        <v>21</v>
      </c>
      <c r="F5">
        <v>25</v>
      </c>
      <c r="G5">
        <v>6</v>
      </c>
      <c r="H5">
        <v>11</v>
      </c>
      <c r="I5">
        <v>14</v>
      </c>
      <c r="J5">
        <v>6</v>
      </c>
      <c r="K5">
        <v>7</v>
      </c>
      <c r="L5">
        <v>2</v>
      </c>
      <c r="M5">
        <v>3</v>
      </c>
      <c r="N5">
        <v>15</v>
      </c>
      <c r="O5">
        <v>10</v>
      </c>
      <c r="P5">
        <v>10</v>
      </c>
      <c r="Q5">
        <v>0</v>
      </c>
      <c r="R5">
        <v>26</v>
      </c>
      <c r="S5">
        <v>29</v>
      </c>
      <c r="T5">
        <v>25</v>
      </c>
      <c r="U5">
        <v>16</v>
      </c>
      <c r="V5">
        <v>23</v>
      </c>
      <c r="W5">
        <v>27</v>
      </c>
      <c r="X5">
        <v>8</v>
      </c>
      <c r="Y5">
        <v>6</v>
      </c>
      <c r="Z5">
        <v>9</v>
      </c>
      <c r="AA5">
        <v>21</v>
      </c>
      <c r="AB5">
        <v>23</v>
      </c>
      <c r="AC5">
        <v>1</v>
      </c>
      <c r="AD5">
        <v>23</v>
      </c>
      <c r="AE5">
        <v>15</v>
      </c>
    </row>
    <row r="6" spans="1:31">
      <c r="A6" t="s">
        <v>367</v>
      </c>
      <c r="B6">
        <v>28</v>
      </c>
      <c r="C6">
        <v>8</v>
      </c>
      <c r="D6">
        <v>17</v>
      </c>
      <c r="E6">
        <v>11</v>
      </c>
      <c r="F6">
        <v>4</v>
      </c>
      <c r="G6">
        <v>16</v>
      </c>
      <c r="H6">
        <v>12</v>
      </c>
      <c r="I6">
        <v>18</v>
      </c>
      <c r="J6">
        <v>2</v>
      </c>
      <c r="K6">
        <v>16</v>
      </c>
      <c r="L6">
        <v>14</v>
      </c>
      <c r="M6">
        <v>15</v>
      </c>
      <c r="N6">
        <v>10</v>
      </c>
      <c r="O6">
        <v>22</v>
      </c>
      <c r="P6">
        <v>26</v>
      </c>
      <c r="Q6">
        <v>12</v>
      </c>
      <c r="R6">
        <v>0</v>
      </c>
      <c r="S6">
        <v>17</v>
      </c>
      <c r="T6">
        <v>21</v>
      </c>
      <c r="U6">
        <v>22</v>
      </c>
      <c r="V6">
        <v>6</v>
      </c>
      <c r="W6">
        <v>10</v>
      </c>
      <c r="X6">
        <v>14</v>
      </c>
      <c r="Y6">
        <v>24</v>
      </c>
      <c r="Z6">
        <v>7</v>
      </c>
      <c r="AA6">
        <v>11</v>
      </c>
      <c r="AB6">
        <v>8</v>
      </c>
      <c r="AC6">
        <v>28</v>
      </c>
      <c r="AD6">
        <v>17</v>
      </c>
      <c r="AE6">
        <v>3</v>
      </c>
    </row>
    <row r="7" spans="1:31">
      <c r="A7" t="s">
        <v>368</v>
      </c>
      <c r="B7">
        <v>5</v>
      </c>
      <c r="C7">
        <v>29</v>
      </c>
      <c r="D7">
        <v>5</v>
      </c>
      <c r="E7">
        <v>25</v>
      </c>
      <c r="F7">
        <v>16</v>
      </c>
      <c r="G7">
        <v>8</v>
      </c>
      <c r="H7">
        <v>15</v>
      </c>
      <c r="I7">
        <v>29</v>
      </c>
      <c r="J7">
        <v>19</v>
      </c>
      <c r="K7">
        <v>14</v>
      </c>
      <c r="L7">
        <v>18</v>
      </c>
      <c r="M7">
        <v>12</v>
      </c>
      <c r="N7">
        <v>18</v>
      </c>
      <c r="O7">
        <v>4</v>
      </c>
      <c r="P7">
        <v>22</v>
      </c>
      <c r="Q7">
        <v>9</v>
      </c>
      <c r="R7">
        <v>13</v>
      </c>
      <c r="S7">
        <v>10</v>
      </c>
      <c r="T7">
        <v>21</v>
      </c>
      <c r="U7">
        <v>8</v>
      </c>
      <c r="V7">
        <v>16</v>
      </c>
      <c r="W7">
        <v>6</v>
      </c>
      <c r="X7">
        <v>14</v>
      </c>
      <c r="Y7">
        <v>28</v>
      </c>
      <c r="Z7">
        <v>20</v>
      </c>
      <c r="AA7">
        <v>22</v>
      </c>
      <c r="AB7">
        <v>22</v>
      </c>
      <c r="AC7">
        <v>29</v>
      </c>
      <c r="AD7">
        <v>24</v>
      </c>
      <c r="AE7">
        <v>13</v>
      </c>
    </row>
    <row r="8" spans="1:31">
      <c r="A8" t="s">
        <v>369</v>
      </c>
      <c r="B8">
        <v>14</v>
      </c>
      <c r="C8">
        <v>6</v>
      </c>
      <c r="D8">
        <v>7</v>
      </c>
      <c r="E8">
        <v>20</v>
      </c>
      <c r="F8">
        <v>29</v>
      </c>
      <c r="G8">
        <v>10</v>
      </c>
      <c r="H8">
        <v>28</v>
      </c>
      <c r="I8">
        <v>20</v>
      </c>
      <c r="J8">
        <v>23</v>
      </c>
      <c r="K8">
        <v>23</v>
      </c>
      <c r="L8">
        <v>10</v>
      </c>
      <c r="M8">
        <v>16</v>
      </c>
      <c r="N8">
        <v>26</v>
      </c>
      <c r="O8">
        <v>24</v>
      </c>
      <c r="P8">
        <v>27</v>
      </c>
      <c r="Q8">
        <v>14</v>
      </c>
      <c r="R8">
        <v>24</v>
      </c>
      <c r="S8">
        <v>7</v>
      </c>
      <c r="T8">
        <v>23</v>
      </c>
      <c r="U8">
        <v>17</v>
      </c>
      <c r="V8">
        <v>26</v>
      </c>
      <c r="W8">
        <v>26</v>
      </c>
      <c r="X8">
        <v>8</v>
      </c>
      <c r="Y8">
        <v>17</v>
      </c>
      <c r="Z8">
        <v>28</v>
      </c>
      <c r="AA8">
        <v>18</v>
      </c>
      <c r="AB8">
        <v>16</v>
      </c>
      <c r="AC8">
        <v>19</v>
      </c>
      <c r="AD8">
        <v>21</v>
      </c>
      <c r="AE8">
        <v>2</v>
      </c>
    </row>
    <row r="9" spans="1:31">
      <c r="A9" t="s">
        <v>370</v>
      </c>
      <c r="B9">
        <v>29</v>
      </c>
      <c r="C9">
        <v>18</v>
      </c>
      <c r="D9">
        <v>15</v>
      </c>
      <c r="E9">
        <v>11</v>
      </c>
      <c r="F9">
        <v>4</v>
      </c>
      <c r="G9">
        <v>24</v>
      </c>
      <c r="H9">
        <v>5</v>
      </c>
      <c r="I9">
        <v>29</v>
      </c>
      <c r="J9">
        <v>29</v>
      </c>
      <c r="K9">
        <v>26</v>
      </c>
      <c r="L9">
        <v>1</v>
      </c>
      <c r="M9">
        <v>16</v>
      </c>
      <c r="N9">
        <v>24</v>
      </c>
      <c r="O9">
        <v>11</v>
      </c>
      <c r="P9">
        <v>24</v>
      </c>
      <c r="Q9">
        <v>12</v>
      </c>
      <c r="R9">
        <v>7</v>
      </c>
      <c r="S9">
        <v>19</v>
      </c>
      <c r="T9">
        <v>18</v>
      </c>
      <c r="U9">
        <v>10</v>
      </c>
      <c r="V9">
        <v>25</v>
      </c>
      <c r="W9">
        <v>17</v>
      </c>
      <c r="X9">
        <v>1</v>
      </c>
      <c r="Y9">
        <v>5</v>
      </c>
      <c r="Z9">
        <v>11</v>
      </c>
      <c r="AA9">
        <v>25</v>
      </c>
      <c r="AB9">
        <v>7</v>
      </c>
      <c r="AC9">
        <v>9</v>
      </c>
      <c r="AD9">
        <v>20</v>
      </c>
      <c r="AE9">
        <v>27</v>
      </c>
    </row>
    <row r="10" spans="1:31">
      <c r="A10" t="s">
        <v>371</v>
      </c>
      <c r="B10">
        <v>8</v>
      </c>
      <c r="C10">
        <v>22</v>
      </c>
      <c r="D10">
        <v>28</v>
      </c>
      <c r="E10">
        <v>22</v>
      </c>
      <c r="F10">
        <v>4</v>
      </c>
      <c r="G10">
        <v>0</v>
      </c>
      <c r="H10">
        <v>22</v>
      </c>
      <c r="I10">
        <v>24</v>
      </c>
      <c r="J10">
        <v>25</v>
      </c>
      <c r="K10">
        <v>19</v>
      </c>
      <c r="L10">
        <v>1</v>
      </c>
      <c r="M10">
        <v>17</v>
      </c>
      <c r="N10">
        <v>13</v>
      </c>
      <c r="O10">
        <v>8</v>
      </c>
      <c r="P10">
        <v>16</v>
      </c>
      <c r="Q10">
        <v>18</v>
      </c>
      <c r="R10">
        <v>4</v>
      </c>
      <c r="S10">
        <v>8</v>
      </c>
      <c r="T10">
        <v>23</v>
      </c>
      <c r="U10">
        <v>23</v>
      </c>
      <c r="V10">
        <v>22</v>
      </c>
      <c r="W10">
        <v>8</v>
      </c>
      <c r="X10">
        <v>5</v>
      </c>
      <c r="Y10">
        <v>8</v>
      </c>
      <c r="Z10">
        <v>5</v>
      </c>
      <c r="AA10">
        <v>14</v>
      </c>
      <c r="AB10">
        <v>7</v>
      </c>
      <c r="AC10">
        <v>6</v>
      </c>
      <c r="AD10">
        <v>20</v>
      </c>
      <c r="AE10">
        <v>24</v>
      </c>
    </row>
    <row r="11" spans="1:31">
      <c r="A11" t="s">
        <v>372</v>
      </c>
      <c r="B11">
        <v>6</v>
      </c>
      <c r="C11">
        <v>21</v>
      </c>
      <c r="D11">
        <v>24</v>
      </c>
      <c r="E11">
        <v>29</v>
      </c>
      <c r="F11">
        <v>5</v>
      </c>
      <c r="G11">
        <v>18</v>
      </c>
      <c r="H11">
        <v>26</v>
      </c>
      <c r="I11">
        <v>18</v>
      </c>
      <c r="J11">
        <v>10</v>
      </c>
      <c r="K11">
        <v>14</v>
      </c>
      <c r="L11">
        <v>12</v>
      </c>
      <c r="M11">
        <v>7</v>
      </c>
      <c r="N11">
        <v>24</v>
      </c>
      <c r="O11">
        <v>26</v>
      </c>
      <c r="P11">
        <v>13</v>
      </c>
      <c r="Q11">
        <v>16</v>
      </c>
      <c r="R11">
        <v>7</v>
      </c>
      <c r="S11">
        <v>0</v>
      </c>
      <c r="T11">
        <v>10</v>
      </c>
      <c r="U11">
        <v>0</v>
      </c>
      <c r="V11">
        <v>26</v>
      </c>
      <c r="W11">
        <v>3</v>
      </c>
      <c r="X11">
        <v>10</v>
      </c>
      <c r="Y11">
        <v>9</v>
      </c>
      <c r="Z11">
        <v>17</v>
      </c>
      <c r="AA11">
        <v>25</v>
      </c>
      <c r="AB11">
        <v>5</v>
      </c>
      <c r="AC11">
        <v>21</v>
      </c>
      <c r="AD11">
        <v>1</v>
      </c>
      <c r="AE11">
        <v>11</v>
      </c>
    </row>
    <row r="12" spans="1:31">
      <c r="A12" t="s">
        <v>373</v>
      </c>
      <c r="B12">
        <v>2</v>
      </c>
      <c r="C12">
        <v>20</v>
      </c>
      <c r="D12">
        <v>22</v>
      </c>
      <c r="E12">
        <v>7</v>
      </c>
      <c r="F12">
        <v>26</v>
      </c>
      <c r="G12">
        <v>18</v>
      </c>
      <c r="H12">
        <v>5</v>
      </c>
      <c r="I12">
        <v>22</v>
      </c>
      <c r="J12">
        <v>19</v>
      </c>
      <c r="K12">
        <v>6</v>
      </c>
      <c r="L12">
        <v>17</v>
      </c>
      <c r="M12">
        <v>28</v>
      </c>
      <c r="N12">
        <v>29</v>
      </c>
      <c r="O12">
        <v>11</v>
      </c>
      <c r="P12">
        <v>14</v>
      </c>
      <c r="Q12">
        <v>29</v>
      </c>
      <c r="R12">
        <v>23</v>
      </c>
      <c r="S12">
        <v>4</v>
      </c>
      <c r="T12">
        <v>5</v>
      </c>
      <c r="U12">
        <v>4</v>
      </c>
      <c r="V12">
        <v>17</v>
      </c>
      <c r="W12">
        <v>21</v>
      </c>
      <c r="X12">
        <v>2</v>
      </c>
      <c r="Y12">
        <v>13</v>
      </c>
      <c r="Z12">
        <v>0</v>
      </c>
      <c r="AA12">
        <v>8</v>
      </c>
      <c r="AB12">
        <v>24</v>
      </c>
      <c r="AC12">
        <v>11</v>
      </c>
      <c r="AD12">
        <v>12</v>
      </c>
      <c r="AE12">
        <v>10</v>
      </c>
    </row>
    <row r="13" spans="1:31">
      <c r="A13" t="s">
        <v>374</v>
      </c>
      <c r="B13">
        <v>21</v>
      </c>
      <c r="C13">
        <v>6</v>
      </c>
      <c r="D13">
        <v>27</v>
      </c>
      <c r="E13">
        <v>2</v>
      </c>
      <c r="F13">
        <v>10</v>
      </c>
      <c r="G13">
        <v>7</v>
      </c>
      <c r="H13">
        <v>28</v>
      </c>
      <c r="I13">
        <v>17</v>
      </c>
      <c r="J13">
        <v>16</v>
      </c>
      <c r="K13">
        <v>1</v>
      </c>
      <c r="L13">
        <v>3</v>
      </c>
      <c r="M13">
        <v>22</v>
      </c>
      <c r="N13">
        <v>17</v>
      </c>
      <c r="O13">
        <v>14</v>
      </c>
      <c r="P13">
        <v>1</v>
      </c>
      <c r="Q13">
        <v>29</v>
      </c>
      <c r="R13">
        <v>1</v>
      </c>
      <c r="S13">
        <v>9</v>
      </c>
      <c r="T13">
        <v>5</v>
      </c>
      <c r="U13">
        <v>8</v>
      </c>
      <c r="V13">
        <v>6</v>
      </c>
      <c r="W13">
        <v>9</v>
      </c>
      <c r="X13">
        <v>11</v>
      </c>
      <c r="Y13">
        <v>4</v>
      </c>
      <c r="Z13">
        <v>2</v>
      </c>
      <c r="AA13">
        <v>10</v>
      </c>
      <c r="AB13">
        <v>0</v>
      </c>
      <c r="AC13">
        <v>19</v>
      </c>
      <c r="AD13">
        <v>24</v>
      </c>
      <c r="AE13">
        <v>24</v>
      </c>
    </row>
    <row r="14" spans="1:31">
      <c r="A14" t="s">
        <v>375</v>
      </c>
      <c r="B14">
        <v>14</v>
      </c>
      <c r="C14">
        <v>9</v>
      </c>
      <c r="D14">
        <v>9</v>
      </c>
      <c r="E14">
        <v>26</v>
      </c>
      <c r="F14">
        <v>8</v>
      </c>
      <c r="G14">
        <v>21</v>
      </c>
      <c r="H14">
        <v>29</v>
      </c>
      <c r="I14">
        <v>9</v>
      </c>
      <c r="J14">
        <v>14</v>
      </c>
      <c r="K14">
        <v>24</v>
      </c>
      <c r="L14">
        <v>0</v>
      </c>
      <c r="M14">
        <v>11</v>
      </c>
      <c r="N14">
        <v>6</v>
      </c>
      <c r="O14">
        <v>23</v>
      </c>
      <c r="P14">
        <v>19</v>
      </c>
      <c r="Q14">
        <v>27</v>
      </c>
      <c r="R14">
        <v>9</v>
      </c>
      <c r="S14">
        <v>0</v>
      </c>
      <c r="T14">
        <v>11</v>
      </c>
      <c r="U14">
        <v>15</v>
      </c>
      <c r="V14">
        <v>13</v>
      </c>
      <c r="W14">
        <v>21</v>
      </c>
      <c r="X14">
        <v>7</v>
      </c>
      <c r="Y14">
        <v>29</v>
      </c>
      <c r="Z14">
        <v>4</v>
      </c>
      <c r="AA14">
        <v>4</v>
      </c>
      <c r="AB14">
        <v>2</v>
      </c>
      <c r="AC14">
        <v>11</v>
      </c>
      <c r="AD14">
        <v>19</v>
      </c>
      <c r="AE14">
        <v>4</v>
      </c>
    </row>
    <row r="15" spans="1:31">
      <c r="A15" t="s">
        <v>376</v>
      </c>
      <c r="B15">
        <v>29</v>
      </c>
      <c r="C15">
        <v>28</v>
      </c>
      <c r="D15">
        <v>14</v>
      </c>
      <c r="E15">
        <v>27</v>
      </c>
      <c r="F15">
        <v>1</v>
      </c>
      <c r="G15">
        <v>2</v>
      </c>
      <c r="H15">
        <v>6</v>
      </c>
      <c r="I15">
        <v>14</v>
      </c>
      <c r="J15">
        <v>28</v>
      </c>
      <c r="K15">
        <v>6</v>
      </c>
      <c r="L15">
        <v>23</v>
      </c>
      <c r="M15">
        <v>27</v>
      </c>
      <c r="N15">
        <v>0</v>
      </c>
      <c r="O15">
        <v>1</v>
      </c>
      <c r="P15">
        <v>13</v>
      </c>
      <c r="Q15">
        <v>9</v>
      </c>
      <c r="R15">
        <v>28</v>
      </c>
      <c r="S15">
        <v>20</v>
      </c>
      <c r="T15">
        <v>8</v>
      </c>
      <c r="U15">
        <v>0</v>
      </c>
      <c r="V15">
        <v>17</v>
      </c>
      <c r="W15">
        <v>4</v>
      </c>
      <c r="X15">
        <v>19</v>
      </c>
      <c r="Y15">
        <v>20</v>
      </c>
      <c r="Z15">
        <v>11</v>
      </c>
      <c r="AA15">
        <v>18</v>
      </c>
      <c r="AB15">
        <v>3</v>
      </c>
      <c r="AC15">
        <v>13</v>
      </c>
      <c r="AD15">
        <v>21</v>
      </c>
      <c r="AE15">
        <v>4</v>
      </c>
    </row>
    <row r="16" spans="1:31">
      <c r="A16" t="s">
        <v>377</v>
      </c>
      <c r="B16">
        <v>14</v>
      </c>
      <c r="C16">
        <v>9</v>
      </c>
      <c r="D16">
        <v>12</v>
      </c>
      <c r="E16">
        <v>4</v>
      </c>
      <c r="F16">
        <v>11</v>
      </c>
      <c r="G16">
        <v>15</v>
      </c>
      <c r="H16">
        <v>6</v>
      </c>
      <c r="I16">
        <v>19</v>
      </c>
      <c r="J16">
        <v>4</v>
      </c>
      <c r="K16">
        <v>27</v>
      </c>
      <c r="L16">
        <v>0</v>
      </c>
      <c r="M16">
        <v>10</v>
      </c>
      <c r="N16">
        <v>1</v>
      </c>
      <c r="O16">
        <v>22</v>
      </c>
      <c r="P16">
        <v>28</v>
      </c>
      <c r="Q16">
        <v>5</v>
      </c>
      <c r="R16">
        <v>1</v>
      </c>
      <c r="S16">
        <v>11</v>
      </c>
      <c r="T16">
        <v>21</v>
      </c>
      <c r="U16">
        <v>10</v>
      </c>
      <c r="V16">
        <v>4</v>
      </c>
      <c r="W16">
        <v>10</v>
      </c>
      <c r="X16">
        <v>0</v>
      </c>
      <c r="Y16">
        <v>11</v>
      </c>
      <c r="Z16">
        <v>12</v>
      </c>
      <c r="AA16">
        <v>11</v>
      </c>
      <c r="AB16">
        <v>10</v>
      </c>
      <c r="AC16">
        <v>19</v>
      </c>
      <c r="AD16">
        <v>24</v>
      </c>
      <c r="AE16">
        <v>13</v>
      </c>
    </row>
    <row r="18" spans="2:2">
      <c r="B18" s="44" t="s">
        <v>361</v>
      </c>
    </row>
    <row r="19" spans="2:2">
      <c r="B19">
        <f>AVERAGE(B2:AE16)</f>
        <v>14.331111111111111</v>
      </c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U19" sqref="U19"/>
    </sheetView>
  </sheetViews>
  <sheetFormatPr defaultRowHeight="14.4"/>
  <cols>
    <col min="1" max="1" width="19.44140625" customWidth="1"/>
    <col min="2" max="41" width="8.6640625" style="45"/>
  </cols>
  <sheetData>
    <row r="1" spans="1:43">
      <c r="A1" t="s">
        <v>379</v>
      </c>
      <c r="B1" s="45">
        <v>0</v>
      </c>
      <c r="C1" s="45">
        <v>1</v>
      </c>
      <c r="D1" s="45">
        <v>2</v>
      </c>
      <c r="E1" s="45">
        <v>3</v>
      </c>
      <c r="F1" s="45">
        <v>4</v>
      </c>
      <c r="G1" s="45">
        <v>5</v>
      </c>
      <c r="H1" s="45">
        <v>6</v>
      </c>
      <c r="I1" s="45">
        <v>7</v>
      </c>
      <c r="J1" s="45">
        <v>8</v>
      </c>
      <c r="K1" s="45">
        <v>9</v>
      </c>
      <c r="L1" s="45">
        <v>10</v>
      </c>
      <c r="M1" s="45">
        <v>11</v>
      </c>
      <c r="N1" s="45">
        <v>12</v>
      </c>
      <c r="O1" s="45">
        <v>13</v>
      </c>
      <c r="P1" s="45">
        <v>14</v>
      </c>
      <c r="Q1" s="45">
        <v>15</v>
      </c>
      <c r="R1" s="45">
        <v>16</v>
      </c>
      <c r="S1" s="45">
        <v>17</v>
      </c>
      <c r="T1" s="45">
        <v>18</v>
      </c>
      <c r="U1" s="45">
        <v>19</v>
      </c>
      <c r="V1" s="45">
        <v>20</v>
      </c>
      <c r="W1" s="45">
        <v>21</v>
      </c>
      <c r="X1" s="45">
        <v>22</v>
      </c>
      <c r="Y1" s="45">
        <v>23</v>
      </c>
      <c r="Z1" s="45">
        <v>24</v>
      </c>
      <c r="AA1" s="45">
        <v>25</v>
      </c>
      <c r="AB1" s="45">
        <v>26</v>
      </c>
      <c r="AC1" s="45">
        <v>27</v>
      </c>
      <c r="AD1" s="45">
        <v>28</v>
      </c>
      <c r="AE1" s="45">
        <v>29</v>
      </c>
      <c r="AF1" s="45">
        <v>30</v>
      </c>
      <c r="AG1" s="45">
        <v>31</v>
      </c>
      <c r="AH1" s="45">
        <v>32</v>
      </c>
      <c r="AI1" s="45">
        <v>33</v>
      </c>
      <c r="AJ1" s="45">
        <v>34</v>
      </c>
      <c r="AK1" s="45">
        <v>35</v>
      </c>
      <c r="AL1" s="45">
        <v>36</v>
      </c>
      <c r="AM1" s="45">
        <v>37</v>
      </c>
      <c r="AN1" s="45">
        <v>38</v>
      </c>
      <c r="AO1" s="45">
        <v>39</v>
      </c>
      <c r="AP1" s="45"/>
      <c r="AQ1" s="45"/>
    </row>
    <row r="2" spans="1:43">
      <c r="A2" t="s">
        <v>381</v>
      </c>
      <c r="B2" s="45">
        <v>1980</v>
      </c>
      <c r="C2" s="45">
        <v>1981</v>
      </c>
      <c r="D2" s="45">
        <v>1982</v>
      </c>
      <c r="E2" s="45">
        <v>1983</v>
      </c>
      <c r="F2" s="45">
        <v>1984</v>
      </c>
      <c r="G2" s="45">
        <v>1985</v>
      </c>
      <c r="H2" s="45">
        <v>1986</v>
      </c>
      <c r="I2" s="45">
        <v>1987</v>
      </c>
      <c r="J2" s="45">
        <v>1988</v>
      </c>
      <c r="K2" s="45">
        <v>1989</v>
      </c>
      <c r="L2" s="45">
        <v>1990</v>
      </c>
      <c r="M2" s="45">
        <v>1991</v>
      </c>
      <c r="N2" s="45">
        <v>1992</v>
      </c>
      <c r="O2" s="45">
        <v>1993</v>
      </c>
      <c r="P2" s="45">
        <v>1994</v>
      </c>
      <c r="Q2" s="45">
        <v>1995</v>
      </c>
      <c r="R2" s="45">
        <v>1996</v>
      </c>
      <c r="S2" s="45">
        <v>1997</v>
      </c>
      <c r="T2" s="45">
        <v>1998</v>
      </c>
      <c r="U2" s="45">
        <v>1999</v>
      </c>
      <c r="V2" s="45">
        <v>2000</v>
      </c>
      <c r="W2" s="45">
        <v>2001</v>
      </c>
      <c r="X2" s="45">
        <v>2002</v>
      </c>
      <c r="Y2" s="45">
        <v>2003</v>
      </c>
      <c r="Z2" s="45">
        <v>2004</v>
      </c>
      <c r="AA2" s="45">
        <v>2005</v>
      </c>
      <c r="AB2" s="45">
        <v>2006</v>
      </c>
      <c r="AC2" s="45">
        <v>2007</v>
      </c>
      <c r="AD2" s="45">
        <v>2008</v>
      </c>
      <c r="AE2" s="45">
        <v>2009</v>
      </c>
      <c r="AF2" s="45">
        <v>2010</v>
      </c>
      <c r="AG2" s="45">
        <v>2011</v>
      </c>
      <c r="AH2" s="45">
        <v>2012</v>
      </c>
      <c r="AI2" s="45">
        <v>2013</v>
      </c>
      <c r="AJ2" s="45">
        <v>2014</v>
      </c>
      <c r="AK2" s="45">
        <v>2015</v>
      </c>
      <c r="AL2" s="45">
        <v>2016</v>
      </c>
      <c r="AM2" s="45">
        <v>2017</v>
      </c>
      <c r="AN2" s="45">
        <v>2018</v>
      </c>
      <c r="AO2" s="45">
        <v>2019</v>
      </c>
      <c r="AP2" s="45"/>
      <c r="AQ2" s="45"/>
    </row>
    <row r="3" spans="1:43">
      <c r="A3" t="s">
        <v>364</v>
      </c>
      <c r="B3" s="45">
        <v>2009</v>
      </c>
      <c r="C3" s="45">
        <v>1999</v>
      </c>
      <c r="D3" s="45">
        <v>1981</v>
      </c>
      <c r="E3" s="45">
        <v>1984</v>
      </c>
      <c r="F3" s="45">
        <v>1989</v>
      </c>
      <c r="G3" s="45">
        <v>2004</v>
      </c>
      <c r="H3" s="45">
        <v>2009</v>
      </c>
      <c r="I3" s="45">
        <v>1992</v>
      </c>
      <c r="J3" s="45">
        <v>1980</v>
      </c>
      <c r="K3" s="45">
        <v>1987</v>
      </c>
      <c r="L3" s="45">
        <v>1986</v>
      </c>
      <c r="M3" s="45">
        <v>2002</v>
      </c>
      <c r="N3" s="45">
        <v>2002</v>
      </c>
      <c r="O3" s="45">
        <v>1998</v>
      </c>
      <c r="P3" s="45">
        <v>2009</v>
      </c>
      <c r="Q3" s="45">
        <v>1980</v>
      </c>
      <c r="R3" s="45">
        <v>2004</v>
      </c>
      <c r="S3" s="45">
        <v>1983</v>
      </c>
      <c r="T3" s="45">
        <v>1984</v>
      </c>
      <c r="U3" s="45">
        <v>1980</v>
      </c>
      <c r="V3" s="45">
        <v>2002</v>
      </c>
      <c r="W3" s="45">
        <v>1985</v>
      </c>
      <c r="X3" s="45">
        <v>2017</v>
      </c>
      <c r="Y3" s="45">
        <v>1986</v>
      </c>
      <c r="Z3" s="45">
        <v>2007</v>
      </c>
      <c r="AA3" s="45">
        <v>1998</v>
      </c>
      <c r="AB3" s="45">
        <v>1993</v>
      </c>
      <c r="AC3" s="45">
        <v>1992</v>
      </c>
      <c r="AD3" s="45">
        <v>1982</v>
      </c>
      <c r="AE3" s="45">
        <v>2008</v>
      </c>
      <c r="AF3" s="45">
        <v>2005</v>
      </c>
      <c r="AG3" s="45">
        <v>1993</v>
      </c>
      <c r="AH3" s="45">
        <v>2012</v>
      </c>
      <c r="AI3" s="45">
        <v>1993</v>
      </c>
      <c r="AJ3" s="45">
        <v>1992</v>
      </c>
      <c r="AK3" s="45">
        <v>1983</v>
      </c>
      <c r="AL3" s="45">
        <v>2003</v>
      </c>
      <c r="AM3" s="45">
        <v>1990</v>
      </c>
      <c r="AN3" s="45">
        <v>1997</v>
      </c>
      <c r="AO3" s="45">
        <v>2014</v>
      </c>
      <c r="AP3" s="45"/>
    </row>
    <row r="4" spans="1:43">
      <c r="A4" t="s">
        <v>365</v>
      </c>
      <c r="B4" s="45">
        <v>2006</v>
      </c>
      <c r="C4" s="45">
        <v>1988</v>
      </c>
      <c r="D4" s="45">
        <v>1981</v>
      </c>
      <c r="E4" s="45">
        <v>1982</v>
      </c>
      <c r="F4" s="45">
        <v>1999</v>
      </c>
      <c r="G4" s="45">
        <v>1989</v>
      </c>
      <c r="H4" s="45">
        <v>1993</v>
      </c>
      <c r="I4" s="45">
        <v>2017</v>
      </c>
      <c r="J4" s="45">
        <v>2014</v>
      </c>
      <c r="K4" s="45">
        <v>1982</v>
      </c>
      <c r="L4" s="45">
        <v>1985</v>
      </c>
      <c r="M4" s="45">
        <v>1997</v>
      </c>
      <c r="N4" s="45">
        <v>1986</v>
      </c>
      <c r="O4" s="45">
        <v>1983</v>
      </c>
      <c r="P4" s="45">
        <v>2002</v>
      </c>
      <c r="Q4" s="45">
        <v>2018</v>
      </c>
      <c r="R4" s="45">
        <v>1997</v>
      </c>
      <c r="S4" s="45">
        <v>1994</v>
      </c>
      <c r="T4" s="45">
        <v>2004</v>
      </c>
      <c r="U4" s="45">
        <v>1984</v>
      </c>
      <c r="V4" s="45">
        <v>2001</v>
      </c>
      <c r="W4" s="45">
        <v>1999</v>
      </c>
      <c r="X4" s="45">
        <v>1993</v>
      </c>
      <c r="Y4" s="45">
        <v>2003</v>
      </c>
      <c r="Z4" s="45">
        <v>1994</v>
      </c>
      <c r="AA4" s="45">
        <v>2011</v>
      </c>
      <c r="AB4" s="45">
        <v>1990</v>
      </c>
      <c r="AC4" s="45">
        <v>1983</v>
      </c>
      <c r="AD4" s="45">
        <v>1980</v>
      </c>
      <c r="AE4" s="45">
        <v>2002</v>
      </c>
      <c r="AF4" s="45">
        <v>2000</v>
      </c>
      <c r="AG4" s="45">
        <v>2001</v>
      </c>
      <c r="AH4" s="45">
        <v>1985</v>
      </c>
      <c r="AI4" s="45">
        <v>2015</v>
      </c>
      <c r="AJ4" s="45">
        <v>2007</v>
      </c>
      <c r="AK4" s="45">
        <v>1982</v>
      </c>
      <c r="AL4" s="45">
        <v>1982</v>
      </c>
      <c r="AM4" s="45">
        <v>1991</v>
      </c>
      <c r="AN4" s="45">
        <v>1990</v>
      </c>
      <c r="AO4" s="45">
        <v>2003</v>
      </c>
      <c r="AP4" s="45"/>
    </row>
    <row r="5" spans="1:43">
      <c r="A5" t="s">
        <v>366</v>
      </c>
      <c r="B5" s="45">
        <v>1989</v>
      </c>
      <c r="C5" s="45">
        <v>1989</v>
      </c>
      <c r="D5" s="45">
        <v>2006</v>
      </c>
      <c r="E5" s="45">
        <v>2003</v>
      </c>
      <c r="F5" s="45">
        <v>1980</v>
      </c>
      <c r="G5" s="45">
        <v>2019</v>
      </c>
      <c r="H5" s="45">
        <v>1987</v>
      </c>
      <c r="I5" s="45">
        <v>1988</v>
      </c>
      <c r="J5" s="45">
        <v>2018</v>
      </c>
      <c r="K5" s="45">
        <v>2001</v>
      </c>
      <c r="L5" s="45">
        <v>2003</v>
      </c>
      <c r="M5" s="45">
        <v>2010</v>
      </c>
      <c r="N5" s="45">
        <v>1996</v>
      </c>
      <c r="O5" s="45">
        <v>1993</v>
      </c>
      <c r="P5" s="45">
        <v>1996</v>
      </c>
      <c r="Q5" s="45">
        <v>2010</v>
      </c>
      <c r="R5" s="45">
        <v>2001</v>
      </c>
      <c r="S5" s="45">
        <v>2010</v>
      </c>
      <c r="T5" s="45">
        <v>2016</v>
      </c>
      <c r="U5" s="45">
        <v>2003</v>
      </c>
      <c r="V5" s="45">
        <v>1985</v>
      </c>
      <c r="W5" s="45">
        <v>1982</v>
      </c>
      <c r="X5" s="45">
        <v>1994</v>
      </c>
      <c r="Y5" s="45">
        <v>1983</v>
      </c>
      <c r="Z5" s="45">
        <v>2004</v>
      </c>
      <c r="AA5" s="45">
        <v>1983</v>
      </c>
      <c r="AB5" s="45">
        <v>2007</v>
      </c>
      <c r="AC5" s="45">
        <v>1991</v>
      </c>
      <c r="AD5" s="45">
        <v>1994</v>
      </c>
      <c r="AE5" s="45">
        <v>2011</v>
      </c>
      <c r="AF5" s="45">
        <v>2017</v>
      </c>
      <c r="AG5" s="45">
        <v>1989</v>
      </c>
      <c r="AH5" s="45">
        <v>1980</v>
      </c>
      <c r="AI5" s="45">
        <v>1990</v>
      </c>
      <c r="AJ5" s="45">
        <v>1996</v>
      </c>
      <c r="AK5" s="45">
        <v>1988</v>
      </c>
      <c r="AL5" s="45">
        <v>1998</v>
      </c>
      <c r="AM5" s="45">
        <v>2010</v>
      </c>
      <c r="AN5" s="45">
        <v>1990</v>
      </c>
      <c r="AO5" s="45">
        <v>2009</v>
      </c>
      <c r="AP5" s="45"/>
    </row>
    <row r="6" spans="1:43">
      <c r="A6" t="s">
        <v>367</v>
      </c>
      <c r="B6" s="45">
        <v>2015</v>
      </c>
      <c r="C6" s="45">
        <v>2001</v>
      </c>
      <c r="D6" s="45">
        <v>1985</v>
      </c>
      <c r="E6" s="45">
        <v>2016</v>
      </c>
      <c r="F6" s="45">
        <v>1996</v>
      </c>
      <c r="G6" s="45">
        <v>1996</v>
      </c>
      <c r="H6" s="45">
        <v>2006</v>
      </c>
      <c r="I6" s="45">
        <v>1994</v>
      </c>
      <c r="J6" s="45">
        <v>1995</v>
      </c>
      <c r="K6" s="45">
        <v>2019</v>
      </c>
      <c r="L6" s="45">
        <v>2015</v>
      </c>
      <c r="M6" s="45">
        <v>2009</v>
      </c>
      <c r="N6" s="45">
        <v>1996</v>
      </c>
      <c r="O6" s="45">
        <v>2016</v>
      </c>
      <c r="P6" s="45">
        <v>2007</v>
      </c>
      <c r="Q6" s="45">
        <v>2016</v>
      </c>
      <c r="R6" s="45">
        <v>1989</v>
      </c>
      <c r="S6" s="45">
        <v>1985</v>
      </c>
      <c r="T6" s="45">
        <v>2001</v>
      </c>
      <c r="U6" s="45">
        <v>2010</v>
      </c>
      <c r="V6" s="45">
        <v>2011</v>
      </c>
      <c r="W6" s="45">
        <v>1993</v>
      </c>
      <c r="X6" s="45">
        <v>1982</v>
      </c>
      <c r="Y6" s="45">
        <v>2002</v>
      </c>
      <c r="Z6" s="45">
        <v>2012</v>
      </c>
      <c r="AA6" s="45">
        <v>1991</v>
      </c>
      <c r="AB6" s="45">
        <v>1998</v>
      </c>
      <c r="AC6" s="45">
        <v>1993</v>
      </c>
      <c r="AD6" s="45">
        <v>1984</v>
      </c>
      <c r="AE6" s="45">
        <v>1985</v>
      </c>
      <c r="AF6" s="45">
        <v>2008</v>
      </c>
      <c r="AG6" s="45">
        <v>2012</v>
      </c>
      <c r="AH6" s="45">
        <v>2019</v>
      </c>
      <c r="AI6" s="45">
        <v>2011</v>
      </c>
      <c r="AJ6" s="45">
        <v>2015</v>
      </c>
      <c r="AK6" s="45">
        <v>2008</v>
      </c>
      <c r="AL6" s="45">
        <v>1981</v>
      </c>
      <c r="AM6" s="45">
        <v>2014</v>
      </c>
      <c r="AN6" s="45">
        <v>1997</v>
      </c>
      <c r="AO6" s="45">
        <v>1987</v>
      </c>
      <c r="AP6" s="45"/>
    </row>
    <row r="7" spans="1:43">
      <c r="A7" t="s">
        <v>368</v>
      </c>
      <c r="B7" s="45">
        <v>2006</v>
      </c>
      <c r="C7" s="45">
        <v>1982</v>
      </c>
      <c r="D7" s="45">
        <v>1982</v>
      </c>
      <c r="E7" s="45">
        <v>2009</v>
      </c>
      <c r="F7" s="45">
        <v>2015</v>
      </c>
      <c r="G7" s="45">
        <v>1982</v>
      </c>
      <c r="H7" s="45">
        <v>1983</v>
      </c>
      <c r="I7" s="45">
        <v>2012</v>
      </c>
      <c r="J7" s="45">
        <v>1998</v>
      </c>
      <c r="K7" s="45">
        <v>2007</v>
      </c>
      <c r="L7" s="45">
        <v>1994</v>
      </c>
      <c r="M7" s="45">
        <v>2000</v>
      </c>
      <c r="N7" s="45">
        <v>1999</v>
      </c>
      <c r="O7" s="45">
        <v>1987</v>
      </c>
      <c r="P7" s="45">
        <v>1990</v>
      </c>
      <c r="Q7" s="45">
        <v>1991</v>
      </c>
      <c r="R7" s="45">
        <v>2005</v>
      </c>
      <c r="S7" s="45">
        <v>2009</v>
      </c>
      <c r="T7" s="45">
        <v>2004</v>
      </c>
      <c r="U7" s="45">
        <v>2008</v>
      </c>
      <c r="V7" s="45">
        <v>1986</v>
      </c>
      <c r="W7" s="45">
        <v>2001</v>
      </c>
      <c r="X7" s="45">
        <v>2009</v>
      </c>
      <c r="Y7" s="45">
        <v>2006</v>
      </c>
      <c r="Z7" s="45">
        <v>2010</v>
      </c>
      <c r="AA7" s="45">
        <v>1990</v>
      </c>
      <c r="AB7" s="45">
        <v>2013</v>
      </c>
      <c r="AC7" s="45">
        <v>1993</v>
      </c>
      <c r="AD7" s="45">
        <v>1992</v>
      </c>
      <c r="AE7" s="45">
        <v>1988</v>
      </c>
      <c r="AF7" s="45">
        <v>1993</v>
      </c>
      <c r="AG7" s="45">
        <v>2009</v>
      </c>
      <c r="AH7" s="45">
        <v>1988</v>
      </c>
      <c r="AI7" s="45">
        <v>2002</v>
      </c>
      <c r="AJ7" s="45">
        <v>2007</v>
      </c>
      <c r="AK7" s="45">
        <v>1981</v>
      </c>
      <c r="AL7" s="45">
        <v>2010</v>
      </c>
      <c r="AM7" s="45">
        <v>2002</v>
      </c>
      <c r="AN7" s="45">
        <v>1994</v>
      </c>
      <c r="AO7" s="45">
        <v>1991</v>
      </c>
      <c r="AP7" s="45"/>
    </row>
    <row r="8" spans="1:43">
      <c r="A8" t="s">
        <v>369</v>
      </c>
      <c r="B8" s="45">
        <v>1991</v>
      </c>
      <c r="C8" s="45">
        <v>1993</v>
      </c>
      <c r="D8" s="45">
        <v>1985</v>
      </c>
      <c r="E8" s="45">
        <v>2006</v>
      </c>
      <c r="F8" s="45">
        <v>2003</v>
      </c>
      <c r="G8" s="45">
        <v>2005</v>
      </c>
      <c r="H8" s="45">
        <v>1999</v>
      </c>
      <c r="I8" s="45">
        <v>1987</v>
      </c>
      <c r="J8" s="45">
        <v>2018</v>
      </c>
      <c r="K8" s="45">
        <v>2017</v>
      </c>
      <c r="L8" s="45">
        <v>1982</v>
      </c>
      <c r="M8" s="45">
        <v>2003</v>
      </c>
      <c r="N8" s="45">
        <v>2010</v>
      </c>
      <c r="O8" s="45">
        <v>1994</v>
      </c>
      <c r="P8" s="45">
        <v>2000</v>
      </c>
      <c r="Q8" s="45">
        <v>1989</v>
      </c>
      <c r="R8" s="45">
        <v>1991</v>
      </c>
      <c r="S8" s="45">
        <v>1996</v>
      </c>
      <c r="T8" s="45">
        <v>1992</v>
      </c>
      <c r="U8" s="45">
        <v>1999</v>
      </c>
      <c r="V8" s="45">
        <v>2015</v>
      </c>
      <c r="W8" s="45">
        <v>2016</v>
      </c>
      <c r="X8" s="45">
        <v>1985</v>
      </c>
      <c r="Y8" s="45">
        <v>1986</v>
      </c>
      <c r="Z8" s="45">
        <v>1982</v>
      </c>
      <c r="AA8" s="45">
        <v>2010</v>
      </c>
      <c r="AB8" s="45">
        <v>1986</v>
      </c>
      <c r="AC8" s="45">
        <v>1985</v>
      </c>
      <c r="AD8" s="45">
        <v>1986</v>
      </c>
      <c r="AE8" s="45">
        <v>2018</v>
      </c>
      <c r="AF8" s="45">
        <v>2014</v>
      </c>
      <c r="AG8" s="45">
        <v>2014</v>
      </c>
      <c r="AH8" s="45">
        <v>2011</v>
      </c>
      <c r="AI8" s="45">
        <v>2000</v>
      </c>
      <c r="AJ8" s="45">
        <v>2006</v>
      </c>
      <c r="AK8" s="45">
        <v>2008</v>
      </c>
      <c r="AL8" s="45">
        <v>1989</v>
      </c>
      <c r="AM8" s="45">
        <v>1984</v>
      </c>
      <c r="AN8" s="45">
        <v>1991</v>
      </c>
      <c r="AO8" s="45">
        <v>1985</v>
      </c>
      <c r="AP8" s="45"/>
    </row>
    <row r="9" spans="1:43">
      <c r="A9" t="s">
        <v>370</v>
      </c>
      <c r="B9" s="45">
        <v>1985</v>
      </c>
      <c r="C9" s="45">
        <v>2016</v>
      </c>
      <c r="D9" s="45">
        <v>2004</v>
      </c>
      <c r="E9" s="45">
        <v>1992</v>
      </c>
      <c r="F9" s="45">
        <v>2015</v>
      </c>
      <c r="G9" s="45">
        <v>1986</v>
      </c>
      <c r="H9" s="45">
        <v>1995</v>
      </c>
      <c r="I9" s="45">
        <v>1986</v>
      </c>
      <c r="J9" s="45">
        <v>2005</v>
      </c>
      <c r="K9" s="45">
        <v>2004</v>
      </c>
      <c r="L9" s="45">
        <v>1990</v>
      </c>
      <c r="M9" s="45">
        <v>2015</v>
      </c>
      <c r="N9" s="45">
        <v>2019</v>
      </c>
      <c r="O9" s="45">
        <v>1991</v>
      </c>
      <c r="P9" s="45">
        <v>1994</v>
      </c>
      <c r="Q9" s="45">
        <v>2005</v>
      </c>
      <c r="R9" s="45">
        <v>2004</v>
      </c>
      <c r="S9" s="45">
        <v>1983</v>
      </c>
      <c r="T9" s="45">
        <v>2012</v>
      </c>
      <c r="U9" s="45">
        <v>1992</v>
      </c>
      <c r="V9" s="45">
        <v>1993</v>
      </c>
      <c r="W9" s="45">
        <v>2011</v>
      </c>
      <c r="X9" s="45">
        <v>2019</v>
      </c>
      <c r="Y9" s="45">
        <v>2013</v>
      </c>
      <c r="Z9" s="45">
        <v>2003</v>
      </c>
      <c r="AA9" s="45">
        <v>2016</v>
      </c>
      <c r="AB9" s="45">
        <v>1996</v>
      </c>
      <c r="AC9" s="45">
        <v>2008</v>
      </c>
      <c r="AD9" s="45">
        <v>1993</v>
      </c>
      <c r="AE9" s="45">
        <v>2007</v>
      </c>
      <c r="AF9" s="45">
        <v>2014</v>
      </c>
      <c r="AG9" s="45">
        <v>1986</v>
      </c>
      <c r="AH9" s="45">
        <v>1999</v>
      </c>
      <c r="AI9" s="45">
        <v>1981</v>
      </c>
      <c r="AJ9" s="45">
        <v>2001</v>
      </c>
      <c r="AK9" s="45">
        <v>1986</v>
      </c>
      <c r="AL9" s="45">
        <v>1990</v>
      </c>
      <c r="AM9" s="45">
        <v>1993</v>
      </c>
      <c r="AN9" s="45">
        <v>2008</v>
      </c>
      <c r="AO9" s="45">
        <v>1997</v>
      </c>
      <c r="AP9" s="45"/>
    </row>
    <row r="10" spans="1:43">
      <c r="A10" t="s">
        <v>371</v>
      </c>
      <c r="B10" s="45">
        <v>1989</v>
      </c>
      <c r="C10" s="45">
        <v>2009</v>
      </c>
      <c r="D10" s="45">
        <v>2014</v>
      </c>
      <c r="E10" s="45">
        <v>1989</v>
      </c>
      <c r="F10" s="45">
        <v>2014</v>
      </c>
      <c r="G10" s="45">
        <v>2013</v>
      </c>
      <c r="H10" s="45">
        <v>2018</v>
      </c>
      <c r="I10" s="45">
        <v>2011</v>
      </c>
      <c r="J10" s="45">
        <v>1986</v>
      </c>
      <c r="K10" s="45">
        <v>1986</v>
      </c>
      <c r="L10" s="45">
        <v>1981</v>
      </c>
      <c r="M10" s="45">
        <v>2015</v>
      </c>
      <c r="N10" s="45">
        <v>2000</v>
      </c>
      <c r="O10" s="45">
        <v>2009</v>
      </c>
      <c r="P10" s="45">
        <v>1984</v>
      </c>
      <c r="Q10" s="45">
        <v>2013</v>
      </c>
      <c r="R10" s="45">
        <v>1996</v>
      </c>
      <c r="S10" s="45">
        <v>1982</v>
      </c>
      <c r="T10" s="45">
        <v>2007</v>
      </c>
      <c r="U10" s="45">
        <v>2001</v>
      </c>
      <c r="V10" s="45">
        <v>1982</v>
      </c>
      <c r="W10" s="45">
        <v>1997</v>
      </c>
      <c r="X10" s="45">
        <v>1993</v>
      </c>
      <c r="Y10" s="45">
        <v>2001</v>
      </c>
      <c r="Z10" s="45">
        <v>2010</v>
      </c>
      <c r="AA10" s="45">
        <v>2002</v>
      </c>
      <c r="AB10" s="45">
        <v>1980</v>
      </c>
      <c r="AC10" s="45">
        <v>2005</v>
      </c>
      <c r="AD10" s="45">
        <v>1985</v>
      </c>
      <c r="AE10" s="45">
        <v>1984</v>
      </c>
      <c r="AF10" s="45">
        <v>2003</v>
      </c>
      <c r="AG10" s="45">
        <v>2005</v>
      </c>
      <c r="AH10" s="45">
        <v>2006</v>
      </c>
      <c r="AI10" s="45">
        <v>2005</v>
      </c>
      <c r="AJ10" s="45">
        <v>1985</v>
      </c>
      <c r="AK10" s="45">
        <v>2001</v>
      </c>
      <c r="AL10" s="45">
        <v>2010</v>
      </c>
      <c r="AM10" s="45">
        <v>2000</v>
      </c>
      <c r="AN10" s="45">
        <v>1995</v>
      </c>
      <c r="AO10" s="45">
        <v>1995</v>
      </c>
      <c r="AP10" s="45"/>
    </row>
    <row r="11" spans="1:43">
      <c r="A11" t="s">
        <v>372</v>
      </c>
      <c r="B11" s="45">
        <v>1987</v>
      </c>
      <c r="C11" s="45">
        <v>1990</v>
      </c>
      <c r="D11" s="45">
        <v>1990</v>
      </c>
      <c r="E11" s="45">
        <v>1987</v>
      </c>
      <c r="F11" s="45">
        <v>2015</v>
      </c>
      <c r="G11" s="45">
        <v>1994</v>
      </c>
      <c r="H11" s="45">
        <v>2015</v>
      </c>
      <c r="I11" s="45">
        <v>1991</v>
      </c>
      <c r="J11" s="45">
        <v>2016</v>
      </c>
      <c r="K11" s="45">
        <v>1986</v>
      </c>
      <c r="L11" s="45">
        <v>2016</v>
      </c>
      <c r="M11" s="45">
        <v>2007</v>
      </c>
      <c r="N11" s="45">
        <v>1990</v>
      </c>
      <c r="O11" s="45">
        <v>1994</v>
      </c>
      <c r="P11" s="45">
        <v>2003</v>
      </c>
      <c r="Q11" s="45">
        <v>2006</v>
      </c>
      <c r="R11" s="45">
        <v>1999</v>
      </c>
      <c r="S11" s="45">
        <v>2015</v>
      </c>
      <c r="T11" s="45">
        <v>2011</v>
      </c>
      <c r="U11" s="45">
        <v>1989</v>
      </c>
      <c r="V11" s="45">
        <v>1996</v>
      </c>
      <c r="W11" s="45">
        <v>2000</v>
      </c>
      <c r="X11" s="45">
        <v>2001</v>
      </c>
      <c r="Y11" s="45">
        <v>2018</v>
      </c>
      <c r="Z11" s="45">
        <v>2005</v>
      </c>
      <c r="AA11" s="45">
        <v>1981</v>
      </c>
      <c r="AB11" s="45">
        <v>2002</v>
      </c>
      <c r="AC11" s="45">
        <v>1997</v>
      </c>
      <c r="AD11" s="45">
        <v>2014</v>
      </c>
      <c r="AE11" s="45">
        <v>2008</v>
      </c>
      <c r="AF11" s="45">
        <v>2012</v>
      </c>
      <c r="AG11" s="45">
        <v>2010</v>
      </c>
      <c r="AH11" s="45">
        <v>2003</v>
      </c>
      <c r="AI11" s="45">
        <v>1981</v>
      </c>
      <c r="AJ11" s="45">
        <v>2010</v>
      </c>
      <c r="AK11" s="45">
        <v>1988</v>
      </c>
      <c r="AL11" s="45">
        <v>1981</v>
      </c>
      <c r="AM11" s="45">
        <v>2001</v>
      </c>
      <c r="AN11" s="45">
        <v>1982</v>
      </c>
      <c r="AO11" s="45">
        <v>2017</v>
      </c>
      <c r="AP11" s="45"/>
    </row>
    <row r="12" spans="1:43">
      <c r="AP12" s="45"/>
    </row>
    <row r="13" spans="1:43">
      <c r="AP13" s="45"/>
    </row>
    <row r="14" spans="1:43">
      <c r="AP14" s="45"/>
    </row>
    <row r="15" spans="1:43">
      <c r="AP15" s="45"/>
    </row>
    <row r="16" spans="1:43">
      <c r="AP16" s="45"/>
    </row>
    <row r="17" spans="42:42">
      <c r="AP17" s="45"/>
    </row>
  </sheetData>
  <phoneticPr fontId="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4.4"/>
  <cols>
    <col min="1" max="1" width="29.44140625" customWidth="1"/>
  </cols>
  <sheetData>
    <row r="1" spans="1:41">
      <c r="A1" s="63" t="s">
        <v>379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381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364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365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366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367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368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369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370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371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372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373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374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375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376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377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440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63" t="s">
        <v>379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381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364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365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366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367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368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369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370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371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372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373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374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375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376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377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440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379</v>
      </c>
      <c r="B38" t="s">
        <v>381</v>
      </c>
    </row>
    <row r="39" spans="1:41">
      <c r="A39" s="45">
        <v>0</v>
      </c>
      <c r="B39" s="45">
        <v>1980</v>
      </c>
    </row>
    <row r="40" spans="1:41">
      <c r="A40" s="45">
        <v>1</v>
      </c>
      <c r="B40" s="45">
        <v>1981</v>
      </c>
    </row>
    <row r="41" spans="1:41">
      <c r="A41" s="45">
        <v>2</v>
      </c>
      <c r="B41" s="45">
        <v>1982</v>
      </c>
    </row>
    <row r="42" spans="1:41">
      <c r="A42" s="45">
        <v>3</v>
      </c>
      <c r="B42" s="45">
        <v>1983</v>
      </c>
    </row>
    <row r="43" spans="1:41">
      <c r="A43" s="45">
        <v>4</v>
      </c>
      <c r="B43" s="45">
        <v>1984</v>
      </c>
    </row>
    <row r="44" spans="1:41">
      <c r="A44" s="45">
        <v>5</v>
      </c>
      <c r="B44" s="45">
        <v>1985</v>
      </c>
    </row>
    <row r="45" spans="1:41">
      <c r="A45" s="45">
        <v>6</v>
      </c>
      <c r="B45" s="45">
        <v>1986</v>
      </c>
    </row>
    <row r="46" spans="1:41">
      <c r="A46" s="45">
        <v>7</v>
      </c>
      <c r="B46" s="45">
        <v>1987</v>
      </c>
    </row>
    <row r="47" spans="1:41">
      <c r="A47" s="45">
        <v>8</v>
      </c>
      <c r="B47" s="45">
        <v>1988</v>
      </c>
    </row>
    <row r="48" spans="1:41">
      <c r="A48" s="45">
        <v>9</v>
      </c>
      <c r="B48" s="45">
        <v>1989</v>
      </c>
    </row>
    <row r="49" spans="1:2">
      <c r="A49" s="45">
        <v>10</v>
      </c>
      <c r="B49" s="45">
        <v>1990</v>
      </c>
    </row>
    <row r="50" spans="1:2">
      <c r="A50" s="45">
        <v>11</v>
      </c>
      <c r="B50" s="45">
        <v>1991</v>
      </c>
    </row>
    <row r="51" spans="1:2">
      <c r="A51" s="45">
        <v>12</v>
      </c>
      <c r="B51" s="45">
        <v>1992</v>
      </c>
    </row>
    <row r="52" spans="1:2">
      <c r="A52" s="45">
        <v>13</v>
      </c>
      <c r="B52" s="45">
        <v>1993</v>
      </c>
    </row>
    <row r="53" spans="1:2">
      <c r="A53" s="45">
        <v>14</v>
      </c>
      <c r="B53" s="45">
        <v>1994</v>
      </c>
    </row>
    <row r="54" spans="1:2">
      <c r="A54" s="45">
        <v>15</v>
      </c>
      <c r="B54" s="45">
        <v>1995</v>
      </c>
    </row>
    <row r="55" spans="1:2">
      <c r="A55" s="45">
        <v>16</v>
      </c>
      <c r="B55" s="45">
        <v>1996</v>
      </c>
    </row>
    <row r="56" spans="1:2">
      <c r="A56" s="45">
        <v>17</v>
      </c>
      <c r="B56" s="45">
        <v>1997</v>
      </c>
    </row>
    <row r="57" spans="1:2">
      <c r="A57" s="45">
        <v>18</v>
      </c>
      <c r="B57" s="45">
        <v>1998</v>
      </c>
    </row>
    <row r="58" spans="1:2">
      <c r="A58" s="45">
        <v>19</v>
      </c>
      <c r="B58" s="45">
        <v>1999</v>
      </c>
    </row>
    <row r="59" spans="1:2">
      <c r="A59" s="45">
        <v>20</v>
      </c>
      <c r="B59" s="45">
        <v>2000</v>
      </c>
    </row>
    <row r="60" spans="1:2">
      <c r="A60" s="45">
        <v>21</v>
      </c>
      <c r="B60" s="45">
        <v>2001</v>
      </c>
    </row>
    <row r="61" spans="1:2">
      <c r="A61" s="45">
        <v>22</v>
      </c>
      <c r="B61" s="45">
        <v>2002</v>
      </c>
    </row>
    <row r="62" spans="1:2">
      <c r="A62" s="45">
        <v>23</v>
      </c>
      <c r="B62" s="45">
        <v>2003</v>
      </c>
    </row>
    <row r="63" spans="1:2">
      <c r="A63" s="45">
        <v>24</v>
      </c>
      <c r="B63" s="45">
        <v>2004</v>
      </c>
    </row>
    <row r="64" spans="1:2">
      <c r="A64" s="45">
        <v>25</v>
      </c>
      <c r="B64" s="45">
        <v>2005</v>
      </c>
    </row>
    <row r="65" spans="1:41">
      <c r="A65" s="45">
        <v>26</v>
      </c>
      <c r="B65" s="45">
        <v>2006</v>
      </c>
    </row>
    <row r="66" spans="1:41">
      <c r="A66" s="45">
        <v>27</v>
      </c>
      <c r="B66" s="45">
        <v>2007</v>
      </c>
    </row>
    <row r="67" spans="1:41">
      <c r="A67" s="45">
        <v>28</v>
      </c>
      <c r="B67" s="45">
        <v>2008</v>
      </c>
    </row>
    <row r="68" spans="1:41">
      <c r="A68" s="45">
        <v>29</v>
      </c>
      <c r="B68" s="45">
        <v>2009</v>
      </c>
    </row>
    <row r="69" spans="1:41">
      <c r="A69" s="45">
        <v>30</v>
      </c>
      <c r="B69" s="45">
        <v>2010</v>
      </c>
    </row>
    <row r="70" spans="1:41">
      <c r="A70" s="45">
        <v>31</v>
      </c>
      <c r="B70" s="45">
        <v>2011</v>
      </c>
    </row>
    <row r="71" spans="1:41">
      <c r="A71" s="45">
        <v>32</v>
      </c>
      <c r="B71" s="45">
        <v>2012</v>
      </c>
    </row>
    <row r="72" spans="1:41">
      <c r="A72" s="45">
        <v>33</v>
      </c>
      <c r="B72" s="45">
        <v>2013</v>
      </c>
    </row>
    <row r="73" spans="1:41">
      <c r="A73" s="45">
        <v>34</v>
      </c>
      <c r="B73" s="45">
        <v>2014</v>
      </c>
    </row>
    <row r="74" spans="1:41">
      <c r="A74" s="45">
        <v>35</v>
      </c>
      <c r="B74" s="45">
        <v>2015</v>
      </c>
    </row>
    <row r="75" spans="1:41">
      <c r="A75" s="45">
        <v>36</v>
      </c>
      <c r="B75" s="45">
        <v>2016</v>
      </c>
    </row>
    <row r="76" spans="1:41">
      <c r="A76" s="45">
        <v>37</v>
      </c>
      <c r="B76" s="45">
        <v>2017</v>
      </c>
    </row>
    <row r="77" spans="1:41">
      <c r="A77" s="45">
        <v>38</v>
      </c>
      <c r="B77" s="45">
        <v>2018</v>
      </c>
    </row>
    <row r="78" spans="1:41">
      <c r="A78" s="45"/>
      <c r="B78" s="45"/>
    </row>
    <row r="80" spans="1:41">
      <c r="A80" t="s">
        <v>379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381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364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365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366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367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368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369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370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371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372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75" zoomScaleNormal="75" workbookViewId="0">
      <selection activeCell="F36" sqref="F36"/>
    </sheetView>
  </sheetViews>
  <sheetFormatPr defaultRowHeight="14.4"/>
  <cols>
    <col min="1" max="1" width="12.44140625" customWidth="1"/>
    <col min="2" max="2" width="25.6640625" bestFit="1" customWidth="1"/>
    <col min="3" max="13" width="18.44140625" customWidth="1"/>
    <col min="14" max="18" width="14.5546875" customWidth="1"/>
  </cols>
  <sheetData>
    <row r="1" spans="1:15" s="2" customFormat="1" ht="42.6" customHeight="1">
      <c r="A1" s="2" t="s">
        <v>0</v>
      </c>
      <c r="B1" s="2" t="s">
        <v>9</v>
      </c>
      <c r="C1" s="2" t="s">
        <v>10</v>
      </c>
      <c r="D1" s="4" t="s">
        <v>12</v>
      </c>
      <c r="E1" s="4" t="s">
        <v>14</v>
      </c>
      <c r="F1" s="4" t="s">
        <v>15</v>
      </c>
      <c r="G1" s="4" t="s">
        <v>16</v>
      </c>
      <c r="H1" s="2" t="s">
        <v>17</v>
      </c>
      <c r="I1" s="2" t="s">
        <v>18</v>
      </c>
    </row>
    <row r="2" spans="1:15">
      <c r="A2" t="s">
        <v>245</v>
      </c>
      <c r="B2" t="s">
        <v>443</v>
      </c>
      <c r="C2" t="b">
        <v>1</v>
      </c>
      <c r="D2">
        <v>0</v>
      </c>
      <c r="E2">
        <v>0.7</v>
      </c>
      <c r="F2">
        <v>7.0000000000000007E-2</v>
      </c>
      <c r="G2">
        <v>7.0000000000000007E-2</v>
      </c>
      <c r="H2">
        <v>3</v>
      </c>
      <c r="I2">
        <v>0.1</v>
      </c>
    </row>
    <row r="3" spans="1:15">
      <c r="A3" t="s">
        <v>246</v>
      </c>
      <c r="B3" t="s">
        <v>442</v>
      </c>
      <c r="C3" t="b">
        <v>1</v>
      </c>
      <c r="D3">
        <v>0</v>
      </c>
      <c r="E3">
        <v>0.7</v>
      </c>
      <c r="F3">
        <v>7.0000000000000007E-2</v>
      </c>
      <c r="G3">
        <v>7.0000000000000007E-2</v>
      </c>
      <c r="H3">
        <v>3</v>
      </c>
      <c r="I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workbookViewId="0">
      <selection activeCell="F21" sqref="F21"/>
    </sheetView>
  </sheetViews>
  <sheetFormatPr defaultRowHeight="14.4"/>
  <cols>
    <col min="1" max="1" width="29.88671875" customWidth="1"/>
    <col min="2" max="2" width="15.88671875" customWidth="1"/>
    <col min="3" max="4" width="11.5546875" customWidth="1"/>
    <col min="5" max="5" width="22.109375" style="64" customWidth="1"/>
    <col min="6" max="6" width="11.5546875" customWidth="1"/>
    <col min="7" max="7" width="43.44140625" customWidth="1"/>
  </cols>
  <sheetData>
    <row r="1" spans="1:6">
      <c r="A1" s="15" t="s">
        <v>0</v>
      </c>
      <c r="B1" s="15" t="s">
        <v>3</v>
      </c>
      <c r="C1" s="15" t="s">
        <v>244</v>
      </c>
      <c r="F1" s="64" t="s">
        <v>441</v>
      </c>
    </row>
    <row r="2" spans="1:6">
      <c r="A2" s="15" t="str">
        <f>CONCATENATE("ElectricitySpotMarket",C2)</f>
        <v>ElectricitySpotMarketDE</v>
      </c>
      <c r="B2" s="15">
        <v>4000</v>
      </c>
      <c r="C2" s="15" t="s">
        <v>190</v>
      </c>
      <c r="F2" s="64">
        <v>1.0860000000000001</v>
      </c>
    </row>
    <row r="3" spans="1:6">
      <c r="A3" s="15" t="str">
        <f>CONCATENATE("ElectricitySpotMarket",C3)</f>
        <v>ElectricitySpotMarketNL</v>
      </c>
      <c r="B3" s="15">
        <v>4000</v>
      </c>
      <c r="C3" s="15" t="s">
        <v>1</v>
      </c>
      <c r="F3" s="6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rgb="FF7030A0"/>
  </sheetPr>
  <dimension ref="A1:I4"/>
  <sheetViews>
    <sheetView zoomScale="99" zoomScaleNormal="99" workbookViewId="0">
      <selection activeCell="J16" sqref="J16"/>
    </sheetView>
  </sheetViews>
  <sheetFormatPr defaultRowHeight="14.4"/>
  <cols>
    <col min="1" max="1" width="30.44140625" customWidth="1"/>
    <col min="2" max="2" width="31.5546875" customWidth="1"/>
  </cols>
  <sheetData>
    <row r="1" spans="1:9">
      <c r="A1" s="15" t="s">
        <v>410</v>
      </c>
      <c r="B1" s="15" t="s">
        <v>434</v>
      </c>
      <c r="D1">
        <f>D2*2</f>
        <v>11775.328767123288</v>
      </c>
    </row>
    <row r="2" spans="1:9">
      <c r="A2" s="15" t="s">
        <v>402</v>
      </c>
      <c r="B2" s="15">
        <v>11775</v>
      </c>
      <c r="D2">
        <f>B3/730</f>
        <v>5887.6643835616442</v>
      </c>
      <c r="E2" t="s">
        <v>409</v>
      </c>
    </row>
    <row r="3" spans="1:9">
      <c r="A3" s="15" t="s">
        <v>403</v>
      </c>
      <c r="B3" s="15">
        <v>4297995</v>
      </c>
      <c r="D3" t="s">
        <v>408</v>
      </c>
      <c r="I3" s="1">
        <f>B3*12</f>
        <v>51575940</v>
      </c>
    </row>
    <row r="4" spans="1:9">
      <c r="A4" s="15" t="s">
        <v>435</v>
      </c>
      <c r="B4" s="15" t="s">
        <v>437</v>
      </c>
      <c r="D4" s="46" t="s">
        <v>436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rgb="FF7030A0"/>
  </sheetPr>
  <dimension ref="A1:J7"/>
  <sheetViews>
    <sheetView tabSelected="1" workbookViewId="0">
      <selection activeCell="D13" sqref="D13"/>
    </sheetView>
  </sheetViews>
  <sheetFormatPr defaultRowHeight="14.4"/>
  <cols>
    <col min="1" max="1" width="13.88671875" customWidth="1"/>
    <col min="2" max="2" width="14.88671875" customWidth="1"/>
    <col min="3" max="3" width="43.33203125" customWidth="1"/>
    <col min="4" max="4" width="37" customWidth="1"/>
    <col min="5" max="5" width="20" customWidth="1"/>
    <col min="7" max="7" width="7.109375" customWidth="1"/>
    <col min="8" max="8" width="24.44140625" customWidth="1"/>
    <col min="9" max="9" width="19.88671875" customWidth="1"/>
    <col min="10" max="10" width="15.6640625" customWidth="1"/>
    <col min="11" max="11" width="12.33203125" customWidth="1"/>
  </cols>
  <sheetData>
    <row r="1" spans="1:10" ht="17.399999999999999" customHeight="1">
      <c r="A1" t="s">
        <v>0</v>
      </c>
      <c r="B1" t="s">
        <v>404</v>
      </c>
      <c r="C1" t="s">
        <v>405</v>
      </c>
      <c r="D1" t="s">
        <v>433</v>
      </c>
      <c r="E1" t="s">
        <v>438</v>
      </c>
      <c r="F1" t="s">
        <v>428</v>
      </c>
    </row>
    <row r="2" spans="1:10" ht="17.399999999999999" customHeight="1">
      <c r="A2" t="s">
        <v>301</v>
      </c>
      <c r="B2">
        <v>4000</v>
      </c>
      <c r="C2" t="s">
        <v>455</v>
      </c>
      <c r="D2" t="s">
        <v>454</v>
      </c>
      <c r="E2" t="s">
        <v>86</v>
      </c>
      <c r="F2" s="62">
        <f>1-F3-F4-F5</f>
        <v>0.79999999999999993</v>
      </c>
      <c r="H2" t="s">
        <v>301</v>
      </c>
    </row>
    <row r="3" spans="1:10" ht="17.399999999999999" customHeight="1">
      <c r="A3" t="s">
        <v>406</v>
      </c>
      <c r="B3">
        <v>1500</v>
      </c>
      <c r="C3" t="s">
        <v>411</v>
      </c>
      <c r="D3" t="s">
        <v>430</v>
      </c>
      <c r="E3" t="s">
        <v>86</v>
      </c>
      <c r="F3" s="62">
        <v>0.1</v>
      </c>
      <c r="H3" t="s">
        <v>422</v>
      </c>
    </row>
    <row r="4" spans="1:10" ht="17.399999999999999" customHeight="1">
      <c r="A4" t="s">
        <v>426</v>
      </c>
      <c r="B4">
        <v>500</v>
      </c>
      <c r="C4" t="s">
        <v>425</v>
      </c>
      <c r="D4" t="s">
        <v>431</v>
      </c>
      <c r="E4" t="s">
        <v>86</v>
      </c>
      <c r="F4" s="62">
        <v>0.05</v>
      </c>
      <c r="H4" t="s">
        <v>423</v>
      </c>
    </row>
    <row r="5" spans="1:10" ht="17.399999999999999" customHeight="1">
      <c r="A5" t="s">
        <v>407</v>
      </c>
      <c r="B5">
        <v>250</v>
      </c>
      <c r="C5" t="s">
        <v>412</v>
      </c>
      <c r="D5" t="s">
        <v>432</v>
      </c>
      <c r="E5" s="18" t="s">
        <v>86</v>
      </c>
      <c r="F5" s="62">
        <v>0.05</v>
      </c>
      <c r="H5" t="s">
        <v>424</v>
      </c>
      <c r="J5" t="s">
        <v>429</v>
      </c>
    </row>
    <row r="6" spans="1:10">
      <c r="A6" t="s">
        <v>124</v>
      </c>
      <c r="B6">
        <f>J6</f>
        <v>66.748000000000005</v>
      </c>
      <c r="C6" t="s">
        <v>439</v>
      </c>
      <c r="D6" t="s">
        <v>453</v>
      </c>
      <c r="E6" s="18">
        <v>41070.999885844751</v>
      </c>
      <c r="F6" t="s">
        <v>86</v>
      </c>
      <c r="H6" t="s">
        <v>427</v>
      </c>
      <c r="I6" s="18">
        <f>LoadShifterCap!B3*12</f>
        <v>51575940</v>
      </c>
      <c r="J6">
        <f>[2]node!$C$34*0.74*2</f>
        <v>66.748000000000005</v>
      </c>
    </row>
    <row r="7" spans="1:10">
      <c r="E7" s="18"/>
      <c r="I7">
        <f>I6*0.74</f>
        <v>38166195.600000001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36"/>
  <sheetViews>
    <sheetView zoomScaleNormal="100" workbookViewId="0">
      <selection activeCell="A6" sqref="A6"/>
    </sheetView>
  </sheetViews>
  <sheetFormatPr defaultRowHeight="14.4"/>
  <cols>
    <col min="1" max="1" width="33.44140625" customWidth="1"/>
    <col min="2" max="2" width="30" customWidth="1"/>
    <col min="3" max="3" width="10.109375" customWidth="1"/>
    <col min="4" max="5" width="10.5546875" customWidth="1"/>
    <col min="6" max="6" width="13.5546875" customWidth="1"/>
    <col min="7" max="7" width="25.5546875" customWidth="1"/>
  </cols>
  <sheetData>
    <row r="1" spans="1:7" ht="28.8">
      <c r="A1" s="49" t="s">
        <v>218</v>
      </c>
      <c r="B1" s="50" t="s">
        <v>219</v>
      </c>
      <c r="C1" s="49" t="s">
        <v>226</v>
      </c>
      <c r="D1" s="49" t="s">
        <v>220</v>
      </c>
      <c r="F1" s="6" t="s">
        <v>295</v>
      </c>
      <c r="G1" s="17" t="s">
        <v>203</v>
      </c>
    </row>
    <row r="2" spans="1:7">
      <c r="A2" s="15" t="s">
        <v>114</v>
      </c>
      <c r="B2" s="15" t="s">
        <v>144</v>
      </c>
      <c r="C2" s="15" t="s">
        <v>223</v>
      </c>
      <c r="D2" s="15">
        <v>1</v>
      </c>
      <c r="G2" t="s">
        <v>302</v>
      </c>
    </row>
    <row r="3" spans="1:7">
      <c r="A3" s="15" t="s">
        <v>115</v>
      </c>
      <c r="B3" s="15" t="s">
        <v>143</v>
      </c>
      <c r="C3" s="15" t="s">
        <v>222</v>
      </c>
      <c r="D3" s="15">
        <v>2</v>
      </c>
      <c r="F3" t="s">
        <v>298</v>
      </c>
      <c r="G3" t="s">
        <v>347</v>
      </c>
    </row>
    <row r="4" spans="1:7">
      <c r="A4" s="15" t="s">
        <v>112</v>
      </c>
      <c r="B4" s="15" t="s">
        <v>141</v>
      </c>
      <c r="C4" s="15" t="s">
        <v>225</v>
      </c>
      <c r="D4" s="15">
        <v>3</v>
      </c>
    </row>
    <row r="5" spans="1:7">
      <c r="A5" s="15" t="s">
        <v>91</v>
      </c>
      <c r="B5" s="15"/>
      <c r="C5" s="15" t="s">
        <v>225</v>
      </c>
      <c r="D5" s="15">
        <v>4</v>
      </c>
      <c r="F5" t="s">
        <v>297</v>
      </c>
    </row>
    <row r="6" spans="1:7">
      <c r="A6" s="15" t="s">
        <v>111</v>
      </c>
      <c r="B6" s="15"/>
      <c r="C6" s="15" t="s">
        <v>221</v>
      </c>
      <c r="D6" s="15">
        <v>5</v>
      </c>
    </row>
    <row r="7" spans="1:7">
      <c r="A7" s="15" t="s">
        <v>95</v>
      </c>
      <c r="B7" s="15" t="s">
        <v>138</v>
      </c>
      <c r="C7" s="15" t="s">
        <v>237</v>
      </c>
      <c r="D7" s="15">
        <v>6</v>
      </c>
    </row>
    <row r="8" spans="1:7">
      <c r="A8" s="15" t="s">
        <v>96</v>
      </c>
      <c r="B8" s="15"/>
      <c r="C8" s="15" t="s">
        <v>237</v>
      </c>
      <c r="D8" s="15">
        <v>7</v>
      </c>
    </row>
    <row r="9" spans="1:7">
      <c r="A9" s="15" t="s">
        <v>83</v>
      </c>
      <c r="B9" s="15" t="s">
        <v>83</v>
      </c>
      <c r="C9" s="15" t="s">
        <v>237</v>
      </c>
      <c r="D9" s="15">
        <v>8</v>
      </c>
    </row>
    <row r="10" spans="1:7">
      <c r="A10" s="15" t="s">
        <v>97</v>
      </c>
      <c r="B10" s="15"/>
      <c r="C10" s="15" t="s">
        <v>237</v>
      </c>
      <c r="D10" s="15">
        <v>9</v>
      </c>
    </row>
    <row r="11" spans="1:7">
      <c r="A11" s="15" t="s">
        <v>98</v>
      </c>
      <c r="B11" s="15"/>
      <c r="C11" s="15" t="s">
        <v>237</v>
      </c>
      <c r="D11" s="15">
        <v>10</v>
      </c>
    </row>
    <row r="12" spans="1:7">
      <c r="A12" s="15" t="s">
        <v>81</v>
      </c>
      <c r="B12" s="15"/>
      <c r="C12" s="15" t="s">
        <v>237</v>
      </c>
      <c r="D12" s="15">
        <v>11</v>
      </c>
    </row>
    <row r="13" spans="1:7">
      <c r="A13" s="15" t="s">
        <v>99</v>
      </c>
      <c r="B13" s="15"/>
      <c r="C13" s="15" t="s">
        <v>237</v>
      </c>
      <c r="D13" s="15">
        <v>12</v>
      </c>
    </row>
    <row r="14" spans="1:7">
      <c r="A14" s="15" t="s">
        <v>100</v>
      </c>
      <c r="B14" s="15"/>
      <c r="C14" s="15" t="s">
        <v>237</v>
      </c>
      <c r="D14" s="15">
        <v>13</v>
      </c>
    </row>
    <row r="15" spans="1:7">
      <c r="A15" s="15" t="s">
        <v>101</v>
      </c>
      <c r="B15" s="15"/>
      <c r="C15" s="15" t="s">
        <v>237</v>
      </c>
      <c r="D15" s="15">
        <v>14</v>
      </c>
      <c r="F15" t="s">
        <v>48</v>
      </c>
    </row>
    <row r="16" spans="1:7">
      <c r="A16" s="15" t="s">
        <v>102</v>
      </c>
      <c r="B16" s="15"/>
      <c r="C16" s="15" t="s">
        <v>224</v>
      </c>
      <c r="D16" s="15">
        <v>15</v>
      </c>
    </row>
    <row r="17" spans="1:7">
      <c r="A17" s="15" t="s">
        <v>103</v>
      </c>
      <c r="B17" s="15"/>
      <c r="C17" s="15" t="s">
        <v>224</v>
      </c>
      <c r="D17" s="15">
        <v>16</v>
      </c>
    </row>
    <row r="18" spans="1:7">
      <c r="A18" s="15" t="s">
        <v>104</v>
      </c>
      <c r="B18" s="15" t="s">
        <v>142</v>
      </c>
      <c r="C18" s="15" t="s">
        <v>224</v>
      </c>
      <c r="D18" s="15">
        <v>17</v>
      </c>
      <c r="F18" t="s">
        <v>296</v>
      </c>
      <c r="G18" t="s">
        <v>108</v>
      </c>
    </row>
    <row r="19" spans="1:7">
      <c r="A19" s="15" t="s">
        <v>105</v>
      </c>
      <c r="B19" s="15"/>
      <c r="C19" s="15" t="s">
        <v>224</v>
      </c>
      <c r="D19" s="15">
        <v>18</v>
      </c>
    </row>
    <row r="20" spans="1:7">
      <c r="A20" s="15" t="s">
        <v>48</v>
      </c>
      <c r="B20" s="15" t="s">
        <v>140</v>
      </c>
      <c r="C20" s="15" t="s">
        <v>237</v>
      </c>
      <c r="D20" s="15">
        <v>19</v>
      </c>
    </row>
    <row r="21" spans="1:7">
      <c r="A21" s="15" t="s">
        <v>106</v>
      </c>
      <c r="B21" s="15"/>
      <c r="C21" s="15" t="s">
        <v>237</v>
      </c>
      <c r="D21" s="15">
        <v>20</v>
      </c>
    </row>
    <row r="22" spans="1:7">
      <c r="A22" s="15" t="s">
        <v>107</v>
      </c>
      <c r="B22" s="15"/>
      <c r="C22" s="15" t="s">
        <v>237</v>
      </c>
      <c r="D22" s="15">
        <v>21</v>
      </c>
    </row>
    <row r="23" spans="1:7">
      <c r="A23" s="15" t="s">
        <v>108</v>
      </c>
      <c r="B23" s="15" t="s">
        <v>108</v>
      </c>
      <c r="C23" s="15" t="s">
        <v>237</v>
      </c>
      <c r="D23" s="15">
        <v>22</v>
      </c>
    </row>
    <row r="24" spans="1:7">
      <c r="A24" s="15" t="s">
        <v>109</v>
      </c>
      <c r="B24" s="15"/>
      <c r="C24" s="15" t="s">
        <v>237</v>
      </c>
      <c r="D24" s="15">
        <v>23</v>
      </c>
      <c r="F24" t="s">
        <v>114</v>
      </c>
    </row>
    <row r="25" spans="1:7">
      <c r="A25" s="15" t="s">
        <v>113</v>
      </c>
      <c r="B25" s="15"/>
      <c r="C25" s="15" t="s">
        <v>237</v>
      </c>
      <c r="D25" s="15">
        <v>24</v>
      </c>
    </row>
    <row r="26" spans="1:7">
      <c r="A26" s="15" t="s">
        <v>116</v>
      </c>
      <c r="B26" s="15"/>
      <c r="C26" s="15" t="s">
        <v>237</v>
      </c>
      <c r="D26" s="15">
        <v>25</v>
      </c>
    </row>
    <row r="27" spans="1:7">
      <c r="A27" s="15" t="s">
        <v>174</v>
      </c>
      <c r="B27" s="15"/>
      <c r="C27" s="15" t="s">
        <v>237</v>
      </c>
      <c r="D27" s="15">
        <v>26</v>
      </c>
    </row>
    <row r="28" spans="1:7">
      <c r="A28" s="15" t="s">
        <v>173</v>
      </c>
      <c r="B28" s="15"/>
      <c r="C28" s="15" t="s">
        <v>237</v>
      </c>
      <c r="D28" s="15">
        <v>27</v>
      </c>
    </row>
    <row r="29" spans="1:7">
      <c r="A29" s="50" t="str">
        <f>B29</f>
        <v>Coal PSC</v>
      </c>
      <c r="B29" s="50" t="s">
        <v>178</v>
      </c>
      <c r="C29" s="15" t="s">
        <v>237</v>
      </c>
      <c r="D29" s="15">
        <v>28</v>
      </c>
    </row>
    <row r="30" spans="1:7">
      <c r="A30" s="50" t="str">
        <f>B30</f>
        <v>Lignite PSC</v>
      </c>
      <c r="B30" s="50" t="s">
        <v>179</v>
      </c>
      <c r="C30" s="15" t="s">
        <v>237</v>
      </c>
      <c r="D30" s="15">
        <v>29</v>
      </c>
    </row>
    <row r="31" spans="1:7">
      <c r="A31" s="50" t="s">
        <v>180</v>
      </c>
      <c r="B31" s="50" t="s">
        <v>180</v>
      </c>
      <c r="C31" s="15" t="s">
        <v>237</v>
      </c>
      <c r="D31" s="15">
        <v>30</v>
      </c>
    </row>
    <row r="32" spans="1:7">
      <c r="A32" s="15" t="s">
        <v>348</v>
      </c>
      <c r="B32" s="15"/>
      <c r="C32" s="15" t="s">
        <v>237</v>
      </c>
      <c r="D32" s="15">
        <v>31</v>
      </c>
    </row>
    <row r="33" spans="1:4">
      <c r="A33" s="15" t="s">
        <v>343</v>
      </c>
      <c r="B33" s="15"/>
      <c r="C33" s="15" t="s">
        <v>237</v>
      </c>
      <c r="D33" s="15">
        <v>32</v>
      </c>
    </row>
    <row r="34" spans="1:4">
      <c r="A34" s="15" t="s">
        <v>344</v>
      </c>
      <c r="B34" s="15"/>
      <c r="C34" s="15" t="s">
        <v>237</v>
      </c>
      <c r="D34" s="15">
        <v>33</v>
      </c>
    </row>
    <row r="35" spans="1:4">
      <c r="A35" s="15" t="s">
        <v>345</v>
      </c>
      <c r="B35" s="15"/>
      <c r="C35" s="15" t="s">
        <v>237</v>
      </c>
      <c r="D35" s="15">
        <v>34</v>
      </c>
    </row>
    <row r="36" spans="1:4">
      <c r="A36" s="15" t="s">
        <v>346</v>
      </c>
      <c r="B36" s="15"/>
      <c r="C36" s="15" t="s">
        <v>237</v>
      </c>
      <c r="D36" s="15">
        <v>35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C4"/>
  <sheetViews>
    <sheetView zoomScaleNormal="100" workbookViewId="0">
      <selection activeCell="K26" sqref="K26"/>
    </sheetView>
  </sheetViews>
  <sheetFormatPr defaultRowHeight="14.4"/>
  <cols>
    <col min="1" max="1" width="26.33203125" customWidth="1"/>
    <col min="2" max="2" width="18.33203125" customWidth="1"/>
    <col min="3" max="3" width="17.6640625" customWidth="1"/>
  </cols>
  <sheetData>
    <row r="1" spans="1:3">
      <c r="A1" t="s">
        <v>193</v>
      </c>
      <c r="B1" t="s">
        <v>303</v>
      </c>
      <c r="C1" t="s">
        <v>314</v>
      </c>
    </row>
    <row r="2" spans="1:3">
      <c r="A2" t="s">
        <v>312</v>
      </c>
      <c r="B2" t="s">
        <v>1</v>
      </c>
      <c r="C2" t="s">
        <v>115</v>
      </c>
    </row>
    <row r="3" spans="1:3">
      <c r="A3" t="s">
        <v>311</v>
      </c>
      <c r="B3" t="s">
        <v>1</v>
      </c>
      <c r="C3" t="s">
        <v>114</v>
      </c>
    </row>
    <row r="4" spans="1:3">
      <c r="A4" t="s">
        <v>313</v>
      </c>
      <c r="B4" t="s">
        <v>1</v>
      </c>
      <c r="C4" s="11" t="s">
        <v>112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U49" sqref="U49"/>
    </sheetView>
  </sheetViews>
  <sheetFormatPr defaultRowHeight="14.4"/>
  <cols>
    <col min="1" max="1" width="37.44140625" customWidth="1"/>
    <col min="2" max="2" width="26.109375" customWidth="1"/>
    <col min="3" max="3" width="24.44140625" customWidth="1"/>
    <col min="4" max="4" width="17" customWidth="1"/>
    <col min="5" max="7" width="7.88671875" customWidth="1"/>
    <col min="8" max="8" width="43.33203125" customWidth="1"/>
    <col min="9" max="9" width="14.109375" customWidth="1"/>
  </cols>
  <sheetData>
    <row r="1" spans="1:13">
      <c r="A1" t="s">
        <v>293</v>
      </c>
      <c r="B1" t="s">
        <v>312</v>
      </c>
      <c r="C1" t="s">
        <v>311</v>
      </c>
      <c r="D1" t="s">
        <v>313</v>
      </c>
      <c r="F1" t="s">
        <v>310</v>
      </c>
      <c r="G1" s="25" t="s">
        <v>309</v>
      </c>
      <c r="H1" s="40" t="s">
        <v>308</v>
      </c>
      <c r="I1" s="40" t="s">
        <v>222</v>
      </c>
      <c r="J1" s="40" t="s">
        <v>223</v>
      </c>
      <c r="K1" s="40" t="s">
        <v>315</v>
      </c>
      <c r="M1" s="43" t="s">
        <v>337</v>
      </c>
    </row>
    <row r="2" spans="1:13">
      <c r="A2" s="26">
        <v>2019</v>
      </c>
      <c r="B2" s="27">
        <v>290.54545454545456</v>
      </c>
      <c r="C2" s="27">
        <v>1821.6363636363637</v>
      </c>
      <c r="D2" s="27">
        <v>1724.3181818181799</v>
      </c>
      <c r="E2" s="27"/>
      <c r="F2" s="27"/>
      <c r="G2" s="27"/>
      <c r="H2" s="41">
        <v>2019</v>
      </c>
      <c r="I2" s="15">
        <v>4236</v>
      </c>
      <c r="J2" s="15">
        <v>962</v>
      </c>
      <c r="K2" s="15">
        <v>6789</v>
      </c>
      <c r="M2" t="s">
        <v>380</v>
      </c>
    </row>
    <row r="3" spans="1:13">
      <c r="A3">
        <v>2020</v>
      </c>
      <c r="B3" s="27">
        <v>290.54545454545456</v>
      </c>
      <c r="C3" s="27">
        <v>1821.6363636363637</v>
      </c>
      <c r="D3" s="27">
        <v>1724.3181818181818</v>
      </c>
      <c r="E3" s="27"/>
      <c r="F3" s="27"/>
      <c r="G3" s="27"/>
      <c r="H3" s="41">
        <v>2030</v>
      </c>
      <c r="I3" s="15">
        <v>7432</v>
      </c>
      <c r="J3" s="15">
        <v>21000</v>
      </c>
      <c r="K3" s="42">
        <v>25756.5</v>
      </c>
    </row>
    <row r="4" spans="1:13">
      <c r="A4" s="26">
        <v>2021</v>
      </c>
      <c r="B4" s="27">
        <v>290.54545454545456</v>
      </c>
      <c r="C4" s="27">
        <v>1821.6363636363637</v>
      </c>
      <c r="D4" s="27">
        <v>1724.3181818181818</v>
      </c>
      <c r="E4" s="27"/>
      <c r="F4" s="27"/>
      <c r="G4" s="27"/>
      <c r="H4" s="41">
        <v>2050</v>
      </c>
      <c r="I4" s="15">
        <v>12000</v>
      </c>
      <c r="J4" s="15">
        <v>70000</v>
      </c>
      <c r="K4" s="15">
        <v>91733</v>
      </c>
    </row>
    <row r="5" spans="1:13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13">
      <c r="A6" s="26">
        <v>2023</v>
      </c>
      <c r="B6" s="27">
        <v>290.54545454545456</v>
      </c>
      <c r="C6" s="27">
        <v>1821.6363636363637</v>
      </c>
      <c r="D6" s="27">
        <v>1724.3181818181818</v>
      </c>
      <c r="H6" s="25" t="s">
        <v>309</v>
      </c>
      <c r="I6" s="25" t="s">
        <v>222</v>
      </c>
      <c r="J6" s="25" t="s">
        <v>223</v>
      </c>
      <c r="K6" s="25" t="s">
        <v>315</v>
      </c>
    </row>
    <row r="7" spans="1:13">
      <c r="A7">
        <v>2024</v>
      </c>
      <c r="B7" s="27">
        <v>290.54545454545456</v>
      </c>
      <c r="C7" s="27">
        <v>1821.6363636363637</v>
      </c>
      <c r="D7" s="27">
        <v>1724.3181818181818</v>
      </c>
      <c r="H7" s="26" t="s">
        <v>316</v>
      </c>
      <c r="I7" s="27">
        <v>290.54545454545502</v>
      </c>
      <c r="J7" s="27">
        <v>1821.6363636363637</v>
      </c>
      <c r="K7" s="27">
        <v>1724.3181818181818</v>
      </c>
    </row>
    <row r="8" spans="1:13">
      <c r="A8" s="26">
        <v>2025</v>
      </c>
      <c r="B8" s="27">
        <v>290.54545454545456</v>
      </c>
      <c r="C8" s="27">
        <v>1821.6363636363637</v>
      </c>
      <c r="D8" s="27">
        <v>1724.3181818181818</v>
      </c>
      <c r="H8" s="26" t="s">
        <v>318</v>
      </c>
      <c r="I8" s="27">
        <v>228.4</v>
      </c>
      <c r="J8" s="27">
        <v>2450</v>
      </c>
      <c r="K8" s="27">
        <v>3298.8249999999998</v>
      </c>
    </row>
    <row r="9" spans="1:13">
      <c r="A9">
        <v>2026</v>
      </c>
      <c r="B9" s="27">
        <v>290.54545454545456</v>
      </c>
      <c r="C9" s="27">
        <v>1821.6363636363637</v>
      </c>
      <c r="D9" s="27">
        <v>1724.3181818181818</v>
      </c>
      <c r="H9" s="26" t="s">
        <v>317</v>
      </c>
      <c r="I9" s="27">
        <v>250.45161290322579</v>
      </c>
      <c r="J9" s="27">
        <v>2227.0322580645161</v>
      </c>
      <c r="K9" s="27">
        <v>2740.1290322580644</v>
      </c>
    </row>
    <row r="10" spans="1:13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13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13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13">
      <c r="A13" s="26">
        <v>2030</v>
      </c>
      <c r="B13" s="27">
        <v>228.4</v>
      </c>
      <c r="C13" s="27">
        <v>2450</v>
      </c>
      <c r="D13" s="27">
        <v>3298.8249999999998</v>
      </c>
    </row>
    <row r="14" spans="1:13">
      <c r="A14" s="26">
        <v>2031</v>
      </c>
      <c r="B14" s="27">
        <v>228.4</v>
      </c>
      <c r="C14" s="27">
        <v>2450</v>
      </c>
      <c r="D14" s="27">
        <v>3298.8249999999998</v>
      </c>
      <c r="G14" s="26"/>
      <c r="H14" t="s">
        <v>114</v>
      </c>
      <c r="I14" t="s">
        <v>245</v>
      </c>
      <c r="J14" t="b">
        <v>1</v>
      </c>
      <c r="K14">
        <v>400</v>
      </c>
    </row>
    <row r="15" spans="1:13">
      <c r="A15">
        <v>2032</v>
      </c>
      <c r="B15" s="27">
        <v>228.4</v>
      </c>
      <c r="C15" s="27">
        <v>2450</v>
      </c>
      <c r="D15" s="27">
        <v>3298.8249999999998</v>
      </c>
      <c r="G15" s="26"/>
      <c r="H15" t="s">
        <v>115</v>
      </c>
      <c r="I15" t="s">
        <v>245</v>
      </c>
      <c r="J15" t="b">
        <v>1</v>
      </c>
      <c r="K15">
        <v>220</v>
      </c>
    </row>
    <row r="16" spans="1:13">
      <c r="A16">
        <v>2033</v>
      </c>
      <c r="B16" s="27">
        <v>228.4</v>
      </c>
      <c r="C16" s="27">
        <v>2450</v>
      </c>
      <c r="D16" s="27">
        <v>3298.8249999999998</v>
      </c>
      <c r="H16" t="s">
        <v>112</v>
      </c>
      <c r="I16" t="s">
        <v>245</v>
      </c>
      <c r="J16" t="b">
        <v>1</v>
      </c>
      <c r="K16" s="27">
        <v>300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G46"/>
  <sheetViews>
    <sheetView workbookViewId="0">
      <selection activeCell="Q37" sqref="Q37"/>
    </sheetView>
  </sheetViews>
  <sheetFormatPr defaultRowHeight="14.4"/>
  <cols>
    <col min="1" max="1" width="12.88671875" customWidth="1"/>
    <col min="5" max="5" width="18.88671875" customWidth="1"/>
  </cols>
  <sheetData>
    <row r="1" spans="1:7">
      <c r="A1" s="18" t="s">
        <v>293</v>
      </c>
      <c r="B1" s="18" t="s">
        <v>1</v>
      </c>
      <c r="C1" s="18" t="s">
        <v>190</v>
      </c>
    </row>
    <row r="2" spans="1:7">
      <c r="A2" s="38">
        <v>2010</v>
      </c>
      <c r="B2" s="38">
        <v>14.3538679245283</v>
      </c>
      <c r="C2" s="38">
        <f>B2</f>
        <v>14.3538679245283</v>
      </c>
      <c r="E2" t="s">
        <v>336</v>
      </c>
      <c r="F2" s="39" t="s">
        <v>335</v>
      </c>
    </row>
    <row r="3" spans="1:7">
      <c r="A3" s="38">
        <v>2011</v>
      </c>
      <c r="B3" s="38">
        <v>13.2143027888446</v>
      </c>
      <c r="C3" s="38">
        <f t="shared" ref="C3:C10" si="0">B3</f>
        <v>13.2143027888446</v>
      </c>
      <c r="E3" t="s">
        <v>319</v>
      </c>
    </row>
    <row r="4" spans="1:7">
      <c r="A4" s="38">
        <v>2012</v>
      </c>
      <c r="B4" s="38">
        <v>7.4974103585657303</v>
      </c>
      <c r="C4" s="38">
        <f t="shared" si="0"/>
        <v>7.4974103585657303</v>
      </c>
    </row>
    <row r="5" spans="1:7">
      <c r="A5" s="38">
        <v>2013</v>
      </c>
      <c r="B5" s="38">
        <v>4.9400000000000004</v>
      </c>
      <c r="C5" s="38">
        <f t="shared" si="0"/>
        <v>4.9400000000000004</v>
      </c>
    </row>
    <row r="6" spans="1:7">
      <c r="A6" s="38">
        <v>2014</v>
      </c>
      <c r="B6" s="38">
        <v>9.5500000000000007</v>
      </c>
      <c r="C6" s="38">
        <f t="shared" si="0"/>
        <v>9.5500000000000007</v>
      </c>
    </row>
    <row r="7" spans="1:7">
      <c r="A7" s="38">
        <v>2015</v>
      </c>
      <c r="B7" s="38">
        <v>18.079999999999998</v>
      </c>
      <c r="C7" s="38">
        <f t="shared" si="0"/>
        <v>18.079999999999998</v>
      </c>
      <c r="E7" t="s">
        <v>320</v>
      </c>
    </row>
    <row r="8" spans="1:7">
      <c r="A8" s="38">
        <v>2016</v>
      </c>
      <c r="B8" s="38">
        <v>18.079999999999998</v>
      </c>
      <c r="C8" s="38">
        <f t="shared" si="0"/>
        <v>18.079999999999998</v>
      </c>
      <c r="E8">
        <v>2019</v>
      </c>
      <c r="F8">
        <v>1</v>
      </c>
      <c r="G8" s="18">
        <v>21.7845449890137</v>
      </c>
    </row>
    <row r="9" spans="1:7">
      <c r="A9" s="38">
        <v>2017</v>
      </c>
      <c r="B9" s="38">
        <v>18.079999999999998</v>
      </c>
      <c r="C9" s="38">
        <f t="shared" si="0"/>
        <v>18.079999999999998</v>
      </c>
      <c r="E9">
        <v>2020</v>
      </c>
      <c r="F9">
        <v>2</v>
      </c>
      <c r="G9" s="18">
        <v>21.732001069450401</v>
      </c>
    </row>
    <row r="10" spans="1:7">
      <c r="A10" s="38">
        <v>2018</v>
      </c>
      <c r="B10" s="38">
        <v>18.079999999999998</v>
      </c>
      <c r="C10" s="38">
        <f t="shared" si="0"/>
        <v>18.079999999999998</v>
      </c>
      <c r="E10">
        <v>2021</v>
      </c>
      <c r="F10">
        <v>3</v>
      </c>
      <c r="G10" s="18">
        <v>45.310069289016702</v>
      </c>
    </row>
    <row r="11" spans="1:7">
      <c r="A11">
        <v>2019</v>
      </c>
      <c r="B11" s="18">
        <v>21.7845449890137</v>
      </c>
      <c r="C11" s="27">
        <v>19.7</v>
      </c>
      <c r="F11">
        <v>4</v>
      </c>
      <c r="G11" s="18">
        <v>63.1633059127807</v>
      </c>
    </row>
    <row r="12" spans="1:7">
      <c r="A12">
        <v>2020</v>
      </c>
      <c r="B12" s="18">
        <v>21.732001069450401</v>
      </c>
      <c r="C12" s="27">
        <v>20.399999999999999</v>
      </c>
      <c r="F12">
        <v>5</v>
      </c>
      <c r="G12" s="18">
        <v>66.373634433746304</v>
      </c>
    </row>
    <row r="13" spans="1:7">
      <c r="A13">
        <v>2021</v>
      </c>
      <c r="B13" s="18">
        <v>45.310069289016702</v>
      </c>
      <c r="C13" s="27">
        <v>21.7</v>
      </c>
      <c r="F13">
        <v>6</v>
      </c>
      <c r="G13" s="18">
        <v>69.664229811859101</v>
      </c>
    </row>
    <row r="14" spans="1:7">
      <c r="A14">
        <v>2022</v>
      </c>
      <c r="B14" s="18">
        <v>63.1633059127807</v>
      </c>
      <c r="C14" s="27">
        <v>25.177777777777777</v>
      </c>
      <c r="F14">
        <v>7</v>
      </c>
      <c r="G14" s="18">
        <v>73.115337734985303</v>
      </c>
    </row>
    <row r="15" spans="1:7">
      <c r="A15">
        <v>2023</v>
      </c>
      <c r="B15" s="18">
        <v>66.373634433746304</v>
      </c>
      <c r="C15" s="27">
        <v>28.655555555555559</v>
      </c>
      <c r="F15">
        <v>8</v>
      </c>
      <c r="G15" s="18">
        <v>76.807218003845193</v>
      </c>
    </row>
    <row r="16" spans="1:7">
      <c r="A16">
        <v>2024</v>
      </c>
      <c r="B16" s="18">
        <v>69.664229811859101</v>
      </c>
      <c r="C16" s="27">
        <v>32.13333333333334</v>
      </c>
      <c r="F16">
        <v>9</v>
      </c>
      <c r="G16" s="18">
        <v>80.659617874145496</v>
      </c>
    </row>
    <row r="17" spans="1:7">
      <c r="A17">
        <v>2025</v>
      </c>
      <c r="B17" s="18">
        <v>73.115337734985303</v>
      </c>
      <c r="C17" s="27">
        <v>35.611111111111114</v>
      </c>
      <c r="F17">
        <v>10</v>
      </c>
      <c r="G17" s="18">
        <v>84.672537345886198</v>
      </c>
    </row>
    <row r="18" spans="1:7">
      <c r="A18">
        <v>2026</v>
      </c>
      <c r="B18" s="18">
        <v>76.807218003845193</v>
      </c>
      <c r="C18" s="27">
        <v>39.088888888888889</v>
      </c>
      <c r="F18">
        <v>11</v>
      </c>
      <c r="G18" s="18">
        <v>88.926222106933594</v>
      </c>
    </row>
    <row r="19" spans="1:7">
      <c r="A19">
        <v>2027</v>
      </c>
      <c r="B19" s="18">
        <v>80.659617874145496</v>
      </c>
      <c r="C19" s="27">
        <v>42.56666666666667</v>
      </c>
      <c r="E19">
        <v>2030</v>
      </c>
      <c r="F19">
        <v>12</v>
      </c>
      <c r="G19" s="18">
        <v>93.340433525848397</v>
      </c>
    </row>
    <row r="20" spans="1:7">
      <c r="A20">
        <v>2028</v>
      </c>
      <c r="B20" s="18">
        <v>84.672537345886198</v>
      </c>
      <c r="C20" s="27">
        <v>46.044444444444451</v>
      </c>
      <c r="F20">
        <v>13</v>
      </c>
      <c r="G20" s="18">
        <v>97.995417290496803</v>
      </c>
    </row>
    <row r="21" spans="1:7">
      <c r="A21">
        <v>2029</v>
      </c>
      <c r="B21" s="18">
        <v>88.926222106933594</v>
      </c>
      <c r="C21" s="27">
        <v>49.522222222222226</v>
      </c>
      <c r="F21">
        <v>14</v>
      </c>
      <c r="G21" s="18">
        <v>102.891173400879</v>
      </c>
    </row>
    <row r="22" spans="1:7">
      <c r="A22">
        <v>2030</v>
      </c>
      <c r="B22" s="18">
        <v>93.340433525848397</v>
      </c>
      <c r="C22" s="27">
        <v>53</v>
      </c>
      <c r="F22">
        <v>15</v>
      </c>
      <c r="G22" s="18">
        <v>108.107968714142</v>
      </c>
    </row>
    <row r="23" spans="1:7">
      <c r="A23">
        <v>2031</v>
      </c>
      <c r="B23" s="18">
        <v>97.995417290496803</v>
      </c>
      <c r="C23" s="27">
        <v>57.699999999999996</v>
      </c>
      <c r="F23">
        <v>16</v>
      </c>
      <c r="G23" s="18">
        <v>113.485276572418</v>
      </c>
    </row>
    <row r="24" spans="1:7">
      <c r="A24">
        <v>2032</v>
      </c>
      <c r="B24" s="18">
        <v>102.891173400879</v>
      </c>
      <c r="C24" s="27">
        <v>62.399999999999991</v>
      </c>
      <c r="F24">
        <v>17</v>
      </c>
      <c r="G24" s="18">
        <v>119.183616577148</v>
      </c>
    </row>
    <row r="25" spans="1:7">
      <c r="A25">
        <v>2033</v>
      </c>
      <c r="B25" s="18">
        <v>108.107968714142</v>
      </c>
      <c r="C25" s="27">
        <v>67.099999999999994</v>
      </c>
      <c r="F25">
        <v>18</v>
      </c>
      <c r="G25" s="18">
        <v>125.122728927612</v>
      </c>
    </row>
    <row r="26" spans="1:7">
      <c r="A26">
        <v>2034</v>
      </c>
      <c r="B26" s="18">
        <v>113.485276572418</v>
      </c>
      <c r="C26" s="27">
        <v>71.8</v>
      </c>
      <c r="F26">
        <v>19</v>
      </c>
      <c r="G26" s="18">
        <v>131.382880480957</v>
      </c>
    </row>
    <row r="27" spans="1:7">
      <c r="A27">
        <v>2035</v>
      </c>
      <c r="B27" s="18">
        <v>119.183616577148</v>
      </c>
      <c r="C27" s="27">
        <v>76.5</v>
      </c>
      <c r="F27">
        <v>20</v>
      </c>
      <c r="G27" s="18">
        <v>137.964057124329</v>
      </c>
    </row>
    <row r="28" spans="1:7">
      <c r="A28">
        <v>2036</v>
      </c>
      <c r="B28" s="18">
        <v>125.122728927612</v>
      </c>
      <c r="C28" s="27">
        <v>81.2</v>
      </c>
      <c r="F28">
        <v>21</v>
      </c>
      <c r="G28" s="18">
        <v>144.86627297058101</v>
      </c>
    </row>
    <row r="29" spans="1:7">
      <c r="A29">
        <v>2037</v>
      </c>
      <c r="B29" s="18">
        <v>131.382880480957</v>
      </c>
      <c r="C29" s="27">
        <v>85.899999999999991</v>
      </c>
      <c r="E29">
        <v>2040</v>
      </c>
      <c r="F29">
        <v>22</v>
      </c>
      <c r="G29" s="18">
        <v>152.08952801971401</v>
      </c>
    </row>
    <row r="30" spans="1:7">
      <c r="A30">
        <v>2038</v>
      </c>
      <c r="B30" s="18">
        <v>137.964057124329</v>
      </c>
      <c r="C30" s="27">
        <v>90.6</v>
      </c>
      <c r="F30">
        <v>23</v>
      </c>
      <c r="G30" s="18">
        <f t="shared" ref="G30:G43" si="1">_xlfn.FORECAST.LINEAR(F30,$G$8:$G$29,$F$8:$F$29)</f>
        <v>154.87831521398357</v>
      </c>
    </row>
    <row r="31" spans="1:7">
      <c r="A31">
        <v>2039</v>
      </c>
      <c r="B31" s="18">
        <v>144.86627297058101</v>
      </c>
      <c r="C31" s="27">
        <v>95.3</v>
      </c>
      <c r="F31">
        <v>24</v>
      </c>
      <c r="G31" s="18">
        <f t="shared" si="1"/>
        <v>160.36718818841777</v>
      </c>
    </row>
    <row r="32" spans="1:7">
      <c r="A32">
        <v>2040</v>
      </c>
      <c r="B32" s="18">
        <v>152.08952801971401</v>
      </c>
      <c r="C32" s="27">
        <v>100</v>
      </c>
      <c r="F32">
        <v>25</v>
      </c>
      <c r="G32" s="18">
        <f t="shared" si="1"/>
        <v>165.85606116285197</v>
      </c>
    </row>
    <row r="33" spans="1:7">
      <c r="A33">
        <v>2041</v>
      </c>
      <c r="B33" s="18">
        <v>154.87831521398357</v>
      </c>
      <c r="C33" s="27">
        <v>102</v>
      </c>
      <c r="F33">
        <v>26</v>
      </c>
      <c r="G33" s="18">
        <f t="shared" si="1"/>
        <v>171.34493413728617</v>
      </c>
    </row>
    <row r="34" spans="1:7">
      <c r="A34">
        <v>2042</v>
      </c>
      <c r="B34" s="18">
        <v>160.36718818841777</v>
      </c>
      <c r="C34" s="27">
        <v>104</v>
      </c>
      <c r="F34">
        <v>27</v>
      </c>
      <c r="G34" s="18">
        <f t="shared" si="1"/>
        <v>176.83380711172035</v>
      </c>
    </row>
    <row r="35" spans="1:7">
      <c r="A35">
        <v>2043</v>
      </c>
      <c r="B35" s="18">
        <v>165.85606116285197</v>
      </c>
      <c r="C35" s="27">
        <v>106</v>
      </c>
      <c r="F35">
        <v>28</v>
      </c>
      <c r="G35" s="18">
        <f t="shared" si="1"/>
        <v>182.32268008615455</v>
      </c>
    </row>
    <row r="36" spans="1:7">
      <c r="A36">
        <v>2044</v>
      </c>
      <c r="B36" s="18">
        <v>171.34493413728617</v>
      </c>
      <c r="C36" s="27">
        <v>108</v>
      </c>
      <c r="F36">
        <v>29</v>
      </c>
      <c r="G36" s="18">
        <f t="shared" si="1"/>
        <v>187.81155306058875</v>
      </c>
    </row>
    <row r="37" spans="1:7">
      <c r="A37">
        <v>2045</v>
      </c>
      <c r="B37" s="18">
        <v>176.83380711172035</v>
      </c>
      <c r="C37" s="27">
        <v>110</v>
      </c>
      <c r="F37">
        <v>30</v>
      </c>
      <c r="G37" s="18">
        <f t="shared" si="1"/>
        <v>193.30042603502292</v>
      </c>
    </row>
    <row r="38" spans="1:7">
      <c r="A38">
        <v>2046</v>
      </c>
      <c r="B38" s="18">
        <v>182.32268008615455</v>
      </c>
      <c r="C38" s="27">
        <v>112</v>
      </c>
      <c r="F38">
        <v>31</v>
      </c>
      <c r="G38" s="18">
        <f t="shared" si="1"/>
        <v>198.78929900945712</v>
      </c>
    </row>
    <row r="39" spans="1:7">
      <c r="A39">
        <v>2047</v>
      </c>
      <c r="B39" s="18">
        <v>187.81155306058875</v>
      </c>
      <c r="C39" s="27">
        <v>114</v>
      </c>
      <c r="E39">
        <v>2050</v>
      </c>
      <c r="F39">
        <v>32</v>
      </c>
      <c r="G39" s="18">
        <f t="shared" si="1"/>
        <v>204.27817198389133</v>
      </c>
    </row>
    <row r="40" spans="1:7">
      <c r="A40">
        <v>2048</v>
      </c>
      <c r="B40" s="18">
        <v>193.30042603502292</v>
      </c>
      <c r="C40" s="27">
        <v>116</v>
      </c>
      <c r="F40">
        <v>33</v>
      </c>
      <c r="G40" s="18">
        <f t="shared" si="1"/>
        <v>209.76704495832553</v>
      </c>
    </row>
    <row r="41" spans="1:7">
      <c r="A41">
        <v>2049</v>
      </c>
      <c r="B41" s="18">
        <v>198.78929900945712</v>
      </c>
      <c r="C41" s="27">
        <v>118</v>
      </c>
      <c r="F41">
        <v>34</v>
      </c>
      <c r="G41" s="18">
        <f t="shared" si="1"/>
        <v>215.25591793275973</v>
      </c>
    </row>
    <row r="42" spans="1:7">
      <c r="A42">
        <v>2050</v>
      </c>
      <c r="B42" s="18">
        <v>204.27817198389133</v>
      </c>
      <c r="C42" s="27">
        <v>120</v>
      </c>
      <c r="F42">
        <v>35</v>
      </c>
      <c r="G42" s="18">
        <f t="shared" si="1"/>
        <v>220.7447909071939</v>
      </c>
    </row>
    <row r="43" spans="1:7">
      <c r="A43">
        <v>2051</v>
      </c>
      <c r="B43" s="18">
        <v>209.76704495832553</v>
      </c>
      <c r="C43" s="27">
        <f>_xlfn.FORECAST.LINEAR(yearlyCO2!F40,$C$11:$C$42,yearlyCO2!$F$8:$F$39)</f>
        <v>131.9840725806452</v>
      </c>
      <c r="F43">
        <v>36</v>
      </c>
      <c r="G43" s="18">
        <f t="shared" si="1"/>
        <v>226.2336638816281</v>
      </c>
    </row>
    <row r="44" spans="1:7">
      <c r="A44">
        <v>2052</v>
      </c>
      <c r="B44" s="18">
        <v>215.25591793275973</v>
      </c>
      <c r="C44" s="27">
        <f>_xlfn.FORECAST.LINEAR(yearlyCO2!F41,$C$11:$C$42,yearlyCO2!$F$8:$F$39)</f>
        <v>135.60413000977522</v>
      </c>
    </row>
    <row r="45" spans="1:7">
      <c r="A45">
        <v>2053</v>
      </c>
      <c r="B45" s="18">
        <v>220.7447909071939</v>
      </c>
      <c r="C45" s="27">
        <f>_xlfn.FORECAST.LINEAR(yearlyCO2!F42,$C$11:$C$42,yearlyCO2!$F$8:$F$39)</f>
        <v>139.2241874389052</v>
      </c>
    </row>
    <row r="46" spans="1:7">
      <c r="A46">
        <v>2054</v>
      </c>
      <c r="B46" s="18">
        <v>226.2336638816281</v>
      </c>
      <c r="C46" s="27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K27"/>
  <sheetViews>
    <sheetView workbookViewId="0">
      <selection activeCell="I13" sqref="I13"/>
    </sheetView>
  </sheetViews>
  <sheetFormatPr defaultRowHeight="14.4"/>
  <cols>
    <col min="1" max="1" width="29.109375" customWidth="1"/>
    <col min="2" max="2" width="8.5546875" customWidth="1"/>
    <col min="3" max="3" width="10.44140625" customWidth="1"/>
    <col min="7" max="7" width="23.5546875" customWidth="1"/>
    <col min="9" max="9" width="15" customWidth="1"/>
  </cols>
  <sheetData>
    <row r="1" spans="1:11">
      <c r="A1" t="s">
        <v>289</v>
      </c>
      <c r="B1" t="s">
        <v>338</v>
      </c>
      <c r="C1" t="s">
        <v>340</v>
      </c>
      <c r="D1" t="s">
        <v>342</v>
      </c>
      <c r="H1" t="s">
        <v>333</v>
      </c>
    </row>
    <row r="2" spans="1:11">
      <c r="A2" t="s">
        <v>115</v>
      </c>
      <c r="B2" t="s">
        <v>1</v>
      </c>
      <c r="C2" t="s">
        <v>339</v>
      </c>
      <c r="D2" s="18">
        <v>12000</v>
      </c>
      <c r="E2" s="18"/>
      <c r="H2" s="18">
        <v>43336.125918999998</v>
      </c>
      <c r="I2" t="s">
        <v>291</v>
      </c>
      <c r="J2" t="s">
        <v>115</v>
      </c>
    </row>
    <row r="3" spans="1:11">
      <c r="A3" t="s">
        <v>111</v>
      </c>
      <c r="B3" t="s">
        <v>1</v>
      </c>
      <c r="C3" t="s">
        <v>339</v>
      </c>
      <c r="D3" s="56">
        <v>26964</v>
      </c>
      <c r="E3" s="18"/>
      <c r="H3" s="18">
        <v>96145.2</v>
      </c>
      <c r="I3" t="s">
        <v>292</v>
      </c>
      <c r="J3" t="s">
        <v>112</v>
      </c>
    </row>
    <row r="4" spans="1:11">
      <c r="A4" s="11" t="s">
        <v>112</v>
      </c>
      <c r="B4" t="s">
        <v>1</v>
      </c>
      <c r="C4" t="s">
        <v>339</v>
      </c>
      <c r="D4" s="56">
        <v>82099</v>
      </c>
      <c r="F4" t="s">
        <v>445</v>
      </c>
      <c r="H4" s="37">
        <v>47745</v>
      </c>
      <c r="I4" t="s">
        <v>291</v>
      </c>
      <c r="J4" t="s">
        <v>114</v>
      </c>
    </row>
    <row r="5" spans="1:11">
      <c r="A5" t="s">
        <v>114</v>
      </c>
      <c r="B5" t="s">
        <v>1</v>
      </c>
      <c r="C5" t="s">
        <v>339</v>
      </c>
      <c r="D5" s="18">
        <v>70000</v>
      </c>
      <c r="E5" s="18"/>
      <c r="H5" s="55">
        <v>134820</v>
      </c>
      <c r="J5" t="s">
        <v>420</v>
      </c>
      <c r="K5" t="s">
        <v>421</v>
      </c>
    </row>
    <row r="6" spans="1:11">
      <c r="A6" t="s">
        <v>108</v>
      </c>
      <c r="B6" t="s">
        <v>1</v>
      </c>
      <c r="C6" t="s">
        <v>339</v>
      </c>
      <c r="D6" s="18">
        <v>2700</v>
      </c>
      <c r="E6" s="33"/>
      <c r="H6" s="56">
        <v>82099</v>
      </c>
      <c r="I6" t="s">
        <v>416</v>
      </c>
      <c r="J6" s="59" t="s">
        <v>417</v>
      </c>
    </row>
    <row r="7" spans="1:11" ht="15" customHeight="1">
      <c r="A7" t="s">
        <v>95</v>
      </c>
      <c r="B7" t="s">
        <v>1</v>
      </c>
      <c r="C7" t="s">
        <v>339</v>
      </c>
      <c r="D7" s="18">
        <v>12040</v>
      </c>
      <c r="E7" s="33"/>
      <c r="H7" s="56">
        <v>26964</v>
      </c>
      <c r="I7" t="s">
        <v>416</v>
      </c>
      <c r="J7" s="59" t="s">
        <v>418</v>
      </c>
    </row>
    <row r="8" spans="1:11" ht="14.4" customHeight="1">
      <c r="A8" t="s">
        <v>115</v>
      </c>
      <c r="B8" t="s">
        <v>190</v>
      </c>
      <c r="C8" t="s">
        <v>339</v>
      </c>
      <c r="D8" s="18">
        <v>42191.125290999997</v>
      </c>
      <c r="E8" s="33"/>
    </row>
    <row r="9" spans="1:11" ht="14.4" customHeight="1">
      <c r="A9" t="s">
        <v>114</v>
      </c>
      <c r="B9" t="s">
        <v>190</v>
      </c>
      <c r="C9" t="s">
        <v>339</v>
      </c>
      <c r="D9" s="18">
        <v>27840</v>
      </c>
      <c r="E9" s="33"/>
    </row>
    <row r="10" spans="1:11" ht="14.4" customHeight="1">
      <c r="A10" s="11" t="s">
        <v>112</v>
      </c>
      <c r="B10" t="s">
        <v>190</v>
      </c>
      <c r="C10" t="s">
        <v>339</v>
      </c>
      <c r="D10" s="18">
        <v>796910.69999999984</v>
      </c>
      <c r="E10" s="33"/>
    </row>
    <row r="11" spans="1:11" ht="14.4" customHeight="1">
      <c r="E11" s="18"/>
    </row>
    <row r="12" spans="1:11" ht="14.4" customHeight="1"/>
    <row r="13" spans="1:11" ht="14.4" customHeight="1">
      <c r="B13" s="18"/>
      <c r="E13" s="33"/>
    </row>
    <row r="14" spans="1:11" ht="14.4" customHeight="1">
      <c r="B14" s="18"/>
      <c r="E14" s="33"/>
    </row>
    <row r="15" spans="1:11" ht="14.4" customHeight="1">
      <c r="C15" s="33"/>
      <c r="D15" s="33"/>
      <c r="E15" s="33"/>
    </row>
    <row r="16" spans="1:11" ht="14.4" customHeight="1">
      <c r="C16" s="33"/>
      <c r="D16" s="33"/>
      <c r="E16" s="33"/>
    </row>
    <row r="17" spans="4:10" ht="14.4" customHeight="1">
      <c r="E17" s="33"/>
    </row>
    <row r="20" spans="4:10">
      <c r="D20" s="18"/>
      <c r="E20" s="18"/>
      <c r="F20" s="33"/>
      <c r="G20" s="33"/>
      <c r="H20" s="33"/>
      <c r="I20" s="33"/>
      <c r="J20" s="33"/>
    </row>
    <row r="21" spans="4:10">
      <c r="F21" s="33"/>
      <c r="G21" s="33"/>
      <c r="H21" s="33"/>
      <c r="I21" s="33"/>
      <c r="J21" s="33"/>
    </row>
    <row r="22" spans="4:10">
      <c r="F22" s="33"/>
      <c r="G22" s="33"/>
      <c r="H22" s="33"/>
      <c r="I22" s="33"/>
      <c r="J22" s="33"/>
    </row>
    <row r="23" spans="4:10">
      <c r="F23" s="33"/>
      <c r="G23" s="33"/>
      <c r="H23" s="33"/>
      <c r="I23" s="33"/>
      <c r="J23" s="33"/>
    </row>
    <row r="24" spans="4:10">
      <c r="F24" s="33"/>
      <c r="G24" s="33"/>
      <c r="H24" s="33"/>
      <c r="I24" s="33"/>
      <c r="J24" s="33"/>
    </row>
    <row r="25" spans="4:10">
      <c r="F25" s="33"/>
      <c r="G25" s="33"/>
      <c r="H25" s="33"/>
      <c r="I25" s="33"/>
      <c r="J25" s="33"/>
    </row>
    <row r="26" spans="4:10">
      <c r="F26" s="33"/>
      <c r="G26" s="33"/>
      <c r="H26" s="33"/>
      <c r="I26" s="33"/>
      <c r="J26" s="33"/>
    </row>
    <row r="27" spans="4:10">
      <c r="F27" s="33"/>
      <c r="G27" s="33"/>
      <c r="H27" s="33"/>
      <c r="I27" s="33"/>
      <c r="J27" s="33"/>
    </row>
  </sheetData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C3"/>
  <sheetViews>
    <sheetView workbookViewId="0">
      <selection activeCell="H16" sqref="H16"/>
    </sheetView>
  </sheetViews>
  <sheetFormatPr defaultRowHeight="14.4"/>
  <cols>
    <col min="1" max="1" width="16.33203125" customWidth="1"/>
    <col min="2" max="2" width="19.5546875" customWidth="1"/>
  </cols>
  <sheetData>
    <row r="1" spans="1:3">
      <c r="A1" t="s">
        <v>175</v>
      </c>
      <c r="B1" t="s">
        <v>255</v>
      </c>
      <c r="C1" s="46"/>
    </row>
    <row r="2" spans="1:3">
      <c r="A2" t="s">
        <v>382</v>
      </c>
      <c r="B2" t="s">
        <v>384</v>
      </c>
    </row>
    <row r="3" spans="1:3">
      <c r="A3" t="s">
        <v>383</v>
      </c>
      <c r="B3" t="s">
        <v>384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M14" sqref="M14"/>
    </sheetView>
  </sheetViews>
  <sheetFormatPr defaultRowHeight="14.4"/>
  <cols>
    <col min="1" max="1" width="42.109375" customWidth="1"/>
    <col min="3" max="3" width="12.5546875" customWidth="1"/>
    <col min="4" max="4" width="15.44140625" bestFit="1" customWidth="1"/>
    <col min="5" max="5" width="14" customWidth="1"/>
    <col min="6" max="6" width="1.88671875" customWidth="1"/>
    <col min="7" max="7" width="34.33203125" customWidth="1"/>
  </cols>
  <sheetData>
    <row r="1" spans="1:10" ht="26.4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4" t="s">
        <v>299</v>
      </c>
    </row>
    <row r="2" spans="1:10">
      <c r="A2" t="s">
        <v>307</v>
      </c>
      <c r="B2">
        <v>1</v>
      </c>
      <c r="C2">
        <v>700</v>
      </c>
      <c r="D2">
        <v>700</v>
      </c>
      <c r="E2">
        <v>700</v>
      </c>
    </row>
    <row r="3" spans="1:10">
      <c r="A3" t="s">
        <v>304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305</v>
      </c>
      <c r="B4">
        <v>1</v>
      </c>
      <c r="C4">
        <v>700</v>
      </c>
      <c r="D4">
        <v>700</v>
      </c>
      <c r="E4">
        <v>700</v>
      </c>
    </row>
    <row r="5" spans="1:10">
      <c r="A5" t="s">
        <v>306</v>
      </c>
      <c r="B5">
        <v>1</v>
      </c>
      <c r="C5">
        <f>D5</f>
        <v>10000</v>
      </c>
      <c r="D5">
        <v>10000</v>
      </c>
      <c r="E5">
        <v>0</v>
      </c>
      <c r="J5" s="12"/>
    </row>
    <row r="7" spans="1:10" ht="17.399999999999999">
      <c r="A7" t="s">
        <v>312</v>
      </c>
      <c r="B7">
        <v>10</v>
      </c>
      <c r="D7" s="18"/>
      <c r="E7" s="18">
        <v>290.54545454545456</v>
      </c>
      <c r="G7" s="47" t="s">
        <v>385</v>
      </c>
    </row>
    <row r="8" spans="1:10">
      <c r="A8" t="s">
        <v>311</v>
      </c>
      <c r="B8">
        <v>10</v>
      </c>
      <c r="D8" s="18"/>
      <c r="E8" s="18">
        <v>1821.6363636363637</v>
      </c>
    </row>
    <row r="9" spans="1:10">
      <c r="A9" t="s">
        <v>313</v>
      </c>
      <c r="B9">
        <v>10</v>
      </c>
      <c r="D9" s="18"/>
      <c r="E9" s="18">
        <v>1724.3181818181818</v>
      </c>
    </row>
    <row r="10" spans="1:10">
      <c r="A10" t="s">
        <v>312</v>
      </c>
      <c r="B10">
        <v>20</v>
      </c>
      <c r="E10">
        <v>228.4</v>
      </c>
    </row>
    <row r="11" spans="1:10">
      <c r="A11" t="s">
        <v>311</v>
      </c>
      <c r="B11">
        <v>20</v>
      </c>
      <c r="E11">
        <v>2450</v>
      </c>
    </row>
    <row r="12" spans="1:10">
      <c r="A12" t="s">
        <v>313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4.4"/>
  <cols>
    <col min="1" max="1" width="16.109375" bestFit="1" customWidth="1"/>
    <col min="2" max="2" width="30.109375" bestFit="1" customWidth="1"/>
    <col min="3" max="3" width="31.10937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4.4"/>
  <cols>
    <col min="1" max="1" width="36" customWidth="1"/>
    <col min="2" max="2" width="8.5546875" customWidth="1"/>
    <col min="3" max="3" width="17.109375" customWidth="1"/>
    <col min="4" max="4" width="10.44140625" customWidth="1"/>
    <col min="8" max="8" width="11.5546875" customWidth="1"/>
  </cols>
  <sheetData>
    <row r="1" spans="1:16">
      <c r="A1" t="s">
        <v>289</v>
      </c>
      <c r="B1" t="s">
        <v>338</v>
      </c>
      <c r="C1" t="s">
        <v>340</v>
      </c>
      <c r="D1" t="s">
        <v>293</v>
      </c>
      <c r="E1" t="s">
        <v>342</v>
      </c>
    </row>
    <row r="2" spans="1:16">
      <c r="A2" t="s">
        <v>95</v>
      </c>
      <c r="B2" t="s">
        <v>1</v>
      </c>
      <c r="C2" t="s">
        <v>341</v>
      </c>
      <c r="D2" s="33">
        <v>2019</v>
      </c>
      <c r="E2" s="33">
        <f>(K8+K13)*1000</f>
        <v>10630</v>
      </c>
      <c r="F2" s="18"/>
      <c r="K2" s="18"/>
      <c r="L2" s="18"/>
    </row>
    <row r="3" spans="1:16">
      <c r="A3" t="s">
        <v>95</v>
      </c>
      <c r="B3" t="s">
        <v>1</v>
      </c>
      <c r="C3" t="s">
        <v>341</v>
      </c>
      <c r="D3" s="33">
        <v>2020</v>
      </c>
      <c r="E3" s="33">
        <f>(K9+K14)*1000</f>
        <v>10630</v>
      </c>
      <c r="F3" s="18"/>
      <c r="K3" s="18"/>
    </row>
    <row r="4" spans="1:16">
      <c r="A4" t="s">
        <v>95</v>
      </c>
      <c r="B4" t="s">
        <v>1</v>
      </c>
      <c r="C4" t="s">
        <v>341</v>
      </c>
      <c r="D4" s="33">
        <v>2030</v>
      </c>
      <c r="E4" s="33">
        <f>(K10+K15)*1000</f>
        <v>11100</v>
      </c>
      <c r="F4" s="18"/>
      <c r="K4" s="18"/>
      <c r="L4" s="18"/>
    </row>
    <row r="5" spans="1:16">
      <c r="A5" t="s">
        <v>95</v>
      </c>
      <c r="B5" t="s">
        <v>1</v>
      </c>
      <c r="C5" t="s">
        <v>341</v>
      </c>
      <c r="D5" s="33">
        <v>2040</v>
      </c>
      <c r="E5" s="33">
        <f>(K11+K16)*1000</f>
        <v>11570</v>
      </c>
      <c r="F5" s="33"/>
    </row>
    <row r="6" spans="1:16">
      <c r="A6" t="s">
        <v>95</v>
      </c>
      <c r="B6" t="s">
        <v>1</v>
      </c>
      <c r="C6" t="s">
        <v>341</v>
      </c>
      <c r="D6" s="33">
        <v>2050</v>
      </c>
      <c r="E6" s="33">
        <f>(K12+K17)*1000</f>
        <v>12040</v>
      </c>
      <c r="F6" s="33"/>
      <c r="H6" s="35"/>
      <c r="L6" s="32" t="s">
        <v>321</v>
      </c>
      <c r="M6" s="32" t="s">
        <v>322</v>
      </c>
      <c r="N6" s="32" t="s">
        <v>323</v>
      </c>
      <c r="O6" s="32" t="s">
        <v>325</v>
      </c>
      <c r="P6" s="32" t="s">
        <v>290</v>
      </c>
    </row>
    <row r="7" spans="1:16" ht="15" customHeight="1">
      <c r="A7" t="s">
        <v>95</v>
      </c>
      <c r="B7" t="s">
        <v>190</v>
      </c>
      <c r="C7" t="s">
        <v>341</v>
      </c>
      <c r="D7" s="33">
        <v>2019</v>
      </c>
      <c r="E7" s="33">
        <f>(J8+J13)*1000</f>
        <v>89450</v>
      </c>
      <c r="F7" s="33"/>
      <c r="H7" s="66" t="s">
        <v>330</v>
      </c>
      <c r="J7" s="34" t="s">
        <v>190</v>
      </c>
      <c r="K7" s="34" t="s">
        <v>1</v>
      </c>
      <c r="L7" s="34"/>
      <c r="M7" s="34"/>
      <c r="N7" s="34" t="s">
        <v>190</v>
      </c>
      <c r="O7" s="34" t="s">
        <v>1</v>
      </c>
      <c r="P7" s="34"/>
    </row>
    <row r="8" spans="1:16" ht="14.4" customHeight="1">
      <c r="A8" t="s">
        <v>95</v>
      </c>
      <c r="B8" t="s">
        <v>190</v>
      </c>
      <c r="C8" t="s">
        <v>341</v>
      </c>
      <c r="D8" s="33">
        <v>2020</v>
      </c>
      <c r="E8" s="33">
        <f>(J9+J14)*1000</f>
        <v>69440</v>
      </c>
      <c r="F8" s="33"/>
      <c r="H8" s="66"/>
      <c r="I8" s="33">
        <v>2019</v>
      </c>
      <c r="J8" s="33">
        <v>17.2</v>
      </c>
      <c r="K8" s="33">
        <v>7.66</v>
      </c>
      <c r="L8" t="s">
        <v>120</v>
      </c>
      <c r="M8">
        <v>2019</v>
      </c>
      <c r="N8">
        <v>110</v>
      </c>
      <c r="O8">
        <v>49</v>
      </c>
      <c r="P8" t="s">
        <v>294</v>
      </c>
    </row>
    <row r="9" spans="1:16" ht="14.4" customHeight="1">
      <c r="A9" t="s">
        <v>95</v>
      </c>
      <c r="B9" t="s">
        <v>190</v>
      </c>
      <c r="C9" t="s">
        <v>341</v>
      </c>
      <c r="D9" s="33">
        <v>2030</v>
      </c>
      <c r="E9" s="33">
        <f>(J10+J15)*1000</f>
        <v>65680</v>
      </c>
      <c r="F9" s="33"/>
      <c r="H9" s="66"/>
      <c r="I9" s="33">
        <v>2020</v>
      </c>
      <c r="J9" s="33">
        <v>17.05</v>
      </c>
      <c r="K9" s="33">
        <v>7.66</v>
      </c>
      <c r="L9" t="s">
        <v>120</v>
      </c>
      <c r="M9">
        <v>2020</v>
      </c>
      <c r="N9">
        <v>109</v>
      </c>
      <c r="O9">
        <v>49</v>
      </c>
      <c r="P9" t="s">
        <v>294</v>
      </c>
    </row>
    <row r="10" spans="1:16">
      <c r="A10" t="s">
        <v>95</v>
      </c>
      <c r="B10" t="s">
        <v>190</v>
      </c>
      <c r="C10" t="s">
        <v>341</v>
      </c>
      <c r="D10" s="33">
        <v>2040</v>
      </c>
      <c r="E10" s="33">
        <f>(J11+J16)*1000</f>
        <v>64430.000000000007</v>
      </c>
      <c r="F10" s="18"/>
      <c r="H10" s="66"/>
      <c r="I10" s="33">
        <v>2030</v>
      </c>
      <c r="J10" s="33">
        <v>17.36</v>
      </c>
      <c r="K10" s="33">
        <v>7.66</v>
      </c>
      <c r="L10" t="s">
        <v>120</v>
      </c>
      <c r="M10">
        <v>2030</v>
      </c>
      <c r="N10">
        <v>111</v>
      </c>
      <c r="O10">
        <v>49</v>
      </c>
      <c r="P10" t="s">
        <v>294</v>
      </c>
    </row>
    <row r="11" spans="1:16">
      <c r="A11" t="s">
        <v>95</v>
      </c>
      <c r="B11" t="s">
        <v>190</v>
      </c>
      <c r="C11" t="s">
        <v>341</v>
      </c>
      <c r="D11" s="33">
        <v>2050</v>
      </c>
      <c r="E11" s="33">
        <f>(J12+J17)*1000</f>
        <v>68340</v>
      </c>
      <c r="H11" s="66"/>
      <c r="I11" s="33">
        <v>2040</v>
      </c>
      <c r="J11" s="33">
        <v>17.670000000000002</v>
      </c>
      <c r="K11" s="33">
        <v>7.66</v>
      </c>
      <c r="L11" t="s">
        <v>120</v>
      </c>
      <c r="M11">
        <v>2040</v>
      </c>
      <c r="N11">
        <v>113</v>
      </c>
      <c r="O11">
        <v>49</v>
      </c>
      <c r="P11" t="s">
        <v>294</v>
      </c>
    </row>
    <row r="12" spans="1:16">
      <c r="F12" s="18"/>
      <c r="H12" s="66"/>
      <c r="I12" s="33">
        <v>2050</v>
      </c>
      <c r="J12" s="33">
        <v>18.14</v>
      </c>
      <c r="K12" s="33">
        <v>7.66</v>
      </c>
      <c r="L12" t="s">
        <v>120</v>
      </c>
      <c r="M12">
        <v>2050</v>
      </c>
      <c r="N12">
        <v>116</v>
      </c>
      <c r="O12">
        <v>49</v>
      </c>
      <c r="P12" t="s">
        <v>294</v>
      </c>
    </row>
    <row r="13" spans="1:16">
      <c r="F13" s="33"/>
      <c r="H13" s="66"/>
      <c r="I13" s="33">
        <v>2019</v>
      </c>
      <c r="J13" s="33">
        <v>72.25</v>
      </c>
      <c r="K13" s="33">
        <v>2.97</v>
      </c>
      <c r="L13" s="33" t="s">
        <v>324</v>
      </c>
      <c r="M13">
        <v>2019</v>
      </c>
      <c r="N13">
        <v>462</v>
      </c>
      <c r="O13">
        <v>19</v>
      </c>
      <c r="P13" t="s">
        <v>294</v>
      </c>
    </row>
    <row r="14" spans="1:16">
      <c r="F14" s="33"/>
      <c r="H14" s="66"/>
      <c r="I14" s="33">
        <v>2020</v>
      </c>
      <c r="J14" s="33">
        <v>52.39</v>
      </c>
      <c r="K14" s="33">
        <v>2.97</v>
      </c>
      <c r="L14" s="33" t="s">
        <v>324</v>
      </c>
      <c r="M14">
        <v>2020</v>
      </c>
      <c r="N14">
        <v>335</v>
      </c>
      <c r="O14">
        <v>19</v>
      </c>
      <c r="P14" t="s">
        <v>294</v>
      </c>
    </row>
    <row r="15" spans="1:16">
      <c r="F15" s="33"/>
      <c r="H15" s="66"/>
      <c r="I15" s="33">
        <v>2030</v>
      </c>
      <c r="J15" s="33">
        <v>48.32</v>
      </c>
      <c r="K15" s="33">
        <v>3.44</v>
      </c>
      <c r="L15" s="33" t="s">
        <v>324</v>
      </c>
      <c r="M15">
        <v>2030</v>
      </c>
      <c r="N15">
        <v>309</v>
      </c>
      <c r="O15">
        <v>22</v>
      </c>
      <c r="P15" t="s">
        <v>294</v>
      </c>
    </row>
    <row r="16" spans="1:16">
      <c r="F16" s="33"/>
      <c r="H16" s="66"/>
      <c r="I16" s="33">
        <v>2040</v>
      </c>
      <c r="J16" s="33">
        <v>46.76</v>
      </c>
      <c r="K16" s="33">
        <v>3.91</v>
      </c>
      <c r="L16" s="33" t="s">
        <v>324</v>
      </c>
      <c r="M16">
        <v>2040</v>
      </c>
      <c r="N16">
        <v>299</v>
      </c>
      <c r="O16">
        <v>25</v>
      </c>
      <c r="P16" t="s">
        <v>294</v>
      </c>
    </row>
    <row r="17" spans="5:16">
      <c r="F17" s="33"/>
      <c r="H17" s="66"/>
      <c r="I17" s="33">
        <v>2050</v>
      </c>
      <c r="J17" s="33">
        <v>50.2</v>
      </c>
      <c r="K17" s="33">
        <v>4.38</v>
      </c>
      <c r="L17" s="33" t="s">
        <v>324</v>
      </c>
      <c r="M17">
        <v>2050</v>
      </c>
      <c r="N17">
        <v>321</v>
      </c>
      <c r="O17">
        <v>28</v>
      </c>
      <c r="P17" t="s">
        <v>294</v>
      </c>
    </row>
    <row r="20" spans="5:16">
      <c r="E20" s="18"/>
      <c r="F20" s="18"/>
      <c r="I20" s="33"/>
      <c r="J20" s="33"/>
      <c r="K20" s="33"/>
      <c r="L20" s="33"/>
      <c r="M20" s="33"/>
      <c r="N20" s="33"/>
      <c r="O20" s="33"/>
    </row>
    <row r="21" spans="5:16">
      <c r="I21" s="33"/>
      <c r="J21" s="33"/>
      <c r="K21" s="33"/>
      <c r="L21" s="33"/>
      <c r="M21" s="33"/>
      <c r="N21" s="33"/>
      <c r="O21" s="33"/>
    </row>
    <row r="22" spans="5:16">
      <c r="I22" s="33"/>
      <c r="J22" s="33"/>
      <c r="K22" s="33"/>
      <c r="L22" s="33"/>
      <c r="M22" s="33"/>
      <c r="N22" s="33"/>
      <c r="O22" s="33"/>
    </row>
    <row r="23" spans="5:16">
      <c r="I23" s="33"/>
      <c r="J23" s="33"/>
      <c r="K23" s="33"/>
      <c r="L23" s="33"/>
      <c r="M23" s="33"/>
      <c r="N23" s="33"/>
      <c r="O23" s="33"/>
    </row>
    <row r="24" spans="5:16">
      <c r="I24" s="33"/>
      <c r="J24" s="33"/>
      <c r="K24" s="33"/>
      <c r="L24" s="33"/>
      <c r="M24" s="33"/>
      <c r="N24" s="33"/>
      <c r="O24" s="33"/>
    </row>
    <row r="25" spans="5:16">
      <c r="I25" s="33"/>
      <c r="J25" s="33"/>
      <c r="K25" s="33"/>
      <c r="L25" s="33"/>
      <c r="M25" s="33"/>
      <c r="N25" s="33"/>
      <c r="O25" s="33"/>
    </row>
    <row r="26" spans="5:16">
      <c r="I26" s="33"/>
      <c r="J26" s="33"/>
      <c r="K26" s="33"/>
      <c r="L26" s="33"/>
      <c r="M26" s="33"/>
      <c r="N26" s="33"/>
      <c r="O26" s="33"/>
    </row>
    <row r="27" spans="5:16">
      <c r="I27" s="33"/>
      <c r="J27" s="33"/>
      <c r="K27" s="33"/>
      <c r="L27" s="33"/>
      <c r="M27" s="33"/>
      <c r="N27" s="33"/>
      <c r="O27" s="33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4.4"/>
  <cols>
    <col min="3" max="3" width="12.5546875" customWidth="1"/>
  </cols>
  <sheetData>
    <row r="1" spans="1:4">
      <c r="A1" t="s">
        <v>293</v>
      </c>
      <c r="B1" t="s">
        <v>331</v>
      </c>
      <c r="C1" t="s">
        <v>332</v>
      </c>
      <c r="D1" t="s">
        <v>91</v>
      </c>
    </row>
    <row r="2" spans="1:4">
      <c r="A2" s="26">
        <v>2019</v>
      </c>
      <c r="B2" s="27">
        <v>290.54545454545456</v>
      </c>
      <c r="C2" s="27">
        <v>1821.6363636363637</v>
      </c>
      <c r="D2" s="27">
        <v>1724.3181818181818</v>
      </c>
    </row>
    <row r="3" spans="1:4">
      <c r="A3">
        <v>2020</v>
      </c>
      <c r="B3" s="27">
        <v>290.54545454545456</v>
      </c>
      <c r="C3" s="27">
        <v>1821.6363636363637</v>
      </c>
      <c r="D3" s="27">
        <v>1724.3181818181818</v>
      </c>
    </row>
    <row r="4" spans="1:4">
      <c r="A4" s="26">
        <v>2021</v>
      </c>
      <c r="B4" s="27">
        <v>290.54545454545456</v>
      </c>
      <c r="C4" s="27">
        <v>1821.6363636363637</v>
      </c>
      <c r="D4" s="27">
        <v>1724.3181818181818</v>
      </c>
    </row>
    <row r="5" spans="1:4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4">
      <c r="A6" s="26">
        <v>2023</v>
      </c>
      <c r="B6" s="27">
        <v>290.54545454545456</v>
      </c>
      <c r="C6" s="27">
        <v>1821.6363636363637</v>
      </c>
      <c r="D6" s="27">
        <v>1724.3181818181818</v>
      </c>
    </row>
    <row r="7" spans="1:4">
      <c r="A7">
        <v>2024</v>
      </c>
      <c r="B7" s="27">
        <v>290.54545454545456</v>
      </c>
      <c r="C7" s="27">
        <v>1821.6363636363637</v>
      </c>
      <c r="D7" s="27">
        <v>1724.3181818181818</v>
      </c>
    </row>
    <row r="8" spans="1:4">
      <c r="A8" s="26">
        <v>2025</v>
      </c>
      <c r="B8" s="27">
        <v>290.54545454545456</v>
      </c>
      <c r="C8" s="27">
        <v>1821.6363636363637</v>
      </c>
      <c r="D8" s="27">
        <v>1724.3181818181818</v>
      </c>
    </row>
    <row r="9" spans="1:4">
      <c r="A9">
        <v>2026</v>
      </c>
      <c r="B9" s="27">
        <v>290.54545454545456</v>
      </c>
      <c r="C9" s="27">
        <v>1821.6363636363637</v>
      </c>
      <c r="D9" s="27">
        <v>1724.3181818181818</v>
      </c>
    </row>
    <row r="10" spans="1:4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4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4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4">
      <c r="A13" s="26">
        <v>2030</v>
      </c>
      <c r="B13" s="27">
        <v>228.4</v>
      </c>
      <c r="C13" s="27">
        <v>2450</v>
      </c>
      <c r="D13" s="27">
        <v>3298.8249999999998</v>
      </c>
    </row>
    <row r="14" spans="1:4">
      <c r="A14" s="26">
        <v>2031</v>
      </c>
      <c r="B14" s="27">
        <v>228.4</v>
      </c>
      <c r="C14" s="27">
        <v>2450</v>
      </c>
      <c r="D14" s="27">
        <v>3298.8249999999998</v>
      </c>
    </row>
    <row r="15" spans="1:4">
      <c r="A15">
        <v>2032</v>
      </c>
      <c r="B15" s="27">
        <v>228.4</v>
      </c>
      <c r="C15" s="27">
        <v>2450</v>
      </c>
      <c r="D15" s="27">
        <v>3298.8249999999998</v>
      </c>
    </row>
    <row r="16" spans="1:4">
      <c r="A16">
        <v>2033</v>
      </c>
      <c r="B16" s="27">
        <v>228.4</v>
      </c>
      <c r="C16" s="27">
        <v>2450</v>
      </c>
      <c r="D16" s="27">
        <v>3298.8249999999998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4.4"/>
  <cols>
    <col min="4" max="4" width="21.33203125" customWidth="1"/>
  </cols>
  <sheetData>
    <row r="1" spans="1:4">
      <c r="A1" t="s">
        <v>293</v>
      </c>
      <c r="B1" t="s">
        <v>190</v>
      </c>
      <c r="D1" t="s">
        <v>319</v>
      </c>
    </row>
    <row r="2" spans="1:4">
      <c r="A2">
        <v>2019</v>
      </c>
      <c r="B2">
        <v>19.7</v>
      </c>
      <c r="D2" t="s">
        <v>236</v>
      </c>
    </row>
    <row r="3" spans="1:4">
      <c r="A3">
        <v>2020</v>
      </c>
      <c r="B3">
        <v>20.399999999999999</v>
      </c>
      <c r="D3" t="s">
        <v>236</v>
      </c>
    </row>
    <row r="4" spans="1:4">
      <c r="A4">
        <v>2021</v>
      </c>
      <c r="B4">
        <v>21.7</v>
      </c>
      <c r="D4" t="s">
        <v>236</v>
      </c>
    </row>
    <row r="5" spans="1:4">
      <c r="A5">
        <v>2030</v>
      </c>
      <c r="B5">
        <v>53</v>
      </c>
      <c r="D5" t="s">
        <v>236</v>
      </c>
    </row>
    <row r="6" spans="1:4">
      <c r="A6">
        <v>2040</v>
      </c>
      <c r="B6">
        <v>100</v>
      </c>
      <c r="D6" t="s">
        <v>236</v>
      </c>
    </row>
    <row r="7" spans="1:4">
      <c r="A7">
        <v>2050</v>
      </c>
      <c r="B7">
        <v>120</v>
      </c>
      <c r="D7" t="s">
        <v>236</v>
      </c>
    </row>
    <row r="8" spans="1:4" ht="15" thickBot="1"/>
    <row r="9" spans="1:4" ht="15" thickBot="1">
      <c r="A9" s="28"/>
      <c r="B9" s="28"/>
      <c r="C9" s="29"/>
    </row>
    <row r="10" spans="1:4" ht="15" thickBot="1">
      <c r="A10" s="28"/>
      <c r="B10" s="28"/>
      <c r="C10" s="29"/>
    </row>
    <row r="11" spans="1:4" ht="15" thickBot="1">
      <c r="A11" s="28"/>
      <c r="B11" s="28"/>
      <c r="C11" s="29"/>
    </row>
    <row r="12" spans="1:4" ht="15" thickBot="1">
      <c r="A12" s="28"/>
      <c r="B12" s="28"/>
      <c r="C12" s="29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G16" sqref="G16"/>
    </sheetView>
  </sheetViews>
  <sheetFormatPr defaultRowHeight="14.4"/>
  <cols>
    <col min="1" max="1" width="18.5546875" customWidth="1"/>
    <col min="2" max="2" width="14" customWidth="1"/>
    <col min="3" max="3" width="12.88671875" customWidth="1"/>
    <col min="4" max="4" width="28.33203125" customWidth="1"/>
    <col min="5" max="5" width="14.44140625" customWidth="1"/>
    <col min="6" max="6" width="24" customWidth="1"/>
    <col min="7" max="7" width="25.33203125" customWidth="1"/>
  </cols>
  <sheetData>
    <row r="1" spans="1:6">
      <c r="A1" t="s">
        <v>216</v>
      </c>
      <c r="B1" t="s">
        <v>217</v>
      </c>
      <c r="C1" t="s">
        <v>215</v>
      </c>
      <c r="E1" t="s">
        <v>353</v>
      </c>
      <c r="F1" t="s">
        <v>354</v>
      </c>
    </row>
    <row r="2" spans="1:6">
      <c r="A2" s="60" t="s">
        <v>122</v>
      </c>
      <c r="B2" t="s">
        <v>183</v>
      </c>
      <c r="C2">
        <v>1</v>
      </c>
      <c r="E2" t="s">
        <v>41</v>
      </c>
      <c r="F2" s="22"/>
    </row>
    <row r="3" spans="1:6">
      <c r="A3" s="60" t="s">
        <v>126</v>
      </c>
      <c r="B3" t="s">
        <v>197</v>
      </c>
      <c r="C3">
        <v>2</v>
      </c>
      <c r="E3" t="s">
        <v>46</v>
      </c>
      <c r="F3" s="22"/>
    </row>
    <row r="4" spans="1:6">
      <c r="A4" s="60" t="s">
        <v>130</v>
      </c>
      <c r="B4" t="s">
        <v>298</v>
      </c>
      <c r="C4">
        <v>3</v>
      </c>
      <c r="E4" t="s">
        <v>52</v>
      </c>
    </row>
    <row r="5" spans="1:6">
      <c r="A5" t="s">
        <v>118</v>
      </c>
      <c r="B5" s="61" t="s">
        <v>118</v>
      </c>
      <c r="C5">
        <v>4</v>
      </c>
      <c r="E5" t="s">
        <v>43</v>
      </c>
    </row>
    <row r="6" spans="1:6">
      <c r="A6" s="60" t="s">
        <v>123</v>
      </c>
      <c r="B6" t="s">
        <v>182</v>
      </c>
      <c r="C6">
        <v>5</v>
      </c>
      <c r="E6" t="s">
        <v>50</v>
      </c>
      <c r="F6" s="22"/>
    </row>
    <row r="7" spans="1:6">
      <c r="A7" s="60" t="s">
        <v>124</v>
      </c>
      <c r="B7" s="61" t="s">
        <v>198</v>
      </c>
      <c r="C7">
        <v>6</v>
      </c>
    </row>
    <row r="8" spans="1:6">
      <c r="A8" t="s">
        <v>125</v>
      </c>
      <c r="B8" s="61" t="s">
        <v>199</v>
      </c>
      <c r="C8">
        <v>7</v>
      </c>
    </row>
    <row r="9" spans="1:6">
      <c r="A9" s="60" t="s">
        <v>127</v>
      </c>
      <c r="B9" t="s">
        <v>181</v>
      </c>
      <c r="C9">
        <v>8</v>
      </c>
      <c r="E9" t="s">
        <v>45</v>
      </c>
      <c r="F9" s="22"/>
    </row>
    <row r="10" spans="1:6">
      <c r="A10" s="60" t="s">
        <v>128</v>
      </c>
      <c r="B10" t="s">
        <v>89</v>
      </c>
      <c r="C10">
        <v>9</v>
      </c>
      <c r="E10" t="s">
        <v>48</v>
      </c>
    </row>
    <row r="11" spans="1:6">
      <c r="A11" t="s">
        <v>129</v>
      </c>
      <c r="B11" s="61" t="s">
        <v>200</v>
      </c>
      <c r="C11">
        <v>10</v>
      </c>
    </row>
    <row r="12" spans="1:6">
      <c r="A12" t="s">
        <v>120</v>
      </c>
      <c r="B12" s="61" t="s">
        <v>242</v>
      </c>
      <c r="C12">
        <v>11</v>
      </c>
      <c r="E12" t="s">
        <v>39</v>
      </c>
    </row>
    <row r="13" spans="1:6">
      <c r="A13" t="s">
        <v>119</v>
      </c>
      <c r="B13" s="61" t="s">
        <v>201</v>
      </c>
      <c r="C13">
        <v>12</v>
      </c>
    </row>
    <row r="14" spans="1:6">
      <c r="A14" s="60" t="s">
        <v>131</v>
      </c>
      <c r="B14" t="s">
        <v>78</v>
      </c>
      <c r="C14">
        <v>13</v>
      </c>
    </row>
    <row r="15" spans="1:6">
      <c r="A15" t="s">
        <v>419</v>
      </c>
      <c r="B15" s="61" t="s">
        <v>419</v>
      </c>
      <c r="C15">
        <v>14</v>
      </c>
    </row>
    <row r="17" spans="1:5">
      <c r="A17" s="11"/>
      <c r="E17" s="5"/>
    </row>
    <row r="18" spans="1:5">
      <c r="A18" s="11"/>
    </row>
    <row r="19" spans="1:5">
      <c r="A19" s="11"/>
    </row>
    <row r="20" spans="1:5">
      <c r="A20" s="11"/>
    </row>
    <row r="21" spans="1:5">
      <c r="A21" s="11"/>
    </row>
    <row r="22" spans="1:5">
      <c r="A22" s="11"/>
    </row>
    <row r="23" spans="1:5">
      <c r="A23" s="11"/>
    </row>
    <row r="24" spans="1:5">
      <c r="A24" s="11"/>
    </row>
    <row r="25" spans="1:5">
      <c r="A25" s="11"/>
    </row>
    <row r="26" spans="1:5">
      <c r="A26" s="11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L11" sqref="L11"/>
    </sheetView>
  </sheetViews>
  <sheetFormatPr defaultRowHeight="14.4"/>
  <cols>
    <col min="1" max="1" width="28.109375" customWidth="1"/>
  </cols>
  <sheetData>
    <row r="1" spans="1:15" ht="72">
      <c r="A1" s="6" t="s">
        <v>149</v>
      </c>
      <c r="B1" s="7" t="s">
        <v>136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110</v>
      </c>
      <c r="M1" t="s">
        <v>300</v>
      </c>
      <c r="N1" t="s">
        <v>301</v>
      </c>
      <c r="O1">
        <v>93.904775180000001</v>
      </c>
    </row>
    <row r="2" spans="1:15">
      <c r="A2" t="s">
        <v>95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111</v>
      </c>
      <c r="M2" t="s">
        <v>300</v>
      </c>
      <c r="N2" t="s">
        <v>301</v>
      </c>
      <c r="O2">
        <v>97.012060739999995</v>
      </c>
    </row>
    <row r="3" spans="1:15">
      <c r="A3" t="s">
        <v>96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112</v>
      </c>
      <c r="M3" t="s">
        <v>300</v>
      </c>
      <c r="N3" t="s">
        <v>301</v>
      </c>
      <c r="O3">
        <v>796.91070000000002</v>
      </c>
    </row>
    <row r="4" spans="1:15">
      <c r="A4" t="s">
        <v>114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114</v>
      </c>
      <c r="M4" t="s">
        <v>300</v>
      </c>
      <c r="N4" t="s">
        <v>301</v>
      </c>
      <c r="O4">
        <v>10.29</v>
      </c>
    </row>
    <row r="5" spans="1:15">
      <c r="A5" t="s">
        <v>115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115</v>
      </c>
      <c r="M5" t="s">
        <v>300</v>
      </c>
      <c r="N5" t="s">
        <v>301</v>
      </c>
      <c r="O5">
        <v>42.191125290000002</v>
      </c>
    </row>
    <row r="6" spans="1:15">
      <c r="A6" t="s">
        <v>116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110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111</v>
      </c>
    </row>
    <row r="9" spans="1:15">
      <c r="A9" t="s">
        <v>112</v>
      </c>
      <c r="B9">
        <v>0.01</v>
      </c>
    </row>
    <row r="10" spans="1:15">
      <c r="A10" t="s">
        <v>113</v>
      </c>
    </row>
    <row r="11" spans="1:15">
      <c r="A11" t="s">
        <v>99</v>
      </c>
    </row>
    <row r="12" spans="1:15">
      <c r="A12" t="s">
        <v>100</v>
      </c>
    </row>
    <row r="13" spans="1:15">
      <c r="A13" t="s">
        <v>101</v>
      </c>
    </row>
    <row r="14" spans="1:15">
      <c r="A14" t="s">
        <v>102</v>
      </c>
      <c r="B14">
        <v>0.01</v>
      </c>
    </row>
    <row r="15" spans="1:15">
      <c r="A15" t="s">
        <v>103</v>
      </c>
    </row>
    <row r="16" spans="1:15">
      <c r="A16" t="s">
        <v>104</v>
      </c>
      <c r="B16">
        <f t="shared" ref="B16" si="0">B14</f>
        <v>0.01</v>
      </c>
    </row>
    <row r="17" spans="1:2">
      <c r="A17" t="s">
        <v>105</v>
      </c>
    </row>
    <row r="18" spans="1:2">
      <c r="A18" t="s">
        <v>83</v>
      </c>
      <c r="B18">
        <v>0.01</v>
      </c>
    </row>
    <row r="19" spans="1:2">
      <c r="A19" t="s">
        <v>97</v>
      </c>
    </row>
    <row r="20" spans="1:2">
      <c r="A20" t="s">
        <v>98</v>
      </c>
    </row>
    <row r="21" spans="1:2">
      <c r="A21" t="s">
        <v>81</v>
      </c>
    </row>
    <row r="22" spans="1:2">
      <c r="A22" t="s">
        <v>48</v>
      </c>
      <c r="B22">
        <v>0.01</v>
      </c>
    </row>
    <row r="23" spans="1:2">
      <c r="A23" t="s">
        <v>106</v>
      </c>
    </row>
    <row r="24" spans="1:2">
      <c r="A24" t="s">
        <v>107</v>
      </c>
    </row>
    <row r="25" spans="1:2">
      <c r="A25" t="s">
        <v>108</v>
      </c>
      <c r="B25">
        <v>0.01</v>
      </c>
    </row>
    <row r="26" spans="1:2">
      <c r="A26" t="s">
        <v>109</v>
      </c>
    </row>
    <row r="27" spans="1:2" ht="12.9" customHeight="1">
      <c r="A27" s="2" t="s">
        <v>174</v>
      </c>
      <c r="B27" s="10">
        <v>0.2</v>
      </c>
    </row>
    <row r="28" spans="1:2">
      <c r="A28" s="2" t="s">
        <v>173</v>
      </c>
      <c r="B28" s="10">
        <v>0.2</v>
      </c>
    </row>
    <row r="29" spans="1:2">
      <c r="A29" s="13" t="s">
        <v>178</v>
      </c>
      <c r="B29">
        <v>0.01</v>
      </c>
    </row>
    <row r="30" spans="1:2">
      <c r="A30" s="13" t="s">
        <v>179</v>
      </c>
      <c r="B30">
        <v>0.01</v>
      </c>
    </row>
    <row r="31" spans="1:2">
      <c r="A31" s="13" t="s">
        <v>180</v>
      </c>
      <c r="B31">
        <v>0.01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4.4"/>
  <sheetData>
    <row r="1" spans="4:14">
      <c r="D1" t="s">
        <v>326</v>
      </c>
    </row>
    <row r="4" spans="4:14">
      <c r="N4" t="s">
        <v>327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I2" sqref="I2"/>
    </sheetView>
  </sheetViews>
  <sheetFormatPr defaultRowHeight="14.4"/>
  <cols>
    <col min="1" max="1" width="31.109375" customWidth="1"/>
    <col min="2" max="3" width="21.88671875" customWidth="1"/>
    <col min="4" max="4" width="11.44140625" customWidth="1"/>
    <col min="5" max="5" width="7.5546875" customWidth="1"/>
    <col min="6" max="6" width="8.6640625" customWidth="1"/>
    <col min="7" max="7" width="24.44140625" customWidth="1"/>
    <col min="8" max="8" width="15.88671875" customWidth="1"/>
    <col min="9" max="9" width="13.44140625" customWidth="1"/>
    <col min="10" max="10" width="23.5546875" customWidth="1"/>
    <col min="12" max="12" width="34.109375" customWidth="1"/>
  </cols>
  <sheetData>
    <row r="1" spans="1:9" ht="28.8">
      <c r="A1" s="9" t="s">
        <v>158</v>
      </c>
      <c r="B1" s="9" t="s">
        <v>159</v>
      </c>
      <c r="C1" s="9" t="s">
        <v>175</v>
      </c>
      <c r="D1" s="9" t="s">
        <v>160</v>
      </c>
      <c r="E1" s="9" t="s">
        <v>171</v>
      </c>
      <c r="F1" s="9" t="s">
        <v>161</v>
      </c>
      <c r="G1" s="9" t="s">
        <v>176</v>
      </c>
      <c r="H1" s="9" t="s">
        <v>162</v>
      </c>
      <c r="I1" s="9" t="s">
        <v>170</v>
      </c>
    </row>
    <row r="2" spans="1:9" ht="28.8">
      <c r="A2" t="s">
        <v>102</v>
      </c>
      <c r="B2" s="2" t="s">
        <v>163</v>
      </c>
      <c r="C2" t="s">
        <v>146</v>
      </c>
      <c r="D2" t="s">
        <v>2</v>
      </c>
      <c r="E2" t="s">
        <v>164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8.8">
      <c r="A3" t="s">
        <v>112</v>
      </c>
      <c r="B3" s="2" t="s">
        <v>163</v>
      </c>
      <c r="C3" t="s">
        <v>146</v>
      </c>
      <c r="D3" t="s">
        <v>2</v>
      </c>
      <c r="E3" t="s">
        <v>164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8.8">
      <c r="A4" t="s">
        <v>115</v>
      </c>
      <c r="B4" s="2" t="s">
        <v>163</v>
      </c>
      <c r="C4" t="s">
        <v>146</v>
      </c>
      <c r="D4" t="s">
        <v>2</v>
      </c>
      <c r="E4" t="s">
        <v>164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8.8">
      <c r="A5" t="s">
        <v>95</v>
      </c>
      <c r="B5" s="2" t="s">
        <v>167</v>
      </c>
      <c r="C5" t="s">
        <v>146</v>
      </c>
      <c r="D5" t="s">
        <v>2</v>
      </c>
      <c r="E5" t="s">
        <v>164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8.8">
      <c r="A6" t="s">
        <v>104</v>
      </c>
      <c r="B6" s="2" t="s">
        <v>163</v>
      </c>
      <c r="C6" t="s">
        <v>146</v>
      </c>
      <c r="D6" t="s">
        <v>2</v>
      </c>
      <c r="E6" t="s">
        <v>164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8.8">
      <c r="A7" s="2" t="s">
        <v>108</v>
      </c>
      <c r="B7" s="2" t="s">
        <v>163</v>
      </c>
      <c r="C7" t="s">
        <v>145</v>
      </c>
      <c r="D7" t="s">
        <v>2</v>
      </c>
      <c r="E7" t="s">
        <v>164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8.8">
      <c r="A8" s="2" t="s">
        <v>168</v>
      </c>
      <c r="B8" s="2" t="s">
        <v>167</v>
      </c>
      <c r="C8" t="s">
        <v>145</v>
      </c>
      <c r="D8" t="s">
        <v>2</v>
      </c>
      <c r="E8" t="s">
        <v>164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8.8">
      <c r="A9" t="s">
        <v>114</v>
      </c>
      <c r="B9" s="2" t="s">
        <v>163</v>
      </c>
      <c r="C9" t="s">
        <v>146</v>
      </c>
      <c r="D9" t="s">
        <v>2</v>
      </c>
      <c r="E9" t="s">
        <v>164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8.8">
      <c r="A10" t="s">
        <v>103</v>
      </c>
      <c r="B10" s="2" t="s">
        <v>163</v>
      </c>
      <c r="C10" t="s">
        <v>145</v>
      </c>
      <c r="D10" t="s">
        <v>2</v>
      </c>
      <c r="E10" t="s">
        <v>164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8.8">
      <c r="A11" s="2" t="s">
        <v>83</v>
      </c>
      <c r="B11" s="2" t="s">
        <v>163</v>
      </c>
      <c r="C11" t="s">
        <v>145</v>
      </c>
      <c r="D11" t="s">
        <v>2</v>
      </c>
      <c r="E11" t="s">
        <v>164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173</v>
      </c>
      <c r="B12" s="2" t="s">
        <v>169</v>
      </c>
      <c r="C12" t="s">
        <v>172</v>
      </c>
      <c r="D12" t="s">
        <v>2</v>
      </c>
      <c r="E12" t="s">
        <v>165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174</v>
      </c>
      <c r="B13" s="2" t="s">
        <v>169</v>
      </c>
      <c r="C13" t="s">
        <v>172</v>
      </c>
      <c r="D13" t="s">
        <v>2</v>
      </c>
      <c r="E13" t="s">
        <v>164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H26" sqref="H26"/>
    </sheetView>
  </sheetViews>
  <sheetFormatPr defaultRowHeight="14.4"/>
  <cols>
    <col min="1" max="1" width="26.5546875" customWidth="1"/>
    <col min="2" max="2" width="12.5546875" customWidth="1"/>
  </cols>
  <sheetData>
    <row r="1" spans="1:2">
      <c r="A1" t="s">
        <v>184</v>
      </c>
      <c r="B1" t="s">
        <v>202</v>
      </c>
    </row>
    <row r="2" spans="1:2">
      <c r="A2" s="3" t="s">
        <v>204</v>
      </c>
      <c r="B2" t="s">
        <v>211</v>
      </c>
    </row>
    <row r="3" spans="1:2">
      <c r="A3" t="s">
        <v>206</v>
      </c>
      <c r="B3" t="s">
        <v>214</v>
      </c>
    </row>
    <row r="4" spans="1:2">
      <c r="A4" t="s">
        <v>207</v>
      </c>
      <c r="B4" t="s">
        <v>212</v>
      </c>
    </row>
    <row r="5" spans="1:2">
      <c r="A5" t="s">
        <v>208</v>
      </c>
      <c r="B5" t="s">
        <v>212</v>
      </c>
    </row>
    <row r="6" spans="1:2">
      <c r="A6" t="s">
        <v>209</v>
      </c>
      <c r="B6" t="s">
        <v>194</v>
      </c>
    </row>
    <row r="7" spans="1:2">
      <c r="A7" t="s">
        <v>210</v>
      </c>
      <c r="B7" t="s">
        <v>194</v>
      </c>
    </row>
    <row r="8" spans="1:2">
      <c r="A8" t="s">
        <v>205</v>
      </c>
      <c r="B8" t="s">
        <v>213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-0.249977111117893"/>
  </sheetPr>
  <dimension ref="A1:F3"/>
  <sheetViews>
    <sheetView workbookViewId="0">
      <selection activeCell="D2" sqref="B1:D2"/>
    </sheetView>
  </sheetViews>
  <sheetFormatPr defaultRowHeight="14.4"/>
  <cols>
    <col min="1" max="1" width="25.88671875" customWidth="1"/>
    <col min="2" max="2" width="24.88671875" customWidth="1"/>
    <col min="3" max="5" width="17.6640625" customWidth="1"/>
    <col min="6" max="6" width="10.5546875" customWidth="1"/>
  </cols>
  <sheetData>
    <row r="1" spans="1:6">
      <c r="A1" s="15" t="s">
        <v>0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244</v>
      </c>
    </row>
    <row r="2" spans="1:6">
      <c r="A2" s="15" t="s">
        <v>238</v>
      </c>
      <c r="B2" s="15">
        <v>0.1</v>
      </c>
      <c r="C2" s="15">
        <v>3.5000000000000003E-2</v>
      </c>
      <c r="D2" s="15">
        <v>3.5000000000000003E-2</v>
      </c>
      <c r="E2" s="15">
        <v>75000</v>
      </c>
      <c r="F2" s="15" t="s">
        <v>190</v>
      </c>
    </row>
    <row r="3" spans="1:6">
      <c r="A3" s="15" t="s">
        <v>243</v>
      </c>
      <c r="B3" s="15">
        <v>0.1</v>
      </c>
      <c r="C3" s="15">
        <v>3.5000000000000003E-2</v>
      </c>
      <c r="D3" s="15">
        <v>3.5000000000000003E-2</v>
      </c>
      <c r="E3" s="15">
        <v>75000</v>
      </c>
      <c r="F3" s="15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-0.249977111117893"/>
  </sheetPr>
  <dimension ref="A1:J18"/>
  <sheetViews>
    <sheetView workbookViewId="0">
      <selection activeCell="G18" sqref="G18"/>
    </sheetView>
  </sheetViews>
  <sheetFormatPr defaultRowHeight="14.4"/>
  <cols>
    <col min="1" max="1" width="8.109375" customWidth="1"/>
    <col min="2" max="5" width="20.109375" customWidth="1"/>
    <col min="6" max="7" width="9.5546875" customWidth="1"/>
  </cols>
  <sheetData>
    <row r="1" spans="1:10">
      <c r="A1" s="15" t="s">
        <v>211</v>
      </c>
      <c r="B1" s="15" t="s">
        <v>252</v>
      </c>
      <c r="C1" s="15" t="s">
        <v>253</v>
      </c>
      <c r="D1" s="15" t="s">
        <v>4</v>
      </c>
      <c r="E1" s="15" t="s">
        <v>254</v>
      </c>
      <c r="F1" s="15" t="s">
        <v>19</v>
      </c>
      <c r="G1" s="15" t="s">
        <v>249</v>
      </c>
      <c r="H1" s="15" t="s">
        <v>451</v>
      </c>
      <c r="J1" t="s">
        <v>446</v>
      </c>
    </row>
    <row r="2" spans="1:10">
      <c r="A2" s="15" t="s">
        <v>250</v>
      </c>
      <c r="B2" s="15">
        <v>800</v>
      </c>
      <c r="C2" s="15">
        <v>0.15</v>
      </c>
      <c r="D2" s="15" t="s">
        <v>190</v>
      </c>
      <c r="E2" s="15">
        <v>0</v>
      </c>
      <c r="F2" s="15">
        <v>0</v>
      </c>
      <c r="G2" s="15"/>
      <c r="H2" s="15">
        <v>4</v>
      </c>
    </row>
    <row r="3" spans="1:10">
      <c r="A3" s="15" t="s">
        <v>251</v>
      </c>
      <c r="B3" s="15">
        <v>1600</v>
      </c>
      <c r="C3" s="15">
        <v>0.05</v>
      </c>
      <c r="D3" s="15" t="s">
        <v>1</v>
      </c>
      <c r="E3" s="15">
        <v>0</v>
      </c>
      <c r="F3" s="15">
        <v>0</v>
      </c>
      <c r="G3" s="15"/>
      <c r="H3" s="15">
        <v>4</v>
      </c>
      <c r="J3" t="s">
        <v>452</v>
      </c>
    </row>
    <row r="18" spans="5:5">
      <c r="E18" s="1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J4"/>
  <sheetViews>
    <sheetView workbookViewId="0">
      <selection activeCell="N19" sqref="N19"/>
    </sheetView>
  </sheetViews>
  <sheetFormatPr defaultRowHeight="14.4"/>
  <cols>
    <col min="2" max="2" width="17.88671875" customWidth="1"/>
    <col min="9" max="9" width="17.5546875" customWidth="1"/>
    <col min="10" max="10" width="9.33203125" customWidth="1"/>
  </cols>
  <sheetData>
    <row r="1" spans="1:10">
      <c r="A1" s="15" t="s">
        <v>293</v>
      </c>
      <c r="B1" t="s">
        <v>442</v>
      </c>
      <c r="H1" t="s">
        <v>448</v>
      </c>
      <c r="I1" t="s">
        <v>449</v>
      </c>
      <c r="J1" t="s">
        <v>450</v>
      </c>
    </row>
    <row r="2" spans="1:10">
      <c r="A2" s="15">
        <v>2020</v>
      </c>
      <c r="B2" s="15">
        <v>25000</v>
      </c>
      <c r="D2" t="s">
        <v>444</v>
      </c>
      <c r="G2">
        <v>33165</v>
      </c>
      <c r="H2" s="65">
        <f>0.05</f>
        <v>0.05</v>
      </c>
      <c r="I2" s="18">
        <f>H2*$G$2</f>
        <v>1658.25</v>
      </c>
      <c r="J2">
        <v>1000</v>
      </c>
    </row>
    <row r="3" spans="1:10">
      <c r="A3" s="15">
        <v>2050</v>
      </c>
      <c r="B3" s="42">
        <f>[1]PeakLoadAnalysiss!$D$1</f>
        <v>33164.685167226271</v>
      </c>
      <c r="D3" s="15">
        <f>35000+LoadShifterCap!B2</f>
        <v>46775</v>
      </c>
      <c r="E3" t="s">
        <v>447</v>
      </c>
      <c r="H3" s="65">
        <v>0.1</v>
      </c>
      <c r="I3" s="18">
        <f t="shared" ref="I3:I4" si="0">H3*$G$2</f>
        <v>3316.5</v>
      </c>
      <c r="J3">
        <v>3000</v>
      </c>
    </row>
    <row r="4" spans="1:10">
      <c r="H4" s="65">
        <v>0.15</v>
      </c>
      <c r="I4" s="18">
        <f t="shared" si="0"/>
        <v>4974.75</v>
      </c>
      <c r="J4">
        <v>4000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19"/>
  <sheetViews>
    <sheetView zoomScale="81" zoomScaleNormal="81" workbookViewId="0">
      <selection activeCell="D16" sqref="A1:D16"/>
    </sheetView>
  </sheetViews>
  <sheetFormatPr defaultRowHeight="14.4"/>
  <cols>
    <col min="1" max="1" width="23.109375" customWidth="1"/>
    <col min="2" max="2" width="21.44140625" customWidth="1"/>
    <col min="3" max="3" width="19.109375" customWidth="1"/>
    <col min="4" max="5" width="32.33203125" customWidth="1"/>
    <col min="6" max="6" width="14.88671875" customWidth="1"/>
    <col min="9" max="9" width="15.88671875" customWidth="1"/>
  </cols>
  <sheetData>
    <row r="1" spans="1:10">
      <c r="A1" s="8" t="s">
        <v>117</v>
      </c>
      <c r="B1" s="3" t="s">
        <v>38</v>
      </c>
      <c r="C1" s="3" t="s">
        <v>35</v>
      </c>
      <c r="D1" s="23" t="s">
        <v>286</v>
      </c>
      <c r="E1" s="22"/>
      <c r="F1" t="s">
        <v>36</v>
      </c>
      <c r="G1" t="s">
        <v>37</v>
      </c>
    </row>
    <row r="2" spans="1:10">
      <c r="A2" t="s">
        <v>118</v>
      </c>
      <c r="B2" t="s">
        <v>44</v>
      </c>
      <c r="C2">
        <v>0.20448</v>
      </c>
      <c r="D2">
        <f>D11</f>
        <v>0.20195983840000001</v>
      </c>
      <c r="F2">
        <v>36</v>
      </c>
      <c r="G2">
        <v>1</v>
      </c>
    </row>
    <row r="3" spans="1:10">
      <c r="A3" t="s">
        <v>119</v>
      </c>
      <c r="B3" t="s">
        <v>40</v>
      </c>
      <c r="D3">
        <v>0</v>
      </c>
    </row>
    <row r="4" spans="1:10">
      <c r="A4" t="s">
        <v>120</v>
      </c>
      <c r="B4" t="s">
        <v>40</v>
      </c>
      <c r="D4">
        <v>0</v>
      </c>
    </row>
    <row r="5" spans="1:10">
      <c r="A5" t="s">
        <v>121</v>
      </c>
      <c r="B5" t="s">
        <v>40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2</v>
      </c>
      <c r="B6" t="s">
        <v>239</v>
      </c>
      <c r="D6">
        <v>0</v>
      </c>
    </row>
    <row r="7" spans="1:10">
      <c r="A7" t="s">
        <v>122</v>
      </c>
      <c r="B7" t="s">
        <v>42</v>
      </c>
      <c r="C7">
        <v>0.34</v>
      </c>
      <c r="D7" s="57">
        <v>0.34055972755000002</v>
      </c>
      <c r="E7" s="22"/>
      <c r="F7">
        <v>29000</v>
      </c>
      <c r="G7">
        <v>1</v>
      </c>
    </row>
    <row r="8" spans="1:10">
      <c r="A8" t="s">
        <v>123</v>
      </c>
      <c r="B8" t="s">
        <v>51</v>
      </c>
      <c r="D8" s="57">
        <v>0.26676</v>
      </c>
      <c r="E8" s="22"/>
      <c r="J8" s="22"/>
    </row>
    <row r="9" spans="1:10">
      <c r="A9" t="s">
        <v>125</v>
      </c>
      <c r="B9" t="s">
        <v>51</v>
      </c>
      <c r="C9">
        <v>0.26750000000000002</v>
      </c>
      <c r="D9" s="58">
        <f>D8</f>
        <v>0.26676</v>
      </c>
      <c r="F9">
        <v>11600</v>
      </c>
      <c r="G9">
        <v>1</v>
      </c>
    </row>
    <row r="10" spans="1:10">
      <c r="A10" t="s">
        <v>126</v>
      </c>
      <c r="B10" t="s">
        <v>47</v>
      </c>
      <c r="C10">
        <v>0.41</v>
      </c>
      <c r="D10" s="57">
        <v>0.36399999999999999</v>
      </c>
      <c r="E10" s="22"/>
      <c r="F10">
        <v>3600</v>
      </c>
      <c r="G10">
        <v>1</v>
      </c>
    </row>
    <row r="11" spans="1:10">
      <c r="A11" t="s">
        <v>127</v>
      </c>
      <c r="B11" t="s">
        <v>44</v>
      </c>
      <c r="C11">
        <v>0.20448</v>
      </c>
      <c r="D11" s="57">
        <v>0.20195983840000001</v>
      </c>
      <c r="E11" s="22"/>
      <c r="F11">
        <v>36</v>
      </c>
      <c r="G11">
        <v>1</v>
      </c>
      <c r="J11" s="22"/>
    </row>
    <row r="12" spans="1:10">
      <c r="A12" t="s">
        <v>128</v>
      </c>
      <c r="B12" t="s">
        <v>49</v>
      </c>
      <c r="C12">
        <v>0</v>
      </c>
      <c r="D12" s="57">
        <v>0</v>
      </c>
      <c r="E12" s="22"/>
      <c r="F12" s="1">
        <v>3800000000</v>
      </c>
      <c r="G12">
        <v>1</v>
      </c>
    </row>
    <row r="13" spans="1:10">
      <c r="A13" t="s">
        <v>129</v>
      </c>
      <c r="B13" t="s">
        <v>51</v>
      </c>
      <c r="D13" s="58">
        <f>D9</f>
        <v>0.26676</v>
      </c>
    </row>
    <row r="14" spans="1:10">
      <c r="A14" t="s">
        <v>130</v>
      </c>
      <c r="B14" t="s">
        <v>40</v>
      </c>
      <c r="D14" s="58">
        <v>0</v>
      </c>
      <c r="J14" s="22"/>
    </row>
    <row r="15" spans="1:10">
      <c r="A15" t="s">
        <v>131</v>
      </c>
      <c r="B15" t="s">
        <v>40</v>
      </c>
      <c r="C15">
        <v>0</v>
      </c>
      <c r="D15" s="58">
        <v>0</v>
      </c>
      <c r="F15">
        <v>25000</v>
      </c>
      <c r="G15">
        <v>0.5</v>
      </c>
    </row>
    <row r="16" spans="1:10">
      <c r="A16" t="s">
        <v>124</v>
      </c>
      <c r="B16" t="s">
        <v>349</v>
      </c>
      <c r="C16">
        <v>0</v>
      </c>
      <c r="D16" s="58">
        <v>0</v>
      </c>
    </row>
    <row r="19" spans="3:3">
      <c r="C19" t="s">
        <v>334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2"/>
  <sheetViews>
    <sheetView zoomScaleNormal="100" workbookViewId="0">
      <selection activeCell="C20" sqref="C20"/>
    </sheetView>
  </sheetViews>
  <sheetFormatPr defaultRowHeight="14.4"/>
  <cols>
    <col min="1" max="1" width="20.88671875" customWidth="1"/>
  </cols>
  <sheetData>
    <row r="1" spans="1:8">
      <c r="A1" s="15" t="s">
        <v>0</v>
      </c>
      <c r="B1" s="15" t="s">
        <v>55</v>
      </c>
      <c r="C1" s="15" t="s">
        <v>56</v>
      </c>
      <c r="D1" s="15" t="s">
        <v>57</v>
      </c>
      <c r="E1" s="15" t="s">
        <v>58</v>
      </c>
      <c r="H1" t="s">
        <v>386</v>
      </c>
    </row>
    <row r="2" spans="1:8">
      <c r="A2" s="15" t="s">
        <v>40</v>
      </c>
      <c r="B2" s="15">
        <v>1.01</v>
      </c>
      <c r="C2" s="15">
        <v>1.05</v>
      </c>
      <c r="D2" s="15">
        <v>0.97</v>
      </c>
      <c r="E2" s="15" t="s">
        <v>39</v>
      </c>
      <c r="G2" s="16"/>
    </row>
    <row r="3" spans="1:8">
      <c r="A3" s="15" t="s">
        <v>49</v>
      </c>
      <c r="B3" s="15">
        <v>1.01</v>
      </c>
      <c r="C3" s="15">
        <v>1.02</v>
      </c>
      <c r="D3" s="15">
        <v>1</v>
      </c>
      <c r="E3" s="15" t="s">
        <v>48</v>
      </c>
      <c r="G3" s="16"/>
    </row>
    <row r="4" spans="1:8">
      <c r="A4" s="15" t="s">
        <v>51</v>
      </c>
      <c r="B4" s="15">
        <v>1.01</v>
      </c>
      <c r="C4" s="15">
        <v>1.04</v>
      </c>
      <c r="D4" s="15">
        <v>0.96</v>
      </c>
      <c r="E4" s="15" t="s">
        <v>50</v>
      </c>
      <c r="G4" s="16"/>
    </row>
    <row r="5" spans="1:8">
      <c r="A5" s="15" t="s">
        <v>42</v>
      </c>
      <c r="B5" s="15">
        <v>1</v>
      </c>
      <c r="C5" s="15">
        <v>1.04</v>
      </c>
      <c r="D5" s="15">
        <v>0.79</v>
      </c>
      <c r="E5" s="15" t="s">
        <v>41</v>
      </c>
      <c r="G5" s="16"/>
    </row>
    <row r="6" spans="1:8">
      <c r="A6" s="15" t="s">
        <v>47</v>
      </c>
      <c r="B6" s="15">
        <v>1</v>
      </c>
      <c r="C6" s="15">
        <v>1.02</v>
      </c>
      <c r="D6" s="15">
        <v>0.98</v>
      </c>
      <c r="E6" s="15" t="s">
        <v>46</v>
      </c>
      <c r="G6" s="16"/>
    </row>
    <row r="7" spans="1:8">
      <c r="A7" s="15" t="s">
        <v>44</v>
      </c>
      <c r="B7" s="15">
        <v>1.01</v>
      </c>
      <c r="C7" s="15">
        <v>1.06</v>
      </c>
      <c r="D7" s="15">
        <v>0.95</v>
      </c>
      <c r="E7" s="15" t="s">
        <v>45</v>
      </c>
      <c r="G7" s="16"/>
    </row>
    <row r="8" spans="1:8">
      <c r="A8" s="15" t="s">
        <v>59</v>
      </c>
      <c r="B8" s="15">
        <v>0</v>
      </c>
      <c r="C8" s="15">
        <v>0</v>
      </c>
      <c r="D8" s="15">
        <v>0</v>
      </c>
      <c r="E8" s="15" t="s">
        <v>60</v>
      </c>
      <c r="G8" s="16"/>
    </row>
    <row r="9" spans="1:8">
      <c r="A9" s="15" t="s">
        <v>61</v>
      </c>
      <c r="B9" s="15">
        <v>1.01</v>
      </c>
      <c r="C9" s="15">
        <v>1.06</v>
      </c>
      <c r="D9" s="15">
        <v>0.95</v>
      </c>
      <c r="E9" s="15" t="s">
        <v>43</v>
      </c>
      <c r="G9" s="16"/>
    </row>
    <row r="10" spans="1:8">
      <c r="A10" s="15" t="s">
        <v>53</v>
      </c>
      <c r="B10" s="15">
        <v>0</v>
      </c>
      <c r="C10" s="15">
        <v>0</v>
      </c>
      <c r="D10" s="15">
        <v>0</v>
      </c>
      <c r="E10" s="15" t="s">
        <v>54</v>
      </c>
      <c r="G10" s="16"/>
    </row>
    <row r="11" spans="1:8">
      <c r="A11" s="15" t="s">
        <v>349</v>
      </c>
      <c r="B11" s="15">
        <v>1.02</v>
      </c>
      <c r="C11" s="15">
        <v>1.03</v>
      </c>
      <c r="D11" s="15">
        <v>0.98</v>
      </c>
      <c r="E11" s="15" t="s">
        <v>350</v>
      </c>
      <c r="G11" s="16"/>
    </row>
    <row r="12" spans="1:8">
      <c r="A12" s="15" t="s">
        <v>239</v>
      </c>
      <c r="B12" s="15">
        <v>1.02</v>
      </c>
      <c r="C12" s="15">
        <v>1.03</v>
      </c>
      <c r="D12" s="15">
        <v>0.99</v>
      </c>
      <c r="E12" s="15" t="s">
        <v>2</v>
      </c>
      <c r="G12" s="1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peakLoad</vt:lpstr>
      <vt:lpstr>Fuels</vt:lpstr>
      <vt:lpstr>FuelPriceTrends</vt:lpstr>
      <vt:lpstr>CandidatePowerPlants</vt:lpstr>
      <vt:lpstr>TechnologiesEmlab</vt:lpstr>
      <vt:lpstr>TechnologyTrends</vt:lpstr>
      <vt:lpstr>weatherYears</vt:lpstr>
      <vt:lpstr>weatherYears40</vt:lpstr>
      <vt:lpstr>weatherYearsOLD</vt:lpstr>
      <vt:lpstr>EnergyProducers</vt:lpstr>
      <vt:lpstr>ElectricitySpotMarkets</vt:lpstr>
      <vt:lpstr>LoadShifterCap</vt:lpstr>
      <vt:lpstr>LoadShedders</vt:lpstr>
      <vt:lpstr>TechnologyTargets</vt:lpstr>
      <vt:lpstr>YearlyTargets</vt:lpstr>
      <vt:lpstr>yearlyCO2</vt:lpstr>
      <vt:lpstr>technologyPotentials</vt:lpstr>
      <vt:lpstr>Dismantled</vt:lpstr>
      <vt:lpstr>StepTrends</vt:lpstr>
      <vt:lpstr>EnergyConsumers</vt:lpstr>
      <vt:lpstr>yearlytechnologyPotentials2</vt:lpstr>
      <vt:lpstr>graphs</vt:lpstr>
      <vt:lpstr>CO2DE</vt:lpstr>
      <vt:lpstr>backup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2023-10-17T11:58:39Z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