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9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D9092A5-D90C-4D13-9F9D-22EC9B345E8D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dynamicDF" sheetId="81" r:id="rId14"/>
    <sheet name="LoadShifterCap" sheetId="64" r:id="rId15"/>
    <sheet name="LSyearly" sheetId="69" r:id="rId16"/>
    <sheet name="peakLoad" sheetId="67" r:id="rId17"/>
    <sheet name="Fuels" sheetId="29" r:id="rId18"/>
    <sheet name="FuelPriceTrends" sheetId="30" r:id="rId19"/>
    <sheet name="CandidatePowerPlants" sheetId="45" r:id="rId20"/>
    <sheet name="TechnologiesEmlab" sheetId="33" r:id="rId21"/>
    <sheet name="TechnologyTrends" sheetId="63" r:id="rId22"/>
    <sheet name="EnergyProducers" sheetId="17" r:id="rId23"/>
    <sheet name="weatherYears40" sheetId="61" r:id="rId24"/>
    <sheet name="Dismantled" sheetId="49" r:id="rId25"/>
    <sheet name="Sheet1" sheetId="79" r:id="rId26"/>
    <sheet name="derating" sheetId="74" r:id="rId27"/>
    <sheet name="VOLLs" sheetId="72" r:id="rId28"/>
    <sheet name="LoadShedders_feb24" sheetId="73" r:id="rId29"/>
    <sheet name="LoadShedders (2)" sheetId="75" r:id="rId30"/>
    <sheet name="LoadShedders2" sheetId="68" r:id="rId31"/>
    <sheet name="LoadShedders_copy" sheetId="71" r:id="rId32"/>
    <sheet name="dictvariables" sheetId="43" r:id="rId33"/>
    <sheet name="StepTrends" sheetId="18" r:id="rId34"/>
    <sheet name="EnergyConsumers" sheetId="16" r:id="rId35"/>
    <sheet name="yearlytechnologyPotentials2" sheetId="58" r:id="rId36"/>
    <sheet name="graphs" sheetId="56" r:id="rId37"/>
    <sheet name="CO2DE" sheetId="44" r:id="rId38"/>
    <sheet name="backup" sheetId="50" r:id="rId39"/>
    <sheet name="weatherYearsOLD" sheetId="66" r:id="rId40"/>
    <sheet name="sources" sheetId="54" r:id="rId41"/>
    <sheet name="NewTechnologies" sheetId="35" r:id="rId42"/>
  </sheets>
  <definedNames>
    <definedName name="_xlnm._FilterDatabase" localSheetId="19" hidden="1">CandidatePowerPlants!$A$1:$D$1</definedName>
    <definedName name="_xlnm._FilterDatabase" localSheetId="1" hidden="1">dictTech!$A$1:$C$1</definedName>
    <definedName name="_xlnm._FilterDatabase" localSheetId="22" hidden="1">EnergyProducers!#REF!</definedName>
    <definedName name="_xlnm._FilterDatabase" localSheetId="41" hidden="1">NewTechnologies!$A$1:$I$11</definedName>
    <definedName name="_xlnm._FilterDatabase" localSheetId="20" hidden="1">TechnologiesEmlab!$A$1:$I$24</definedName>
    <definedName name="_xlnm._FilterDatabase" localSheetId="27" hidden="1">VOLLs!$A$1:$D$1</definedName>
    <definedName name="ExternalData_19" localSheetId="17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8" l="1"/>
  <c r="E4" i="78"/>
  <c r="E2" i="78"/>
  <c r="F2" i="78"/>
  <c r="F4" i="78"/>
  <c r="F3" i="78"/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W22" i="33"/>
  <c r="W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W14" i="33"/>
  <c r="W15" i="33"/>
  <c r="W16" i="33"/>
  <c r="W17" i="33"/>
  <c r="W18" i="33"/>
  <c r="W2" i="33"/>
  <c r="W3" i="33"/>
  <c r="W6" i="33"/>
  <c r="W7" i="33"/>
  <c r="W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X18" i="33"/>
  <c r="X2" i="33"/>
  <c r="X19" i="33"/>
  <c r="X3" i="33"/>
  <c r="X14" i="33"/>
  <c r="X22" i="33"/>
  <c r="X23" i="33"/>
  <c r="X8" i="33"/>
  <c r="X16" i="33"/>
  <c r="X17" i="33"/>
  <c r="X15" i="33"/>
  <c r="X4" i="33"/>
  <c r="C3" i="18"/>
  <c r="T20" i="33"/>
  <c r="X20" i="33" s="1"/>
  <c r="U20" i="33"/>
  <c r="V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W4" i="33"/>
  <c r="W19" i="33" l="1"/>
  <c r="W8" i="33"/>
  <c r="W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O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P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<sst xmlns="http://schemas.openxmlformats.org/spreadsheetml/2006/main" count="1154" uniqueCount="548">
  <si>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</si>
  <si>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</si>
  <si>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</si>
  <si>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</si>
  <si>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</si>
  <si>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</si>
  <si>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</si>
  <si>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</si>
  <si>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</si>
  <si>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</si>
  <si>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</si>
  <si>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</si>
  <si>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</si>
  <si>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</si>
  <si>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</si>
  <si>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</si>
  <si>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</si>
  <si>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</si>
  <si>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</si>
  <si>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</si>
  <si>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</si>
  <si>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</si>
  <si>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</si>
  <si>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</si>
  <si>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</si>
  <si>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</si>
  <si>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</si>
  <si>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</si>
  <si>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</si>
  <si>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</si>
  <si>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</si>
  <si>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</si>
  <si>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</si>
  <si>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</si>
  <si>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</si>
  <si>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</si>
  <si>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</si>
  <si>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</si>
  <si>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</si>
  <si>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</si>
  <si>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</si>
  <si>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</si>
  <si>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</si>
  <si>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</si>
  <si>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</si>
  <si>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</si>
  <si>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</si>
  <si>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</si>
  <si>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</si>
  <si>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</si>
  <si>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</si>
  <si>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</si>
  <si>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</si>
  <si>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</si>
  <si>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</si>
  <si>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</si>
  <si>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</si>
  <si>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</si>
  <si>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</si>
  <si>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</si>
  <si>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</si>
  <si>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</si>
  <si>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</si>
  <si>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</si>
  <si>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</si>
  <si>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</si>
  <si>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</si>
  <si>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</si>
  <si>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</si>
  <si>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</si>
  <si>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</si>
  <si>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</si>
  <si>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</si>
  <si>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</si>
  <si>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</si>
  <si>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</si>
  <si>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</si>
  <si>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</si>
  <si>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</si>
  <si>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</si>
  <si>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</si>
  <si>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</si>
  <si>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</si>
  <si>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</si>
  <si>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</si>
  <si>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</si>
  <si>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</si>
  <si>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</si>
  <si>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</si>
  <si>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</si>
  <si>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</si>
  <si>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</si>
  <si>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</si>
  <si>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</si>
  <si>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</si>
  <si>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</si>
  <si>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</si>
  <si>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</si>
  <si>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</si>
  <si>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</si>
  <si>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</si>
  <si>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</si>
  <si>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</si>
  <si>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</si>
  <si>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</si>
  <si>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</si>
  <si>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</si>
  <si>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</si>
  <si>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</si>
  <si>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</si>
  <si>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</si>
  <si>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</si>
  <si>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</si>
  <si>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</si>
  <si>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</si>
  <si>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</si>
  <si>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</si>
  <si>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</si>
  <si>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</si>
  <si>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</si>
  <si>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</si>
  <si>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</si>
  <si>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</si>
  <si>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</si>
  <si>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</si>
  <si>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</si>
  <si>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</si>
  <si>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</si>
  <si>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</si>
  <si>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</si>
  <si>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</si>
  <si>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</si>
  <si>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</si>
  <si>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</si>
  <si>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</si>
  <si>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</si>
  <si>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</si>
  <si>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</si>
  <si>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</si>
  <si>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</si>
  <si>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</si>
  <si>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</si>
  <si>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</si>
  <si>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</si>
  <si>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</si>
  <si>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</si>
  <si>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</si>
  <si>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</si>
  <si>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</si>
  <si>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</si>
  <si>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</si>
  <si>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</si>
  <si>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</si>
  <si>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</si>
  <si>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</si>
  <si>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</si>
  <si>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</si>
  <si>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</si>
  <si>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</si>
  <si>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</si>
  <si>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</si>
  <si>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</si>
  <si>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</si>
  <si>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</si>
  <si>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</si>
  <si>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</si>
  <si>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</si>
  <si>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</si>
  <si>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</si>
  <si>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</si>
  <si>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&lt; to set CONE</t>
  </si>
  <si>
    <t>GermanCapacityMarket</t>
  </si>
  <si>
    <t>DE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</si>
  <si>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</si>
  <si>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</si>
  <si>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</si>
  <si>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</si>
  <si>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</si>
  <si>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</si>
  <si>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</si>
  <si>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</si>
  <si>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</si>
  <si>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</si>
  <si>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</si>
  <si>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</si>
  <si>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</si>
  <si>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</si>
  <si>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</si>
  <si>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</si>
  <si>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</si>
  <si>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</si>
  <si>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</si>
  <si>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</si>
  <si>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</si>
  <si>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</si>
  <si>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</si>
  <si>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</si>
  <si>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</si>
  <si>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</si>
  <si>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</si>
  <si>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</si>
  <si>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</si>
  <si>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</si>
  <si>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</si>
  <si>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</si>
  <si>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</si>
  <si>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</si>
  <si>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</si>
  <si>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</si>
  <si>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</si>
  <si>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</si>
  <si>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</si>
  <si>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</si>
  <si>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</si>
  <si>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</si>
  <si>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</si>
  <si>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</si>
  <si>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</si>
  <si>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</si>
  <si>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</si>
  <si>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</si>
  <si>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</si>
  <si>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</si>
  <si>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</si>
  <si>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</si>
  <si>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</si>
  <si>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</si>
  <si>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</si>
  <si>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</si>
  <si>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</si>
  <si>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</si>
  <si>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</si>
  <si>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</si>
  <si>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</si>
  <si>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</si>
  <si>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</si>
  <si>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</si>
  <si>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</si>
  <si>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</si>
  <si>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</si>
  <si>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</si>
  <si>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</si>
  <si>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</si>
  <si>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</si>
  <si>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</si>
  <si>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</si>
  <si>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</si>
  <si>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</si>
  <si>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</si>
  <si>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</si>
  <si>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</si>
  <si>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</si>
  <si>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</si>
  <si>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</si>
  <si>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</si>
  <si>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</si>
  <si>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</si>
  <si>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</si>
  <si>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</si>
  <si>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</si>
  <si>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</si>
  <si>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</si>
  <si>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</si>
  <si>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</si>
  <si>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</si>
  <si>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</si>
  <si>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</si>
  <si>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</si>
  <si>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</si>
  <si>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</si>
  <si>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</si>
  <si>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</si>
  <si>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</si>
  <si>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</si>
  <si>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</si>
  <si>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</si>
  <si>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</si>
  <si>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</si>
  <si>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</si>
  <si>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</si>
  <si>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</si>
  <si>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</si>
  <si>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</si>
  <si>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</si>
  <si>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</si>
  <si>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</si>
  <si>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</si>
  <si>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</si>
  <si>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</si>
  <si>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</si>
  <si>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</si>
  <si>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</si>
  <si>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</si>
  <si>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</si>
  <si>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</si>
  <si>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</si>
  <si>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</si>
  <si>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</si>
  <si>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</si>
  <si>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</si>
  <si>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</si>
  <si>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</si>
  <si>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</si>
  <si>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</si>
  <si>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</si>
  <si>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</si>
  <si>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</si>
  <si>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</si>
  <si>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</si>
  <si>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</si>
  <si>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</si>
  <si>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</si>
  <si>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</si>
  <si>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</si>
  <si>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</si>
  <si>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</si>
  <si>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</si>
  <si>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</si>
  <si>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</si>
  <si>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</si>
  <si>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</si>
  <si>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</si>
  <si>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</si>
  <si>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</si>
  <si>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</si>
  <si>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</si>
  <si>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</si>
  <si>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</si>
  <si>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</si>
  <si>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</si>
  <si>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</si>
  <si>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</si>
  <si>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</si>
  <si>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</si>
  <si>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</si>
  <si>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</si>
  <si>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</si>
  <si>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</si>
  <si>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</si>
  <si>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</si>
  <si>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</si>
  <si>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</si>
  <si>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</si>
  <si>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</si>
  <si>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</si>
  <si>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</si>
  <si>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</si>
  <si>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</si>
  <si>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</si>
  <si>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</si>
  <si>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</si>
  <si>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</si>
  <si>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</si>
  <si>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</si>
  <si>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</si>
  <si>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</si>
  <si>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</si>
  <si>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</si>
  <si>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</si>
  <si>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</si>
  <si>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</si>
  <si>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</si>
  <si>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</si>
  <si>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</si>
  <si>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</si>
  <si>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</si>
  <si>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</si>
  <si>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</si>
  <si>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</si>
  <si>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</si>
  <si>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</si>
  <si>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</si>
  <si>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</si>
  <si>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</si>
  <si>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</si>
  <si>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</si>
  <si>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</si>
  <si>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</si>
  <si>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</si>
  <si>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</si>
  <si>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</si>
  <si>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</si>
  <si>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</si>
  <si>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</si>
  <si>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</si>
  <si>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</si>
  <si>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</si>
  <si>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</si>
  <si>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</si>
  <si>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</si>
  <si>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</si>
  <si>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</si>
  <si>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</si>
  <si>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</si>
  <si>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</si>
  <si>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</si>
  <si>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</si>
  <si>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</si>
  <si>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</si>
  <si>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</si>
  <si>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</si>
  <si>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</si>
  <si>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</si>
  <si>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</si>
  <si>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</si>
  <si>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</si>
  <si>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</si>
  <si>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</si>
  <si>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</si>
  <si>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</si>
  <si>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</si>
  <si>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</si>
  <si>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</si>
  <si>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</si>
  <si>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</si>
  <si>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</si>
  <si>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</si>
  <si>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</si>
  <si>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</si>
  <si>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</si>
  <si>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</si>
  <si>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</si>
  <si>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</si>
  <si>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</si>
  <si>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</si>
  <si>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</si>
  <si>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</si>
  <si>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</si>
  <si>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</si>
  <si>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</si>
  <si>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</si>
  <si>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</si>
  <si>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</si>
  <si>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</si>
  <si>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</si>
  <si>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</si>
  <si>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</si>
  <si>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</si>
  <si>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</si>
  <si>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</si>
  <si>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</si>
  <si>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</si>
  <si>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</si>
  <si>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</si>
  <si>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</si>
  <si>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</si>
  <si>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</si>
  <si>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</si>
  <si>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</si>
  <si>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</si>
  <si>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</si>
  <si>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</si>
  <si>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</si>
  <si>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</si>
  <si>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</si>
  <si>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</si>
  <si>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</si>
  <si>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</si>
  <si>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</si>
  <si>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</si>
  <si>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</si>
  <si>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</si>
  <si>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</si>
  <si>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</si>
  <si>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</si>
  <si>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</si>
  <si>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</si>
  <si>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</si>
  <si>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</si>
  <si>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</si>
  <si>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</si>
  <si>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</si>
  <si>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</si>
  <si>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</si>
  <si>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</si>
  <si>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</si>
  <si>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</si>
  <si>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</si>
  <si>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</si>
  <si>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</si>
  <si>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</si>
  <si>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</si>
  <si>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</si>
  <si>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</si>
  <si>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</si>
  <si>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</si>
  <si>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</si>
  <si>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</si>
  <si>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</si>
  <si>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</si>
  <si>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</si>
  <si>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</si>
  <si>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</si>
  <si>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</si>
  <si>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</si>
  <si>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</si>
  <si>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</si>
  <si>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</si>
  <si>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</si>
  <si>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</si>
  <si>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</si>
  <si>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</si>
  <si>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</si>
  <si>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</si>
  <si>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</si>
  <si>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</si>
  <si>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</si>
  <si>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</si>
  <si>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</si>
  <si>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</si>
  <si>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</si>
  <si>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</si>
  <si>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</si>
  <si>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</si>
  <si>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</si>
  <si>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</si>
  <si>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</si>
  <si>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</si>
  <si>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</si>
  <si>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</si>
  <si>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</si>
  <si>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</si>
  <si>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</si>
  <si>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</si>
  <si>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</si>
  <si>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</si>
  <si>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</si>
  <si>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</si>
  <si>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</si>
  <si>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</si>
  <si>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</si>
  <si>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</si>
  <si>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</si>
  <si>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</si>
  <si>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</si>
  <si>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</si>
  <si>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</si>
  <si>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</si>
  <si>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</si>
  <si>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</si>
  <si>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</si>
  <si>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</si>
  <si>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</si>
  <si>
    <t>hydrogen turbine,hydrogen OCGT,Lithium ion battery,Lithium ion battery 4,hydrogen CCGT,OCGT,CCGT</t>
  </si>
  <si>
    <t>MWh</t>
  </si>
  <si>
    <t>hydrogen turbine,hydrogen OCGT,Lithium ion battery,Lithium ion battery 4,hydrogen CCGT,OCGT,CCGT,Biofuel,Wind Offshore,Wind Onshore,Solar PV large</t>
  </si>
  <si>
    <t>deratingFactor_yearly</t>
  </si>
  <si>
    <t>allowed_technologies_for_cone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</si>
</sst>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6AAB73"/>
      <name val="JetBrains Mono"/>
      <family val="3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36" fillId="0" borderId="0" xfId="0" applyFont="1" applyAlignment="1">
      <alignment vertical="center"/>
    </xf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microsoft.com/office/2017/10/relationships/person" Target="persons/person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52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industrial</a:t>
            </a:r>
            <a:r>
              <a:rPr lang="nl-NL" baseline="0"/>
              <a:t> heating capacity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yearlyLoadShifterCap!$B$1</c:f>
              <c:strCache>
                <c:ptCount val="1"/>
                <c:pt idx="0">
                  <c:v>peakConsumptionInMWyearly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yearlyLoadShifterCap!$A$2:$A$4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yearlyLoadShifterCap!$B$2:$B$4</c:f>
              <c:numCache>
                <c:formatCode>General</c:formatCode>
                <c:ptCount val="3"/>
                <c:pt idx="0">
                  <c:v>3100</c:v>
                </c:pt>
                <c:pt idx="1">
                  <c:v>3676</c:v>
                </c:pt>
                <c:pt idx="2">
                  <c:v>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27D-BE3C-FCFC3DFB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7472"/>
        <c:axId val="222719072"/>
      </c:scatterChart>
      <c:valAx>
        <c:axId val="2226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719072"/>
        <c:crosses val="autoZero"/>
        <c:crossBetween val="midCat"/>
      </c:valAx>
      <c:valAx>
        <c:axId val="222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6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yearlyHydrogen!$B$1</c:f>
              <c:strCache>
                <c:ptCount val="1"/>
                <c:pt idx="0">
                  <c:v>ShedderCapacityMWyearly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yearlyHydrogen!$A$2:$A$4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yearlyHydrogen!$B$2:$B$4</c:f>
              <c:numCache>
                <c:formatCode>General</c:formatCode>
                <c:ptCount val="3"/>
                <c:pt idx="0">
                  <c:v>3000</c:v>
                </c:pt>
                <c:pt idx="1">
                  <c:v>6731</c:v>
                </c:pt>
                <c:pt idx="2">
                  <c:v>37450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3-47A4-A944-9FD95C1F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62448"/>
        <c:axId val="1352621984"/>
      </c:scatterChart>
      <c:valAx>
        <c:axId val="1705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621984"/>
        <c:crosses val="autoZero"/>
        <c:crossBetween val="midCat"/>
      </c:valAx>
      <c:valAx>
        <c:axId val="1352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54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  <xdr:twoCellAnchor>
    <xdr:from>
      <xdr:col>7</xdr:col>
      <xdr:colOff>498475</xdr:colOff>
      <xdr:row>23</xdr:row>
      <xdr:rowOff>130175</xdr:rowOff>
    </xdr:from>
    <xdr:to>
      <xdr:col>15</xdr:col>
      <xdr:colOff>193675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42C3-8A0C-A74F-75CA-0A3EF32B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19</xdr:row>
      <xdr:rowOff>34925</xdr:rowOff>
    </xdr:from>
    <xdr:to>
      <xdr:col>21</xdr:col>
      <xdr:colOff>333375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907B4-DD91-D817-D660-F45C7FF8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O1" dT="2022-06-08T21:52:01.09" personId="{9E95C7A5-7FDF-48FF-95DD-9C4C7D0F3D8F}" id="{81BA12EC-87B6-4F63-88B8-8B70CD12E2EF}">
    <text>must be  at least 1, later change downpayment to</text>
  </threadedComment>
  <threadedComment ref="P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213</v>
      </c>
      <c r="C1" s="75" t="s">
        <v>214</v>
      </c>
      <c r="D1" s="75" t="s">
        <v>215</v>
      </c>
      <c r="F1" s="82" t="s">
        <v>216</v>
      </c>
      <c r="G1" t="s">
        <v>217</v>
      </c>
    </row>
    <row r="2" spans="1:13">
      <c r="A2" s="73" t="s">
        <v>201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211</v>
      </c>
      <c r="L2" s="13">
        <f>G7-0.05</f>
        <v>0.03</v>
      </c>
      <c r="M2" s="75">
        <v>0</v>
      </c>
    </row>
    <row r="3" spans="1:13">
      <c r="A3" s="73" t="s">
        <v>203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212</v>
      </c>
      <c r="L3" s="13">
        <v>0</v>
      </c>
      <c r="M3" s="75">
        <v>0</v>
      </c>
    </row>
    <row r="4" spans="1:13">
      <c r="A4" s="73" t="s">
        <v>204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206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208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207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209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211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212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218</v>
      </c>
      <c r="C1" s="13" t="s">
        <v>219</v>
      </c>
      <c r="D1" s="13" t="s">
        <v>220</v>
      </c>
      <c r="E1" s="13" t="s">
        <v>221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222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222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223</v>
      </c>
      <c r="C4" s="13" t="s">
        <v>224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222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I4"/>
  <sheetViews>
    <sheetView topLeftCell="B1" zoomScale="130" zoomScaleNormal="130" workbookViewId="0">
      <selection activeCell="K4" sqref="K4"/>
    </sheetView>
  </sheetViews>
  <sheetFormatPr defaultRowHeight="15"/>
  <cols>
    <col min="1" max="1" width="38.85546875" customWidth="1"/>
    <col min="2" max="2" width="29.5703125" customWidth="1"/>
    <col min="3" max="3" width="13.85546875" customWidth="1"/>
    <col min="5" max="5" width="10" bestFit="1" customWidth="1"/>
    <col min="6" max="6" width="13.5703125" customWidth="1"/>
  </cols>
  <sheetData>
    <row r="1" spans="1:9">
      <c r="A1" s="13" t="s">
        <v>225</v>
      </c>
      <c r="B1" s="13" t="s">
        <v>226</v>
      </c>
      <c r="C1" s="13" t="s">
        <v>227</v>
      </c>
      <c r="E1" t="s">
        <v>544</v>
      </c>
      <c r="F1" s="16"/>
      <c r="I1" t="s">
        <v>228</v>
      </c>
    </row>
    <row r="2" spans="1:9">
      <c r="A2">
        <v>2020</v>
      </c>
      <c r="B2">
        <f>3100</f>
        <v>3100</v>
      </c>
      <c r="C2">
        <f>800000</f>
        <v>800000</v>
      </c>
      <c r="E2" s="1">
        <f>C2*12</f>
        <v>9600000</v>
      </c>
      <c r="F2" s="16">
        <f>E2/B2</f>
        <v>3096.7741935483873</v>
      </c>
    </row>
    <row r="3" spans="1:9">
      <c r="A3" s="13">
        <v>2030</v>
      </c>
      <c r="B3" s="13">
        <v>3676</v>
      </c>
      <c r="C3" s="13">
        <v>1009075</v>
      </c>
      <c r="E3" s="1">
        <f t="shared" ref="E3:E4" si="0">C3*12</f>
        <v>12108900</v>
      </c>
      <c r="F3" s="16">
        <f>E3/B3</f>
        <v>3294.0424374319914</v>
      </c>
    </row>
    <row r="4" spans="1:9">
      <c r="A4" s="13">
        <v>2050</v>
      </c>
      <c r="B4" s="13">
        <v>6155</v>
      </c>
      <c r="C4" s="13">
        <v>3063077</v>
      </c>
      <c r="E4" s="1">
        <f t="shared" si="0"/>
        <v>36756924</v>
      </c>
      <c r="F4" s="16">
        <f>E4/B4</f>
        <v>5971.8804224207961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F22" sqref="F22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229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2A5A-4A0E-4E1E-946C-ED617E40594D}">
  <sheetPr>
    <tabColor theme="5" tint="0.59999389629810485"/>
  </sheetPr>
  <dimension ref="A1:B24"/>
  <sheetViews>
    <sheetView workbookViewId="0">
      <selection activeCell="F13" sqref="F13"/>
    </sheetView>
  </sheetViews>
  <sheetFormatPr defaultRowHeight="15"/>
  <cols>
    <col min="1" max="1" width="24" customWidth="1"/>
  </cols>
  <sheetData>
    <row r="1" spans="1:2">
      <c r="A1" s="38" t="s">
        <v>276</v>
      </c>
      <c r="B1" s="13" t="s">
        <v>546</v>
      </c>
    </row>
    <row r="2" spans="1:2">
      <c r="A2" s="13" t="s">
        <v>109</v>
      </c>
      <c r="B2" s="65">
        <v>1</v>
      </c>
    </row>
    <row r="3" spans="1:2">
      <c r="A3" s="13" t="s">
        <v>110</v>
      </c>
      <c r="B3" s="65">
        <v>1</v>
      </c>
    </row>
    <row r="4" spans="1:2">
      <c r="A4" s="13" t="s">
        <v>99</v>
      </c>
      <c r="B4" s="65">
        <v>1</v>
      </c>
    </row>
    <row r="5" spans="1:2">
      <c r="A5" s="13" t="s">
        <v>127</v>
      </c>
      <c r="B5" s="65">
        <v>0.25</v>
      </c>
    </row>
    <row r="6" spans="1:2">
      <c r="A6" s="13" t="s">
        <v>113</v>
      </c>
      <c r="B6" s="65">
        <v>0.16</v>
      </c>
    </row>
    <row r="7" spans="1:2">
      <c r="A7" s="13" t="s">
        <v>114</v>
      </c>
      <c r="B7" s="65">
        <v>1</v>
      </c>
    </row>
    <row r="8" spans="1:2">
      <c r="A8" s="13" t="s">
        <v>118</v>
      </c>
      <c r="B8" s="65">
        <v>0</v>
      </c>
    </row>
    <row r="9" spans="1:2">
      <c r="A9" s="13" t="s">
        <v>120</v>
      </c>
      <c r="B9" s="65">
        <v>0</v>
      </c>
    </row>
    <row r="10" spans="1:2">
      <c r="A10" s="13" t="s">
        <v>122</v>
      </c>
      <c r="B10" s="65">
        <v>0.06</v>
      </c>
    </row>
    <row r="11" spans="1:2">
      <c r="A11" s="13" t="s">
        <v>124</v>
      </c>
      <c r="B11" s="65">
        <v>0.12</v>
      </c>
    </row>
    <row r="12" spans="1:2">
      <c r="A12" s="13" t="s">
        <v>126</v>
      </c>
      <c r="B12" s="65">
        <v>0</v>
      </c>
    </row>
    <row r="13" spans="1:2">
      <c r="A13" s="13" t="s">
        <v>316</v>
      </c>
      <c r="B13" s="65">
        <v>1</v>
      </c>
    </row>
    <row r="14" spans="1:2">
      <c r="A14" s="13" t="s">
        <v>102</v>
      </c>
      <c r="B14" s="65">
        <v>1</v>
      </c>
    </row>
    <row r="15" spans="1:2">
      <c r="A15" s="62" t="s">
        <v>104</v>
      </c>
      <c r="B15" s="65">
        <v>1</v>
      </c>
    </row>
    <row r="16" spans="1:2">
      <c r="A16" s="13" t="s">
        <v>105</v>
      </c>
      <c r="B16" s="65">
        <v>1</v>
      </c>
    </row>
    <row r="17" spans="1:2">
      <c r="A17" s="13" t="s">
        <v>106</v>
      </c>
      <c r="B17" s="65">
        <v>0.9</v>
      </c>
    </row>
    <row r="18" spans="1:2">
      <c r="A18" s="13" t="s">
        <v>108</v>
      </c>
      <c r="B18" s="65">
        <v>1</v>
      </c>
    </row>
    <row r="19" spans="1:2">
      <c r="A19" s="60" t="s">
        <v>111</v>
      </c>
      <c r="B19" s="65">
        <v>0.41</v>
      </c>
    </row>
    <row r="20" spans="1:2">
      <c r="A20" s="13" t="s">
        <v>112</v>
      </c>
      <c r="B20" s="65">
        <v>1</v>
      </c>
    </row>
    <row r="21" spans="1:2">
      <c r="A21" s="13" t="s">
        <v>115</v>
      </c>
      <c r="B21" s="65">
        <v>1</v>
      </c>
    </row>
    <row r="22" spans="1:2">
      <c r="A22" s="60" t="s">
        <v>116</v>
      </c>
      <c r="B22" s="65">
        <v>1</v>
      </c>
    </row>
    <row r="23" spans="1:2">
      <c r="A23" s="61" t="s">
        <v>117</v>
      </c>
      <c r="B23" s="65">
        <v>0.9</v>
      </c>
    </row>
    <row r="24" spans="1:2">
      <c r="A24" s="60" t="s">
        <v>320</v>
      </c>
      <c r="B24" s="8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225</v>
      </c>
      <c r="B1" s="13" t="s">
        <v>230</v>
      </c>
      <c r="D1">
        <f>D2*2</f>
        <v>8392.0011415525114</v>
      </c>
    </row>
    <row r="2" spans="1:14">
      <c r="A2" s="13" t="s">
        <v>231</v>
      </c>
      <c r="B2" s="13">
        <v>6155</v>
      </c>
      <c r="D2">
        <f>B3/730</f>
        <v>4196.0005707762557</v>
      </c>
      <c r="E2" t="s">
        <v>232</v>
      </c>
      <c r="K2" t="s">
        <v>233</v>
      </c>
      <c r="L2" t="s">
        <v>234</v>
      </c>
    </row>
    <row r="3" spans="1:14">
      <c r="A3" s="13" t="s">
        <v>235</v>
      </c>
      <c r="B3" s="34">
        <f>K3/(12)</f>
        <v>3063080.4166666665</v>
      </c>
      <c r="D3" t="s">
        <v>236</v>
      </c>
      <c r="K3">
        <v>36756965</v>
      </c>
      <c r="L3">
        <v>51575940</v>
      </c>
      <c r="M3">
        <v>51.575940000000003</v>
      </c>
      <c r="N3" t="s">
        <v>237</v>
      </c>
    </row>
    <row r="4" spans="1:14">
      <c r="A4" s="13" t="s">
        <v>238</v>
      </c>
      <c r="B4" s="13" t="s">
        <v>239</v>
      </c>
      <c r="D4" s="36" t="s">
        <v>240</v>
      </c>
      <c r="K4">
        <f>K3/1000000</f>
        <v>36.756965000000001</v>
      </c>
    </row>
    <row r="6" spans="1:14">
      <c r="D6">
        <f>B3/B2</f>
        <v>497.65725697265094</v>
      </c>
      <c r="J6" s="1" t="s">
        <v>241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242</v>
      </c>
      <c r="B1" s="13">
        <v>1</v>
      </c>
      <c r="C1" s="13">
        <v>2</v>
      </c>
      <c r="D1" s="13" t="s">
        <v>141</v>
      </c>
      <c r="J1" t="s">
        <v>243</v>
      </c>
      <c r="K1" t="s">
        <v>244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222</v>
      </c>
      <c r="G2" t="s">
        <v>245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222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246</v>
      </c>
      <c r="D14" t="s">
        <v>247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248</v>
      </c>
    </row>
    <row r="2" spans="1:9">
      <c r="A2" s="13">
        <v>2020</v>
      </c>
      <c r="B2" s="13">
        <v>20000</v>
      </c>
      <c r="E2" t="s">
        <v>249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250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251</v>
      </c>
      <c r="B1" s="50" t="s">
        <v>252</v>
      </c>
      <c r="C1" s="51" t="s">
        <v>253</v>
      </c>
      <c r="E1" s="52" t="s">
        <v>55</v>
      </c>
      <c r="F1" s="52" t="s">
        <v>254</v>
      </c>
      <c r="G1" s="52"/>
    </row>
    <row r="2" spans="1:10">
      <c r="A2" s="13" t="s">
        <v>149</v>
      </c>
      <c r="B2" s="13" t="s">
        <v>255</v>
      </c>
      <c r="C2" s="13">
        <v>0</v>
      </c>
      <c r="D2" s="59"/>
      <c r="E2" s="52"/>
      <c r="F2" s="52"/>
      <c r="G2" s="52"/>
    </row>
    <row r="3" spans="1:10">
      <c r="A3" s="13" t="s">
        <v>256</v>
      </c>
      <c r="B3" s="13" t="s">
        <v>257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258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259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261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263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265</v>
      </c>
      <c r="C1" s="13" t="s">
        <v>266</v>
      </c>
      <c r="D1" s="13" t="s">
        <v>267</v>
      </c>
      <c r="E1" s="13"/>
      <c r="H1" t="s">
        <v>268</v>
      </c>
    </row>
    <row r="2" spans="1:8">
      <c r="A2" s="13" t="s">
        <v>255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259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258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261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269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257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263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270</v>
      </c>
      <c r="C1" s="13" t="s">
        <v>271</v>
      </c>
      <c r="D1" s="13" t="s">
        <v>272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273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274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275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P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9" sqref="I29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6" width="9" customWidth="1"/>
    <col min="7" max="7" width="13.5703125" customWidth="1"/>
    <col min="8" max="8" width="15.140625" customWidth="1"/>
    <col min="9" max="16" width="14" customWidth="1"/>
    <col min="17" max="19" width="33.85546875" customWidth="1"/>
    <col min="20" max="20" width="18.42578125" customWidth="1"/>
    <col min="21" max="21" width="15.140625" customWidth="1"/>
    <col min="22" max="22" width="6.42578125" customWidth="1"/>
    <col min="23" max="23" width="15.140625" customWidth="1"/>
    <col min="24" max="24" width="11.140625" customWidth="1"/>
    <col min="25" max="25" width="15.140625" customWidth="1"/>
    <col min="26" max="28" width="10.140625" customWidth="1"/>
    <col min="29" max="31" width="8.42578125" customWidth="1"/>
    <col min="35" max="35" width="11.140625" customWidth="1"/>
    <col min="36" max="36" width="19.28515625" customWidth="1"/>
  </cols>
  <sheetData>
    <row r="1" spans="1:42" ht="55.5" customHeight="1">
      <c r="A1" s="38" t="s">
        <v>276</v>
      </c>
      <c r="B1" s="38" t="s">
        <v>277</v>
      </c>
      <c r="C1" s="55" t="s">
        <v>37</v>
      </c>
      <c r="D1" s="55" t="s">
        <v>38</v>
      </c>
      <c r="E1" s="55" t="s">
        <v>278</v>
      </c>
      <c r="F1" s="55" t="s">
        <v>279</v>
      </c>
      <c r="G1" s="56" t="s">
        <v>280</v>
      </c>
      <c r="H1" s="38" t="s">
        <v>281</v>
      </c>
      <c r="I1" s="38" t="s">
        <v>282</v>
      </c>
      <c r="K1" s="87"/>
      <c r="M1" t="s">
        <v>283</v>
      </c>
      <c r="N1" t="s">
        <v>284</v>
      </c>
      <c r="O1" s="55" t="s">
        <v>37</v>
      </c>
      <c r="P1" s="55" t="s">
        <v>38</v>
      </c>
      <c r="Q1" s="55" t="s">
        <v>279</v>
      </c>
      <c r="R1" t="s">
        <v>285</v>
      </c>
      <c r="S1" t="s">
        <v>42</v>
      </c>
      <c r="T1" s="5" t="s">
        <v>286</v>
      </c>
      <c r="U1" s="5" t="s">
        <v>40</v>
      </c>
      <c r="V1" s="5" t="s">
        <v>287</v>
      </c>
      <c r="W1" t="s">
        <v>288</v>
      </c>
      <c r="X1" t="s">
        <v>289</v>
      </c>
      <c r="Y1" s="2" t="s">
        <v>290</v>
      </c>
      <c r="Z1" t="s">
        <v>291</v>
      </c>
      <c r="AA1" s="2" t="s">
        <v>292</v>
      </c>
      <c r="AB1" s="2" t="s">
        <v>292</v>
      </c>
      <c r="AC1" t="s">
        <v>293</v>
      </c>
      <c r="AD1" t="s">
        <v>294</v>
      </c>
      <c r="AE1" t="s">
        <v>295</v>
      </c>
      <c r="AF1" t="s">
        <v>296</v>
      </c>
      <c r="AG1" t="s">
        <v>297</v>
      </c>
      <c r="AH1" t="s">
        <v>298</v>
      </c>
      <c r="AJ1" s="9" t="s">
        <v>299</v>
      </c>
      <c r="AK1" s="9"/>
    </row>
    <row r="2" spans="1:42">
      <c r="A2" s="13" t="s">
        <v>109</v>
      </c>
      <c r="B2" s="13" t="s">
        <v>300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L2" s="13">
        <v>6</v>
      </c>
      <c r="M2" s="65">
        <v>1</v>
      </c>
      <c r="N2" s="65">
        <v>1</v>
      </c>
      <c r="O2" s="13">
        <v>2</v>
      </c>
      <c r="P2" s="13">
        <v>2</v>
      </c>
      <c r="Q2" s="13">
        <v>5</v>
      </c>
      <c r="R2" s="64" t="s">
        <v>301</v>
      </c>
      <c r="S2" s="64">
        <v>0.92</v>
      </c>
      <c r="T2" s="9" t="b">
        <v>1</v>
      </c>
      <c r="U2" s="9">
        <v>1</v>
      </c>
      <c r="V2" s="9">
        <v>1</v>
      </c>
      <c r="W2">
        <f>D2+C2</f>
        <v>4</v>
      </c>
      <c r="X2" s="9">
        <f>IF(T2&lt;&gt;"",1,0)</f>
        <v>1</v>
      </c>
      <c r="Y2" s="9" t="s">
        <v>302</v>
      </c>
      <c r="Z2" s="27" t="s">
        <v>303</v>
      </c>
      <c r="AA2" s="9">
        <v>600</v>
      </c>
      <c r="AB2" s="9"/>
      <c r="AC2" s="9" t="s">
        <v>304</v>
      </c>
      <c r="AD2" s="9" t="s">
        <v>305</v>
      </c>
      <c r="AE2" s="9">
        <v>0</v>
      </c>
      <c r="AF2" s="9">
        <v>1.5</v>
      </c>
      <c r="AG2" s="9">
        <v>33.9</v>
      </c>
      <c r="AH2" s="9">
        <v>0</v>
      </c>
      <c r="AI2" s="9"/>
      <c r="AJ2" s="9"/>
      <c r="AK2" s="9"/>
      <c r="AL2" s="9"/>
      <c r="AM2" s="9"/>
      <c r="AN2" s="9"/>
      <c r="AO2" s="9"/>
      <c r="AP2" s="9"/>
    </row>
    <row r="3" spans="1:42" s="9" customFormat="1">
      <c r="A3" s="13" t="s">
        <v>110</v>
      </c>
      <c r="B3" s="13" t="s">
        <v>300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K3"/>
      <c r="L3" s="13">
        <v>6</v>
      </c>
      <c r="M3" s="65">
        <v>1</v>
      </c>
      <c r="N3" s="65">
        <v>1</v>
      </c>
      <c r="O3" s="13">
        <v>2</v>
      </c>
      <c r="P3" s="13">
        <v>2</v>
      </c>
      <c r="Q3" s="13">
        <v>3</v>
      </c>
      <c r="R3" s="64" t="s">
        <v>102</v>
      </c>
      <c r="S3" s="64">
        <v>0.91</v>
      </c>
      <c r="T3" s="9" t="b">
        <v>1</v>
      </c>
      <c r="U3" s="9">
        <v>1</v>
      </c>
      <c r="V3" s="9">
        <v>1</v>
      </c>
      <c r="W3">
        <f>D3+C3</f>
        <v>4</v>
      </c>
      <c r="X3" s="9">
        <f>IF(T3&lt;&gt;"",1,0)</f>
        <v>1</v>
      </c>
      <c r="Y3" s="9" t="s">
        <v>302</v>
      </c>
      <c r="Z3" s="27" t="s">
        <v>306</v>
      </c>
      <c r="AA3" s="9">
        <v>500</v>
      </c>
      <c r="AC3" s="9" t="s">
        <v>307</v>
      </c>
      <c r="AD3" s="9" t="s">
        <v>308</v>
      </c>
      <c r="AE3" s="9">
        <v>0</v>
      </c>
      <c r="AF3" s="9">
        <v>0</v>
      </c>
      <c r="AG3" s="9">
        <v>6.3</v>
      </c>
      <c r="AH3" s="9">
        <v>0</v>
      </c>
      <c r="AI3"/>
      <c r="AL3"/>
    </row>
    <row r="4" spans="1:42" s="9" customFormat="1">
      <c r="A4" s="13" t="s">
        <v>99</v>
      </c>
      <c r="B4" s="13" t="s">
        <v>300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K4"/>
      <c r="L4" s="13">
        <v>6</v>
      </c>
      <c r="M4" s="65">
        <v>1</v>
      </c>
      <c r="N4" s="65">
        <v>1</v>
      </c>
      <c r="O4" s="13">
        <v>1</v>
      </c>
      <c r="P4" s="13">
        <v>3</v>
      </c>
      <c r="Q4" s="13">
        <v>5</v>
      </c>
      <c r="R4" s="64"/>
      <c r="S4" s="64">
        <v>0.93</v>
      </c>
      <c r="T4" s="9" t="b">
        <v>1</v>
      </c>
      <c r="U4" s="9">
        <v>1</v>
      </c>
      <c r="V4" s="9">
        <v>1</v>
      </c>
      <c r="W4" s="9">
        <f>D4+C4</f>
        <v>4</v>
      </c>
      <c r="X4" s="9">
        <f t="shared" ref="X4" si="0">IF(T4&lt;&gt;"",1,0)</f>
        <v>1</v>
      </c>
      <c r="Z4" s="9" t="s">
        <v>309</v>
      </c>
      <c r="AA4" s="9">
        <v>500</v>
      </c>
      <c r="AB4" s="9">
        <v>500</v>
      </c>
      <c r="AC4" s="9" t="s">
        <v>150</v>
      </c>
      <c r="AD4" s="9" t="s">
        <v>310</v>
      </c>
      <c r="AE4" s="9">
        <v>0</v>
      </c>
      <c r="AF4" s="9">
        <v>2.2999999999999998</v>
      </c>
      <c r="AG4" s="9">
        <v>69.542579720367115</v>
      </c>
      <c r="AH4" s="9">
        <v>0</v>
      </c>
    </row>
    <row r="5" spans="1:42">
      <c r="A5" s="13" t="s">
        <v>127</v>
      </c>
      <c r="B5" s="13" t="s">
        <v>311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L5" s="18">
        <v>1</v>
      </c>
      <c r="M5" s="65">
        <v>0</v>
      </c>
      <c r="N5" s="65">
        <v>0.25</v>
      </c>
    </row>
    <row r="6" spans="1:42" s="9" customFormat="1">
      <c r="A6" s="13" t="s">
        <v>113</v>
      </c>
      <c r="B6" s="13" t="s">
        <v>311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K6"/>
      <c r="L6" s="13">
        <v>1</v>
      </c>
      <c r="M6" s="65">
        <v>0</v>
      </c>
      <c r="N6" s="65">
        <v>0.16</v>
      </c>
      <c r="O6" s="57">
        <v>0</v>
      </c>
      <c r="P6" s="57">
        <v>1</v>
      </c>
      <c r="Q6" s="13">
        <v>0</v>
      </c>
      <c r="R6" s="65">
        <v>0.79</v>
      </c>
      <c r="S6" s="67">
        <v>0.56000000000000005</v>
      </c>
      <c r="T6"/>
      <c r="U6"/>
      <c r="V6"/>
      <c r="W6">
        <f t="shared" ref="W6:W7" si="1">D6+C6</f>
        <v>1</v>
      </c>
      <c r="X6"/>
      <c r="Y6"/>
      <c r="Z6"/>
      <c r="AA6"/>
      <c r="AB6"/>
      <c r="AC6"/>
      <c r="AD6"/>
      <c r="AE6"/>
      <c r="AF6"/>
      <c r="AG6"/>
      <c r="AH6"/>
      <c r="AI6"/>
      <c r="AL6"/>
    </row>
    <row r="7" spans="1:42">
      <c r="A7" s="13" t="s">
        <v>114</v>
      </c>
      <c r="B7" s="13" t="s">
        <v>300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L7" s="13">
        <v>20</v>
      </c>
      <c r="M7" s="65">
        <v>1</v>
      </c>
      <c r="N7" s="65">
        <v>1</v>
      </c>
      <c r="O7" s="13">
        <v>2</v>
      </c>
      <c r="P7" s="13">
        <v>5</v>
      </c>
      <c r="Q7" s="13">
        <v>10</v>
      </c>
      <c r="R7" s="64"/>
      <c r="S7" s="64">
        <v>0.8</v>
      </c>
      <c r="W7">
        <f t="shared" si="1"/>
        <v>7</v>
      </c>
      <c r="AJ7" s="9"/>
      <c r="AK7" s="9"/>
    </row>
    <row r="8" spans="1:42">
      <c r="A8" s="13" t="s">
        <v>118</v>
      </c>
      <c r="B8" s="13" t="s">
        <v>312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13">
        <v>3</v>
      </c>
      <c r="M8" s="65">
        <v>0</v>
      </c>
      <c r="N8" s="65">
        <v>0</v>
      </c>
      <c r="O8" s="13">
        <v>1</v>
      </c>
      <c r="P8" s="13">
        <v>1</v>
      </c>
      <c r="Q8" s="13">
        <v>1</v>
      </c>
      <c r="R8" s="64"/>
      <c r="S8" s="64">
        <v>0.01</v>
      </c>
      <c r="W8" t="e">
        <f>#REF!+#REF!</f>
        <v>#REF!</v>
      </c>
      <c r="X8">
        <f>IF(T8&lt;&gt;"",1,0)</f>
        <v>0</v>
      </c>
      <c r="Y8" t="s">
        <v>313</v>
      </c>
      <c r="AC8" t="s">
        <v>314</v>
      </c>
      <c r="AD8" t="s">
        <v>315</v>
      </c>
      <c r="AE8">
        <v>8.52</v>
      </c>
      <c r="AF8">
        <v>6.11</v>
      </c>
      <c r="AG8">
        <v>32</v>
      </c>
      <c r="AH8">
        <v>14</v>
      </c>
    </row>
    <row r="9" spans="1:42">
      <c r="A9" s="13" t="s">
        <v>120</v>
      </c>
      <c r="B9" s="13" t="s">
        <v>312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13">
        <v>3</v>
      </c>
      <c r="M9" s="65">
        <v>0</v>
      </c>
      <c r="N9" s="65">
        <v>0</v>
      </c>
      <c r="O9" s="13">
        <v>1</v>
      </c>
      <c r="P9" s="13">
        <v>1</v>
      </c>
      <c r="Q9" s="13">
        <v>1</v>
      </c>
      <c r="R9" s="64"/>
      <c r="S9" s="64">
        <v>0.01</v>
      </c>
    </row>
    <row r="10" spans="1:42">
      <c r="A10" s="13" t="s">
        <v>122</v>
      </c>
      <c r="B10" s="13" t="s">
        <v>312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L10" s="13">
        <v>5</v>
      </c>
      <c r="M10" s="65">
        <v>0</v>
      </c>
      <c r="N10" s="65">
        <v>0.06</v>
      </c>
      <c r="O10" s="13">
        <v>1</v>
      </c>
      <c r="P10" s="13">
        <v>2</v>
      </c>
      <c r="Q10" s="13">
        <v>3</v>
      </c>
      <c r="R10" s="64"/>
      <c r="S10" s="64">
        <v>0.13</v>
      </c>
    </row>
    <row r="11" spans="1:42">
      <c r="A11" s="13" t="s">
        <v>124</v>
      </c>
      <c r="B11" s="13" t="s">
        <v>312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L11" s="13">
        <v>4</v>
      </c>
      <c r="M11" s="65">
        <v>0</v>
      </c>
      <c r="N11" s="65">
        <v>0.12</v>
      </c>
      <c r="O11" s="13">
        <v>1</v>
      </c>
      <c r="P11" s="13">
        <v>2</v>
      </c>
      <c r="Q11" s="13">
        <v>2</v>
      </c>
      <c r="R11" s="64"/>
      <c r="S11" s="64">
        <v>0.09</v>
      </c>
    </row>
    <row r="12" spans="1:42">
      <c r="A12" s="13" t="s">
        <v>126</v>
      </c>
      <c r="B12" s="13" t="s">
        <v>300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K12" s="64"/>
      <c r="L12" s="13">
        <v>0</v>
      </c>
      <c r="M12" s="65">
        <v>0</v>
      </c>
      <c r="N12" s="65">
        <v>0</v>
      </c>
      <c r="O12" s="13">
        <v>0</v>
      </c>
      <c r="P12" s="13">
        <v>0</v>
      </c>
      <c r="Q12" s="13">
        <v>0</v>
      </c>
      <c r="R12" s="64"/>
      <c r="S12" s="64">
        <v>0</v>
      </c>
    </row>
    <row r="13" spans="1:42">
      <c r="A13" s="13" t="s">
        <v>316</v>
      </c>
      <c r="B13" s="13" t="s">
        <v>300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K13" s="64"/>
      <c r="L13" s="13">
        <v>0</v>
      </c>
      <c r="M13" s="65">
        <v>1</v>
      </c>
      <c r="N13" s="65">
        <v>1</v>
      </c>
      <c r="O13" s="13">
        <v>0</v>
      </c>
      <c r="P13" s="13">
        <v>0</v>
      </c>
      <c r="Q13" s="13">
        <v>0</v>
      </c>
      <c r="R13" t="s">
        <v>317</v>
      </c>
      <c r="S13">
        <v>0</v>
      </c>
      <c r="T13" s="9"/>
      <c r="U13" s="9"/>
      <c r="V13" s="9"/>
    </row>
    <row r="14" spans="1:42">
      <c r="A14" s="13" t="s">
        <v>102</v>
      </c>
      <c r="B14" s="13" t="s">
        <v>300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L14" s="13">
        <v>5</v>
      </c>
      <c r="M14" s="65">
        <v>1</v>
      </c>
      <c r="N14" s="65">
        <v>1</v>
      </c>
      <c r="O14" s="13">
        <v>1</v>
      </c>
      <c r="P14" s="13">
        <v>2</v>
      </c>
      <c r="Q14" s="13">
        <v>5</v>
      </c>
      <c r="R14" s="64"/>
      <c r="S14" s="64">
        <v>0.92</v>
      </c>
      <c r="T14" s="9" t="b">
        <v>1</v>
      </c>
      <c r="U14" s="9">
        <v>1</v>
      </c>
      <c r="V14" s="9">
        <v>1</v>
      </c>
      <c r="W14">
        <f t="shared" ref="W14:W23" si="2">D14+C14</f>
        <v>3</v>
      </c>
      <c r="X14" s="9">
        <f t="shared" ref="X14:X19" si="3">IF(T14&lt;&gt;"",1,0)</f>
        <v>1</v>
      </c>
      <c r="Y14" s="9"/>
      <c r="Z14" s="9" t="s">
        <v>102</v>
      </c>
      <c r="AA14" s="9">
        <v>775</v>
      </c>
      <c r="AB14" s="9">
        <v>775</v>
      </c>
      <c r="AC14" s="9" t="s">
        <v>314</v>
      </c>
      <c r="AD14" s="9" t="s">
        <v>102</v>
      </c>
      <c r="AE14" s="9">
        <v>56.8</v>
      </c>
      <c r="AF14" s="9">
        <v>1.5</v>
      </c>
      <c r="AG14" s="9">
        <v>10.473234339905167</v>
      </c>
      <c r="AH14" s="9">
        <v>0</v>
      </c>
      <c r="AI14" s="9"/>
      <c r="AJ14" s="9"/>
      <c r="AK14" s="9"/>
      <c r="AL14" s="9"/>
    </row>
    <row r="15" spans="1:42">
      <c r="A15" s="62" t="s">
        <v>104</v>
      </c>
      <c r="B15" s="13" t="s">
        <v>300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L15" s="13">
        <v>5</v>
      </c>
      <c r="M15" s="65">
        <v>1</v>
      </c>
      <c r="N15" s="65">
        <v>1</v>
      </c>
      <c r="O15" s="13">
        <v>1</v>
      </c>
      <c r="P15" s="13">
        <v>2</v>
      </c>
      <c r="Q15" s="13">
        <v>5</v>
      </c>
      <c r="R15" s="64"/>
      <c r="S15" s="64">
        <v>0.9</v>
      </c>
      <c r="T15" s="9" t="b">
        <v>1</v>
      </c>
      <c r="U15" s="9">
        <v>1</v>
      </c>
      <c r="V15" s="9">
        <v>1</v>
      </c>
      <c r="W15">
        <f t="shared" si="2"/>
        <v>3</v>
      </c>
      <c r="X15" s="9">
        <f t="shared" si="3"/>
        <v>1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J15" s="9"/>
      <c r="AK15" s="9"/>
    </row>
    <row r="16" spans="1:42">
      <c r="A16" s="13" t="s">
        <v>105</v>
      </c>
      <c r="B16" s="13" t="s">
        <v>300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L16" s="13">
        <v>10</v>
      </c>
      <c r="M16" s="65">
        <v>1</v>
      </c>
      <c r="N16" s="65">
        <v>1</v>
      </c>
      <c r="O16" s="13">
        <v>1</v>
      </c>
      <c r="P16" s="13">
        <v>4</v>
      </c>
      <c r="Q16" s="13">
        <v>5</v>
      </c>
      <c r="R16" s="64"/>
      <c r="S16" s="64">
        <v>0.9</v>
      </c>
      <c r="T16" s="28" t="b">
        <v>0</v>
      </c>
      <c r="U16" s="28">
        <v>1</v>
      </c>
      <c r="V16" s="28">
        <v>1</v>
      </c>
      <c r="W16">
        <f t="shared" si="2"/>
        <v>5</v>
      </c>
      <c r="X16" s="9">
        <f t="shared" si="3"/>
        <v>1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42">
      <c r="A17" s="13" t="s">
        <v>106</v>
      </c>
      <c r="B17" s="13" t="s">
        <v>312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13">
        <v>20</v>
      </c>
      <c r="M17" s="65">
        <v>0.9</v>
      </c>
      <c r="N17" s="65">
        <v>0.9</v>
      </c>
      <c r="O17" s="13">
        <v>5</v>
      </c>
      <c r="P17" s="13">
        <v>5</v>
      </c>
      <c r="Q17" s="13">
        <v>20</v>
      </c>
      <c r="R17" s="64"/>
      <c r="S17" s="64">
        <v>0.9</v>
      </c>
      <c r="T17" s="28" t="b">
        <v>0</v>
      </c>
      <c r="U17" s="28">
        <v>1</v>
      </c>
      <c r="V17" s="28">
        <v>1</v>
      </c>
      <c r="W17">
        <f t="shared" si="2"/>
        <v>10</v>
      </c>
      <c r="X17" s="9">
        <f t="shared" si="3"/>
        <v>1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J17" s="9"/>
      <c r="AK17" s="9"/>
      <c r="AM17" s="9"/>
      <c r="AN17" s="9"/>
      <c r="AO17" s="9"/>
      <c r="AP17" s="9"/>
    </row>
    <row r="18" spans="1:42">
      <c r="A18" s="13" t="s">
        <v>108</v>
      </c>
      <c r="B18" s="13" t="s">
        <v>300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L18" s="13">
        <v>5</v>
      </c>
      <c r="M18" s="65">
        <v>1</v>
      </c>
      <c r="N18" s="65">
        <v>1</v>
      </c>
      <c r="O18" s="13">
        <v>2</v>
      </c>
      <c r="P18" s="13">
        <v>2</v>
      </c>
      <c r="Q18" s="13">
        <v>5</v>
      </c>
      <c r="R18" s="64"/>
      <c r="S18" s="64">
        <v>0.92</v>
      </c>
      <c r="T18" s="9" t="b">
        <v>1</v>
      </c>
      <c r="U18" s="9">
        <v>1</v>
      </c>
      <c r="V18" s="9">
        <v>1</v>
      </c>
      <c r="W18">
        <f t="shared" si="2"/>
        <v>4</v>
      </c>
      <c r="X18" s="9">
        <f t="shared" si="3"/>
        <v>1</v>
      </c>
      <c r="Y18" s="9" t="s">
        <v>302</v>
      </c>
      <c r="Z18" s="27" t="s">
        <v>318</v>
      </c>
      <c r="AA18" s="9">
        <v>600</v>
      </c>
      <c r="AB18" s="9"/>
      <c r="AC18" s="9" t="s">
        <v>304</v>
      </c>
      <c r="AD18" s="9" t="s">
        <v>319</v>
      </c>
      <c r="AE18" s="9">
        <v>0</v>
      </c>
      <c r="AF18" s="9">
        <v>2</v>
      </c>
      <c r="AG18" s="9">
        <v>47.8</v>
      </c>
      <c r="AH18" s="9">
        <v>0</v>
      </c>
      <c r="AI18" s="9"/>
      <c r="AJ18" s="9"/>
      <c r="AK18" s="9"/>
      <c r="AL18" s="9"/>
    </row>
    <row r="19" spans="1:42">
      <c r="A19" s="60" t="s">
        <v>111</v>
      </c>
      <c r="B19" s="13" t="s">
        <v>312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13">
        <v>20</v>
      </c>
      <c r="M19" s="65">
        <v>0.41</v>
      </c>
      <c r="N19" s="65">
        <v>0.41</v>
      </c>
      <c r="O19" s="13">
        <v>5</v>
      </c>
      <c r="P19" s="13">
        <v>5</v>
      </c>
      <c r="Q19" s="13">
        <v>20</v>
      </c>
      <c r="R19" s="64"/>
      <c r="S19" s="64">
        <v>0.41</v>
      </c>
      <c r="W19">
        <f t="shared" si="2"/>
        <v>10</v>
      </c>
      <c r="X19">
        <f t="shared" si="3"/>
        <v>0</v>
      </c>
      <c r="Y19" t="s">
        <v>302</v>
      </c>
      <c r="Z19" s="27"/>
      <c r="AA19" s="9"/>
      <c r="AB19" s="9"/>
      <c r="AC19" s="9"/>
      <c r="AD19" s="9"/>
      <c r="AE19" s="9"/>
      <c r="AF19" s="9"/>
      <c r="AG19" s="9"/>
      <c r="AH19" s="9"/>
      <c r="AJ19" s="9"/>
      <c r="AK19" s="9"/>
    </row>
    <row r="20" spans="1:42" s="9" customFormat="1">
      <c r="A20" s="13" t="s">
        <v>112</v>
      </c>
      <c r="B20" s="13" t="s">
        <v>300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K20"/>
      <c r="L20" s="13">
        <v>5</v>
      </c>
      <c r="M20" s="65">
        <v>1</v>
      </c>
      <c r="N20" s="65">
        <v>1</v>
      </c>
      <c r="O20" s="13">
        <v>1</v>
      </c>
      <c r="P20" s="13">
        <v>5</v>
      </c>
      <c r="Q20" s="13">
        <v>5</v>
      </c>
      <c r="R20" s="64"/>
      <c r="S20" s="64">
        <v>0.9</v>
      </c>
      <c r="T20" s="9" t="e">
        <f>#REF!</f>
        <v>#REF!</v>
      </c>
      <c r="U20" s="9" t="e">
        <f>#REF!</f>
        <v>#REF!</v>
      </c>
      <c r="V20" s="9" t="e">
        <f>#REF!</f>
        <v>#REF!</v>
      </c>
      <c r="W20">
        <f t="shared" si="2"/>
        <v>6</v>
      </c>
      <c r="X20" s="9" t="e">
        <f t="shared" ref="X20" si="4">IF(T20&lt;&gt;"",1,0)</f>
        <v>#REF!</v>
      </c>
      <c r="Y20" s="9" t="s">
        <v>141</v>
      </c>
      <c r="AM20"/>
      <c r="AN20"/>
      <c r="AO20"/>
      <c r="AP20"/>
    </row>
    <row r="21" spans="1:42">
      <c r="A21" s="13" t="s">
        <v>115</v>
      </c>
      <c r="B21" s="13" t="s">
        <v>300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L21" s="13">
        <v>5</v>
      </c>
      <c r="M21" s="65">
        <v>1</v>
      </c>
      <c r="N21" s="65">
        <v>1</v>
      </c>
      <c r="O21" s="13">
        <v>1</v>
      </c>
      <c r="P21" s="13">
        <v>2</v>
      </c>
      <c r="Q21" s="13">
        <v>5</v>
      </c>
      <c r="R21" s="64"/>
      <c r="S21" s="64">
        <v>0.91</v>
      </c>
      <c r="W21">
        <f t="shared" si="2"/>
        <v>3</v>
      </c>
      <c r="AJ21" s="9"/>
      <c r="AK21" s="9"/>
    </row>
    <row r="22" spans="1:42" s="9" customFormat="1">
      <c r="A22" s="60" t="s">
        <v>116</v>
      </c>
      <c r="B22" s="13" t="s">
        <v>300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K22"/>
      <c r="L22" s="13">
        <v>5</v>
      </c>
      <c r="M22" s="65">
        <v>1</v>
      </c>
      <c r="N22" s="65">
        <v>1</v>
      </c>
      <c r="O22" s="13">
        <v>1</v>
      </c>
      <c r="P22" s="13">
        <v>1</v>
      </c>
      <c r="Q22" s="13">
        <v>5</v>
      </c>
      <c r="R22" s="64"/>
      <c r="S22" s="64">
        <v>0.95</v>
      </c>
      <c r="T22" s="9" t="b">
        <v>1</v>
      </c>
      <c r="U22" s="9">
        <v>1</v>
      </c>
      <c r="V22" s="9">
        <v>1</v>
      </c>
      <c r="W22">
        <f t="shared" si="2"/>
        <v>2</v>
      </c>
      <c r="X22" s="9">
        <f>IF(T22&lt;&gt;"",1,0)</f>
        <v>1</v>
      </c>
      <c r="AL22"/>
      <c r="AM22"/>
      <c r="AN22"/>
      <c r="AO22"/>
      <c r="AP22"/>
    </row>
    <row r="23" spans="1:42">
      <c r="A23" s="61" t="s">
        <v>117</v>
      </c>
      <c r="B23" s="13" t="s">
        <v>311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13">
        <v>20</v>
      </c>
      <c r="M23" s="65">
        <v>0.9</v>
      </c>
      <c r="N23" s="65">
        <v>0.9</v>
      </c>
      <c r="O23" s="57">
        <v>3</v>
      </c>
      <c r="P23" s="57">
        <v>4</v>
      </c>
      <c r="Q23" s="13">
        <v>20</v>
      </c>
      <c r="R23" s="64"/>
      <c r="S23" s="64">
        <v>0.9</v>
      </c>
      <c r="T23" t="b">
        <v>1</v>
      </c>
      <c r="U23">
        <v>1</v>
      </c>
      <c r="V23">
        <v>1</v>
      </c>
      <c r="W23">
        <f t="shared" si="2"/>
        <v>7</v>
      </c>
      <c r="X23">
        <f>IF(T23&lt;&gt;"",1,0)</f>
        <v>1</v>
      </c>
      <c r="AK23" s="9"/>
    </row>
    <row r="24" spans="1:42" s="9" customFormat="1">
      <c r="A24" s="60" t="s">
        <v>320</v>
      </c>
      <c r="B24" s="13" t="s">
        <v>300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80">
        <v>1</v>
      </c>
      <c r="H24" s="13" t="str">
        <f t="shared" si="5"/>
        <v>natural_gas</v>
      </c>
      <c r="I24" s="13">
        <f t="shared" si="5"/>
        <v>7.0000000000000007E-2</v>
      </c>
      <c r="K24"/>
      <c r="L24"/>
      <c r="M24" s="80">
        <v>1</v>
      </c>
      <c r="N24" s="80">
        <v>1</v>
      </c>
      <c r="O24"/>
      <c r="P24"/>
      <c r="Z24"/>
      <c r="AA24"/>
      <c r="AB24"/>
      <c r="AC24"/>
      <c r="AD24"/>
      <c r="AE24"/>
      <c r="AF24"/>
      <c r="AG24"/>
      <c r="AH24"/>
      <c r="AJ24"/>
      <c r="AK24"/>
    </row>
    <row r="25" spans="1:42">
      <c r="C25" s="8"/>
      <c r="D25" s="8"/>
    </row>
  </sheetData>
  <autoFilter ref="A1:I24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321</v>
      </c>
      <c r="B1" s="55" t="s">
        <v>322</v>
      </c>
      <c r="D1" s="5" t="s">
        <v>322</v>
      </c>
      <c r="E1" s="41" t="s">
        <v>323</v>
      </c>
      <c r="K1" t="s">
        <v>324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325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326</v>
      </c>
      <c r="L5" t="s">
        <v>327</v>
      </c>
      <c r="M5" t="s">
        <v>328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329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330</v>
      </c>
      <c r="L20" t="s">
        <v>331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308</v>
      </c>
      <c r="K28" t="s">
        <v>330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332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333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334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335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337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338</v>
      </c>
      <c r="C1" s="49" t="s">
        <v>339</v>
      </c>
      <c r="D1" s="49" t="s">
        <v>69</v>
      </c>
      <c r="E1" s="49" t="s">
        <v>71</v>
      </c>
      <c r="F1" s="49" t="s">
        <v>340</v>
      </c>
      <c r="G1" s="49" t="s">
        <v>72</v>
      </c>
      <c r="H1" s="49" t="s">
        <v>341</v>
      </c>
      <c r="I1" s="49" t="s">
        <v>342</v>
      </c>
    </row>
    <row r="2" spans="1:15">
      <c r="A2" s="13" t="s">
        <v>343</v>
      </c>
      <c r="B2" s="13" t="s">
        <v>344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345</v>
      </c>
      <c r="B3" s="13" t="s">
        <v>248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346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347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348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349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350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351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352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353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354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355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356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357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358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277</v>
      </c>
      <c r="B1" t="s">
        <v>359</v>
      </c>
      <c r="C1" s="36"/>
    </row>
    <row r="2" spans="1:3">
      <c r="A2" t="s">
        <v>360</v>
      </c>
      <c r="B2" t="s">
        <v>361</v>
      </c>
    </row>
    <row r="3" spans="1:3">
      <c r="A3" t="s">
        <v>362</v>
      </c>
      <c r="B3" t="s">
        <v>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276</v>
      </c>
      <c r="B1" t="s">
        <v>179</v>
      </c>
      <c r="C1" t="s">
        <v>177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364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316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365</v>
      </c>
      <c r="C1" t="s">
        <v>366</v>
      </c>
      <c r="D1" t="s">
        <v>367</v>
      </c>
      <c r="E1" t="s">
        <v>368</v>
      </c>
      <c r="I1" s="13"/>
      <c r="J1" s="13" t="s">
        <v>369</v>
      </c>
      <c r="K1" s="13" t="s">
        <v>370</v>
      </c>
      <c r="L1" s="70" t="s">
        <v>371</v>
      </c>
      <c r="M1" s="13" t="s">
        <v>365</v>
      </c>
      <c r="N1" s="13" t="s">
        <v>372</v>
      </c>
      <c r="P1" s="13" t="s">
        <v>373</v>
      </c>
      <c r="T1" t="s">
        <v>374</v>
      </c>
      <c r="V1" t="s">
        <v>375</v>
      </c>
      <c r="AA1" t="s">
        <v>376</v>
      </c>
      <c r="AD1" t="s">
        <v>377</v>
      </c>
    </row>
    <row r="2" spans="1:30" ht="15.75" thickBot="1">
      <c r="A2" t="s">
        <v>201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202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378</v>
      </c>
      <c r="U2">
        <v>33500</v>
      </c>
      <c r="V2">
        <f>U2*1.5</f>
        <v>50250</v>
      </c>
      <c r="AA2" t="s">
        <v>379</v>
      </c>
      <c r="AB2">
        <v>2017</v>
      </c>
      <c r="AC2" t="s">
        <v>380</v>
      </c>
      <c r="AD2" t="s">
        <v>381</v>
      </c>
    </row>
    <row r="3" spans="1:30" ht="15.75" thickBot="1">
      <c r="A3" t="s">
        <v>203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382</v>
      </c>
      <c r="U3">
        <v>18700</v>
      </c>
      <c r="V3">
        <f t="shared" ref="V3" si="5">U3*1.5</f>
        <v>28050</v>
      </c>
    </row>
    <row r="4" spans="1:30" ht="15.75" thickBot="1">
      <c r="A4" t="s">
        <v>204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205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383</v>
      </c>
      <c r="U4">
        <v>16380</v>
      </c>
      <c r="V4">
        <f>U4*1.5</f>
        <v>24570</v>
      </c>
    </row>
    <row r="5" spans="1:30" ht="15.75" thickBot="1">
      <c r="A5" t="s">
        <v>384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385</v>
      </c>
      <c r="U5">
        <v>12420</v>
      </c>
      <c r="V5">
        <f>U5*1.5</f>
        <v>18630</v>
      </c>
    </row>
    <row r="6" spans="1:30" ht="15.75" thickBot="1">
      <c r="A6" t="s">
        <v>386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207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209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387</v>
      </c>
      <c r="P9" t="s">
        <v>388</v>
      </c>
      <c r="T9" s="13"/>
      <c r="U9" s="13" t="s">
        <v>365</v>
      </c>
      <c r="V9" s="13" t="s">
        <v>389</v>
      </c>
      <c r="W9" s="13" t="s">
        <v>367</v>
      </c>
      <c r="X9" s="13" t="s">
        <v>390</v>
      </c>
    </row>
    <row r="10" spans="1:30">
      <c r="A10" t="s">
        <v>212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201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391</v>
      </c>
      <c r="T11" s="13" t="s">
        <v>203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392</v>
      </c>
      <c r="T13" s="13" t="s">
        <v>393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394</v>
      </c>
      <c r="O14" s="16">
        <v>80</v>
      </c>
      <c r="P14" s="16">
        <f>O14</f>
        <v>80</v>
      </c>
      <c r="Q14">
        <v>4000</v>
      </c>
      <c r="T14" s="13" t="s">
        <v>208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207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395</v>
      </c>
      <c r="O16" s="16">
        <v>5</v>
      </c>
      <c r="P16" s="16">
        <f t="shared" ref="P16:P17" si="12">O16+P15</f>
        <v>95</v>
      </c>
      <c r="Q16">
        <v>500</v>
      </c>
      <c r="T16" s="13" t="s">
        <v>209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211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212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396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397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221</v>
      </c>
      <c r="X37" s="13" t="s">
        <v>398</v>
      </c>
    </row>
    <row r="38" spans="1:24" ht="27.75" customHeight="1">
      <c r="A38" t="s">
        <v>399</v>
      </c>
      <c r="B38" t="s">
        <v>370</v>
      </c>
      <c r="C38" s="2" t="s">
        <v>400</v>
      </c>
      <c r="D38" s="2" t="s">
        <v>401</v>
      </c>
      <c r="E38" s="2" t="s">
        <v>402</v>
      </c>
      <c r="F38" s="2" t="s">
        <v>403</v>
      </c>
      <c r="G38" s="2"/>
      <c r="Q38" t="s">
        <v>404</v>
      </c>
      <c r="R38" t="s">
        <v>365</v>
      </c>
      <c r="S38" t="s">
        <v>221</v>
      </c>
      <c r="V38" s="13" t="s">
        <v>201</v>
      </c>
      <c r="W38" s="13">
        <v>78082</v>
      </c>
      <c r="X38" s="13">
        <v>4</v>
      </c>
    </row>
    <row r="39" spans="1:24">
      <c r="A39" t="s">
        <v>405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396</v>
      </c>
      <c r="V39" s="13" t="s">
        <v>203</v>
      </c>
      <c r="W39" s="13">
        <v>75286.5</v>
      </c>
      <c r="X39" s="13">
        <v>9</v>
      </c>
    </row>
    <row r="40" spans="1:24">
      <c r="A40" t="s">
        <v>406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397</v>
      </c>
      <c r="V40" s="13" t="s">
        <v>204</v>
      </c>
      <c r="W40" s="13">
        <v>56496</v>
      </c>
      <c r="X40" s="13">
        <v>13</v>
      </c>
    </row>
    <row r="41" spans="1:24">
      <c r="A41" t="s">
        <v>407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393</v>
      </c>
      <c r="W41" s="13">
        <v>50618</v>
      </c>
      <c r="X41" s="13">
        <v>5</v>
      </c>
    </row>
    <row r="42" spans="1:24">
      <c r="A42" t="s">
        <v>408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208</v>
      </c>
      <c r="W42" s="13">
        <v>44904</v>
      </c>
      <c r="X42" s="13">
        <v>28</v>
      </c>
    </row>
    <row r="43" spans="1:24">
      <c r="A43" t="s">
        <v>409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207</v>
      </c>
      <c r="W43" s="13">
        <v>33635</v>
      </c>
      <c r="X43" s="13">
        <v>9</v>
      </c>
    </row>
    <row r="44" spans="1:24">
      <c r="V44" s="13" t="s">
        <v>209</v>
      </c>
      <c r="W44" s="13">
        <v>28646.5</v>
      </c>
      <c r="X44" s="13">
        <v>21</v>
      </c>
    </row>
    <row r="45" spans="1:24" ht="45">
      <c r="A45" t="s">
        <v>410</v>
      </c>
      <c r="B45" t="s">
        <v>370</v>
      </c>
      <c r="C45" s="2" t="s">
        <v>400</v>
      </c>
      <c r="D45" s="2" t="s">
        <v>401</v>
      </c>
      <c r="E45" s="2" t="s">
        <v>402</v>
      </c>
      <c r="F45" s="2" t="s">
        <v>403</v>
      </c>
      <c r="V45" s="13" t="s">
        <v>211</v>
      </c>
      <c r="W45" s="13">
        <v>27499.5</v>
      </c>
      <c r="X45" s="13">
        <v>8</v>
      </c>
    </row>
    <row r="46" spans="1:24">
      <c r="A46" t="s">
        <v>405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212</v>
      </c>
      <c r="W46" s="13">
        <v>19207.5</v>
      </c>
      <c r="X46" s="13">
        <v>3</v>
      </c>
    </row>
    <row r="47" spans="1:24">
      <c r="A47" t="s">
        <v>406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221</v>
      </c>
      <c r="M47" t="s">
        <v>411</v>
      </c>
    </row>
    <row r="48" spans="1:24">
      <c r="A48" t="s">
        <v>407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408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409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368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368</v>
      </c>
      <c r="L58" s="16">
        <f>(SUM(L48:L52) +L57)/100</f>
        <v>56139.46</v>
      </c>
    </row>
    <row r="59" spans="1:13">
      <c r="K59" t="s">
        <v>221</v>
      </c>
    </row>
    <row r="60" spans="1:13">
      <c r="K60" t="s">
        <v>285</v>
      </c>
      <c r="L60">
        <v>49877</v>
      </c>
    </row>
    <row r="61" spans="1:13">
      <c r="K61" t="s">
        <v>412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218</v>
      </c>
      <c r="C1" s="13" t="s">
        <v>219</v>
      </c>
      <c r="D1" s="13" t="s">
        <v>220</v>
      </c>
      <c r="E1" s="13" t="s">
        <v>413</v>
      </c>
      <c r="F1" s="13" t="s">
        <v>221</v>
      </c>
      <c r="G1" s="18"/>
      <c r="H1" s="18" t="s">
        <v>414</v>
      </c>
      <c r="I1" s="18" t="s">
        <v>415</v>
      </c>
      <c r="J1" s="44"/>
      <c r="K1" s="44" t="s">
        <v>416</v>
      </c>
      <c r="L1" s="44" t="s">
        <v>417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222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222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222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222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222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223</v>
      </c>
      <c r="C7" s="13" t="s">
        <v>224</v>
      </c>
      <c r="D7" s="13">
        <f>29090</f>
        <v>29090</v>
      </c>
      <c r="E7" s="13"/>
      <c r="F7" s="13"/>
      <c r="J7" s="44"/>
      <c r="K7" s="44" t="s">
        <v>222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285</v>
      </c>
      <c r="L9" s="54" t="s">
        <v>418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218</v>
      </c>
      <c r="C1" s="13" t="s">
        <v>219</v>
      </c>
      <c r="D1" s="13" t="s">
        <v>220</v>
      </c>
      <c r="E1" s="13" t="s">
        <v>413</v>
      </c>
      <c r="F1" s="13" t="s">
        <v>221</v>
      </c>
      <c r="G1" s="66"/>
      <c r="H1" s="18"/>
      <c r="I1" s="18"/>
      <c r="J1" s="18" t="s">
        <v>419</v>
      </c>
      <c r="K1" s="18" t="s">
        <v>415</v>
      </c>
      <c r="L1" s="44"/>
      <c r="M1" s="44" t="s">
        <v>416</v>
      </c>
      <c r="N1" s="44" t="s">
        <v>417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222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222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222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222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222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222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222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222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223</v>
      </c>
      <c r="C9" s="13" t="s">
        <v>224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285</v>
      </c>
      <c r="N9" s="54" t="s">
        <v>418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413</v>
      </c>
      <c r="D13" s="13" t="s">
        <v>221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218</v>
      </c>
      <c r="C1" t="s">
        <v>219</v>
      </c>
      <c r="D1" t="s">
        <v>220</v>
      </c>
      <c r="E1" t="s">
        <v>242</v>
      </c>
      <c r="F1" t="s">
        <v>413</v>
      </c>
      <c r="H1" t="s">
        <v>420</v>
      </c>
      <c r="I1" t="s">
        <v>416</v>
      </c>
      <c r="J1" t="s">
        <v>417</v>
      </c>
      <c r="K1" t="s">
        <v>421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222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222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222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222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222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223</v>
      </c>
      <c r="C7" t="s">
        <v>224</v>
      </c>
      <c r="D7">
        <f>29090</f>
        <v>29090</v>
      </c>
      <c r="E7" t="s">
        <v>222</v>
      </c>
      <c r="I7" t="s">
        <v>222</v>
      </c>
    </row>
    <row r="8" spans="1:11">
      <c r="E8" s="42"/>
      <c r="F8" s="16"/>
      <c r="I8" s="16"/>
    </row>
    <row r="13" spans="1:11">
      <c r="G13" s="47" t="s">
        <v>285</v>
      </c>
      <c r="H13" s="47" t="s">
        <v>418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221</v>
      </c>
      <c r="C1" t="s">
        <v>218</v>
      </c>
      <c r="D1" t="s">
        <v>219</v>
      </c>
      <c r="E1" t="s">
        <v>220</v>
      </c>
      <c r="F1" t="s">
        <v>242</v>
      </c>
      <c r="G1" t="s">
        <v>413</v>
      </c>
    </row>
    <row r="2" spans="1:12" ht="17.45" customHeight="1">
      <c r="A2" t="s">
        <v>422</v>
      </c>
      <c r="B2">
        <v>4000</v>
      </c>
      <c r="C2" t="s">
        <v>423</v>
      </c>
      <c r="D2" t="s">
        <v>424</v>
      </c>
      <c r="E2" t="s">
        <v>222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422</v>
      </c>
    </row>
    <row r="3" spans="1:12" ht="17.45" customHeight="1">
      <c r="A3" t="s">
        <v>425</v>
      </c>
      <c r="B3">
        <v>1500</v>
      </c>
      <c r="C3" t="s">
        <v>426</v>
      </c>
      <c r="D3" t="s">
        <v>427</v>
      </c>
      <c r="E3" t="s">
        <v>222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428</v>
      </c>
    </row>
    <row r="4" spans="1:12" ht="17.45" customHeight="1">
      <c r="A4" t="s">
        <v>429</v>
      </c>
      <c r="B4">
        <v>500</v>
      </c>
      <c r="C4" t="s">
        <v>430</v>
      </c>
      <c r="D4" t="s">
        <v>431</v>
      </c>
      <c r="E4" t="s">
        <v>222</v>
      </c>
      <c r="F4" s="42">
        <v>0.05</v>
      </c>
      <c r="G4">
        <v>100</v>
      </c>
      <c r="I4">
        <f t="shared" si="0"/>
        <v>50000</v>
      </c>
      <c r="J4" t="s">
        <v>383</v>
      </c>
    </row>
    <row r="5" spans="1:12" ht="17.45" customHeight="1">
      <c r="A5" t="s">
        <v>432</v>
      </c>
      <c r="B5">
        <v>250</v>
      </c>
      <c r="C5" t="s">
        <v>433</v>
      </c>
      <c r="D5" t="s">
        <v>434</v>
      </c>
      <c r="E5" s="16" t="s">
        <v>222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435</v>
      </c>
      <c r="L5" t="s">
        <v>436</v>
      </c>
    </row>
    <row r="6" spans="1:12">
      <c r="A6" t="s">
        <v>141</v>
      </c>
      <c r="B6" t="s">
        <v>222</v>
      </c>
      <c r="C6" t="s">
        <v>223</v>
      </c>
      <c r="D6" t="s">
        <v>224</v>
      </c>
      <c r="E6">
        <f>29090</f>
        <v>29090</v>
      </c>
      <c r="F6" t="s">
        <v>222</v>
      </c>
      <c r="G6">
        <v>1000</v>
      </c>
      <c r="J6" t="s">
        <v>437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438</v>
      </c>
      <c r="K7">
        <f>K6*0.74</f>
        <v>27200154.100000001</v>
      </c>
    </row>
    <row r="8" spans="1:12">
      <c r="J8" s="16">
        <v>41070</v>
      </c>
      <c r="K8" t="s">
        <v>439</v>
      </c>
    </row>
    <row r="10" spans="1:12">
      <c r="J10" s="47" t="s">
        <v>285</v>
      </c>
    </row>
    <row r="11" spans="1:12">
      <c r="J11" s="47">
        <v>40000</v>
      </c>
    </row>
    <row r="13" spans="1:12">
      <c r="J13" t="s">
        <v>440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441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442</v>
      </c>
      <c r="B1" t="s">
        <v>443</v>
      </c>
    </row>
    <row r="2" spans="1:2">
      <c r="A2" s="3" t="s">
        <v>444</v>
      </c>
      <c r="B2" t="s">
        <v>183</v>
      </c>
    </row>
    <row r="3" spans="1:2">
      <c r="A3" t="s">
        <v>445</v>
      </c>
      <c r="B3" t="s">
        <v>446</v>
      </c>
    </row>
    <row r="4" spans="1:2">
      <c r="A4" t="s">
        <v>447</v>
      </c>
      <c r="B4" t="s">
        <v>331</v>
      </c>
    </row>
    <row r="5" spans="1:2">
      <c r="A5" t="s">
        <v>448</v>
      </c>
      <c r="B5" t="s">
        <v>331</v>
      </c>
    </row>
    <row r="6" spans="1:2">
      <c r="A6" t="s">
        <v>449</v>
      </c>
      <c r="B6" t="s">
        <v>450</v>
      </c>
    </row>
    <row r="7" spans="1:2">
      <c r="A7" t="s">
        <v>451</v>
      </c>
      <c r="B7" t="s">
        <v>450</v>
      </c>
    </row>
    <row r="8" spans="1:2">
      <c r="A8" t="s">
        <v>452</v>
      </c>
      <c r="B8" t="s">
        <v>453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454</v>
      </c>
      <c r="C1" t="s">
        <v>455</v>
      </c>
      <c r="D1" t="s">
        <v>456</v>
      </c>
      <c r="E1" t="s">
        <v>457</v>
      </c>
      <c r="G1" s="22" t="s">
        <v>458</v>
      </c>
    </row>
    <row r="2" spans="1:10">
      <c r="A2" t="s">
        <v>459</v>
      </c>
      <c r="B2">
        <v>1</v>
      </c>
      <c r="C2">
        <v>700</v>
      </c>
      <c r="D2">
        <v>700</v>
      </c>
      <c r="E2">
        <v>700</v>
      </c>
    </row>
    <row r="3" spans="1:10">
      <c r="A3" t="s">
        <v>460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461</v>
      </c>
      <c r="B4">
        <v>1</v>
      </c>
      <c r="C4">
        <v>700</v>
      </c>
      <c r="D4">
        <v>700</v>
      </c>
      <c r="E4">
        <v>700</v>
      </c>
    </row>
    <row r="5" spans="1:10">
      <c r="A5" t="s">
        <v>462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463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464</v>
      </c>
      <c r="C1" t="s">
        <v>465</v>
      </c>
      <c r="D1" t="s">
        <v>466</v>
      </c>
    </row>
    <row r="2" spans="1:4">
      <c r="A2" t="s">
        <v>467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468</v>
      </c>
      <c r="B1" t="s">
        <v>469</v>
      </c>
      <c r="C1" t="s">
        <v>470</v>
      </c>
      <c r="D1" t="s">
        <v>160</v>
      </c>
      <c r="E1" t="s">
        <v>471</v>
      </c>
    </row>
    <row r="2" spans="1:16">
      <c r="A2" t="s">
        <v>472</v>
      </c>
      <c r="B2" t="s">
        <v>157</v>
      </c>
      <c r="C2" t="s">
        <v>473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472</v>
      </c>
      <c r="B3" t="s">
        <v>157</v>
      </c>
      <c r="C3" t="s">
        <v>473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472</v>
      </c>
      <c r="B4" t="s">
        <v>157</v>
      </c>
      <c r="C4" t="s">
        <v>473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472</v>
      </c>
      <c r="B5" t="s">
        <v>157</v>
      </c>
      <c r="C5" t="s">
        <v>473</v>
      </c>
      <c r="D5" s="30">
        <v>2040</v>
      </c>
      <c r="E5" s="30">
        <f>(K11+K16)*1000</f>
        <v>11570</v>
      </c>
      <c r="F5" s="30"/>
    </row>
    <row r="6" spans="1:16">
      <c r="A6" t="s">
        <v>472</v>
      </c>
      <c r="B6" t="s">
        <v>157</v>
      </c>
      <c r="C6" t="s">
        <v>473</v>
      </c>
      <c r="D6" s="30">
        <v>2050</v>
      </c>
      <c r="E6" s="30">
        <f>(K12+K17)*1000</f>
        <v>12040</v>
      </c>
      <c r="F6" s="30"/>
      <c r="H6" s="32"/>
      <c r="L6" s="29" t="s">
        <v>474</v>
      </c>
      <c r="M6" s="29" t="s">
        <v>475</v>
      </c>
      <c r="N6" s="29" t="s">
        <v>476</v>
      </c>
      <c r="O6" s="29" t="s">
        <v>477</v>
      </c>
      <c r="P6" s="29" t="s">
        <v>478</v>
      </c>
    </row>
    <row r="7" spans="1:16" ht="15" customHeight="1">
      <c r="A7" t="s">
        <v>472</v>
      </c>
      <c r="B7" t="s">
        <v>172</v>
      </c>
      <c r="C7" t="s">
        <v>473</v>
      </c>
      <c r="D7" s="30">
        <v>2019</v>
      </c>
      <c r="E7" s="30">
        <f>(J8+J13)*1000</f>
        <v>89450</v>
      </c>
      <c r="F7" s="30"/>
      <c r="H7" s="88" t="s">
        <v>479</v>
      </c>
      <c r="J7" s="31" t="s">
        <v>172</v>
      </c>
      <c r="K7" s="31" t="s">
        <v>157</v>
      </c>
      <c r="L7" s="31"/>
      <c r="M7" s="31"/>
      <c r="N7" s="31" t="s">
        <v>172</v>
      </c>
      <c r="O7" s="31" t="s">
        <v>157</v>
      </c>
      <c r="P7" s="31"/>
    </row>
    <row r="8" spans="1:16" ht="14.45" customHeight="1">
      <c r="A8" t="s">
        <v>472</v>
      </c>
      <c r="B8" t="s">
        <v>172</v>
      </c>
      <c r="C8" t="s">
        <v>473</v>
      </c>
      <c r="D8" s="30">
        <v>2020</v>
      </c>
      <c r="E8" s="30">
        <f>(J9+J14)*1000</f>
        <v>69440</v>
      </c>
      <c r="F8" s="30"/>
      <c r="H8" s="88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237</v>
      </c>
    </row>
    <row r="9" spans="1:16" ht="14.45" customHeight="1">
      <c r="A9" t="s">
        <v>472</v>
      </c>
      <c r="B9" t="s">
        <v>172</v>
      </c>
      <c r="C9" t="s">
        <v>473</v>
      </c>
      <c r="D9" s="30">
        <v>2030</v>
      </c>
      <c r="E9" s="30">
        <f>(J10+J15)*1000</f>
        <v>65680</v>
      </c>
      <c r="F9" s="30"/>
      <c r="H9" s="88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237</v>
      </c>
    </row>
    <row r="10" spans="1:16">
      <c r="A10" t="s">
        <v>472</v>
      </c>
      <c r="B10" t="s">
        <v>172</v>
      </c>
      <c r="C10" t="s">
        <v>473</v>
      </c>
      <c r="D10" s="30">
        <v>2040</v>
      </c>
      <c r="E10" s="30">
        <f>(J11+J16)*1000</f>
        <v>64430.000000000007</v>
      </c>
      <c r="F10" s="16"/>
      <c r="H10" s="88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237</v>
      </c>
    </row>
    <row r="11" spans="1:16">
      <c r="A11" t="s">
        <v>472</v>
      </c>
      <c r="B11" t="s">
        <v>172</v>
      </c>
      <c r="C11" t="s">
        <v>473</v>
      </c>
      <c r="D11" s="30">
        <v>2050</v>
      </c>
      <c r="E11" s="30">
        <f>(J12+J17)*1000</f>
        <v>68340</v>
      </c>
      <c r="H11" s="88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237</v>
      </c>
    </row>
    <row r="12" spans="1:16">
      <c r="F12" s="16"/>
      <c r="H12" s="88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237</v>
      </c>
    </row>
    <row r="13" spans="1:16">
      <c r="F13" s="30"/>
      <c r="H13" s="88"/>
      <c r="I13" s="30">
        <v>2019</v>
      </c>
      <c r="J13" s="30">
        <v>72.25</v>
      </c>
      <c r="K13" s="30">
        <v>2.97</v>
      </c>
      <c r="L13" s="30" t="s">
        <v>480</v>
      </c>
      <c r="M13">
        <v>2019</v>
      </c>
      <c r="N13">
        <v>462</v>
      </c>
      <c r="O13">
        <v>19</v>
      </c>
      <c r="P13" t="s">
        <v>237</v>
      </c>
    </row>
    <row r="14" spans="1:16">
      <c r="F14" s="30"/>
      <c r="H14" s="88"/>
      <c r="I14" s="30">
        <v>2020</v>
      </c>
      <c r="J14" s="30">
        <v>52.39</v>
      </c>
      <c r="K14" s="30">
        <v>2.97</v>
      </c>
      <c r="L14" s="30" t="s">
        <v>480</v>
      </c>
      <c r="M14">
        <v>2020</v>
      </c>
      <c r="N14">
        <v>335</v>
      </c>
      <c r="O14">
        <v>19</v>
      </c>
      <c r="P14" t="s">
        <v>237</v>
      </c>
    </row>
    <row r="15" spans="1:16">
      <c r="F15" s="30"/>
      <c r="H15" s="88"/>
      <c r="I15" s="30">
        <v>2030</v>
      </c>
      <c r="J15" s="30">
        <v>48.32</v>
      </c>
      <c r="K15" s="30">
        <v>3.44</v>
      </c>
      <c r="L15" s="30" t="s">
        <v>480</v>
      </c>
      <c r="M15">
        <v>2030</v>
      </c>
      <c r="N15">
        <v>309</v>
      </c>
      <c r="O15">
        <v>22</v>
      </c>
      <c r="P15" t="s">
        <v>237</v>
      </c>
    </row>
    <row r="16" spans="1:16">
      <c r="F16" s="30"/>
      <c r="H16" s="88"/>
      <c r="I16" s="30">
        <v>2040</v>
      </c>
      <c r="J16" s="30">
        <v>46.76</v>
      </c>
      <c r="K16" s="30">
        <v>3.91</v>
      </c>
      <c r="L16" s="30" t="s">
        <v>480</v>
      </c>
      <c r="M16">
        <v>2040</v>
      </c>
      <c r="N16">
        <v>299</v>
      </c>
      <c r="O16">
        <v>25</v>
      </c>
      <c r="P16" t="s">
        <v>237</v>
      </c>
    </row>
    <row r="17" spans="5:16">
      <c r="F17" s="30"/>
      <c r="H17" s="88"/>
      <c r="I17" s="30">
        <v>2050</v>
      </c>
      <c r="J17" s="30">
        <v>50.2</v>
      </c>
      <c r="K17" s="30">
        <v>4.38</v>
      </c>
      <c r="L17" s="30" t="s">
        <v>480</v>
      </c>
      <c r="M17">
        <v>2050</v>
      </c>
      <c r="N17">
        <v>321</v>
      </c>
      <c r="O17">
        <v>28</v>
      </c>
      <c r="P17" t="s">
        <v>237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481</v>
      </c>
      <c r="C1" t="s">
        <v>482</v>
      </c>
      <c r="D1" t="s">
        <v>308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172</v>
      </c>
      <c r="D1" t="s">
        <v>483</v>
      </c>
    </row>
    <row r="2" spans="1:4">
      <c r="A2">
        <v>2019</v>
      </c>
      <c r="B2">
        <v>19.7</v>
      </c>
      <c r="D2" t="s">
        <v>484</v>
      </c>
    </row>
    <row r="3" spans="1:4">
      <c r="A3">
        <v>2020</v>
      </c>
      <c r="B3">
        <v>20.399999999999999</v>
      </c>
      <c r="D3" t="s">
        <v>484</v>
      </c>
    </row>
    <row r="4" spans="1:4">
      <c r="A4">
        <v>2021</v>
      </c>
      <c r="B4">
        <v>21.7</v>
      </c>
      <c r="D4" t="s">
        <v>484</v>
      </c>
    </row>
    <row r="5" spans="1:4">
      <c r="A5">
        <v>2030</v>
      </c>
      <c r="B5">
        <v>53</v>
      </c>
      <c r="D5" t="s">
        <v>484</v>
      </c>
    </row>
    <row r="6" spans="1:4">
      <c r="A6">
        <v>2040</v>
      </c>
      <c r="B6">
        <v>100</v>
      </c>
      <c r="D6" t="s">
        <v>484</v>
      </c>
    </row>
    <row r="7" spans="1:4">
      <c r="A7">
        <v>2050</v>
      </c>
      <c r="B7">
        <v>120</v>
      </c>
      <c r="D7" t="s">
        <v>484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276</v>
      </c>
      <c r="B1" s="5" t="s">
        <v>34</v>
      </c>
      <c r="D1" t="s">
        <v>162</v>
      </c>
      <c r="E1" t="s">
        <v>454</v>
      </c>
      <c r="F1" t="s">
        <v>455</v>
      </c>
      <c r="G1" t="s">
        <v>456</v>
      </c>
      <c r="H1" t="s">
        <v>457</v>
      </c>
      <c r="L1" t="s">
        <v>485</v>
      </c>
      <c r="M1" t="s">
        <v>486</v>
      </c>
      <c r="N1" t="s">
        <v>422</v>
      </c>
      <c r="O1">
        <v>93.904775180000001</v>
      </c>
    </row>
    <row r="2" spans="1:15">
      <c r="A2" t="s">
        <v>472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487</v>
      </c>
      <c r="M2" t="s">
        <v>486</v>
      </c>
      <c r="N2" t="s">
        <v>422</v>
      </c>
      <c r="O2">
        <v>97.012060739999995</v>
      </c>
    </row>
    <row r="3" spans="1:15">
      <c r="A3" t="s">
        <v>488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489</v>
      </c>
      <c r="M3" t="s">
        <v>486</v>
      </c>
      <c r="N3" t="s">
        <v>422</v>
      </c>
      <c r="O3">
        <v>796.91070000000002</v>
      </c>
    </row>
    <row r="4" spans="1:15">
      <c r="A4" t="s">
        <v>490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490</v>
      </c>
      <c r="M4" t="s">
        <v>486</v>
      </c>
      <c r="N4" t="s">
        <v>422</v>
      </c>
      <c r="O4">
        <v>10.29</v>
      </c>
    </row>
    <row r="5" spans="1:15">
      <c r="A5" t="s">
        <v>491</v>
      </c>
      <c r="B5">
        <v>0.01</v>
      </c>
      <c r="D5" t="s">
        <v>492</v>
      </c>
      <c r="E5">
        <v>1</v>
      </c>
      <c r="F5">
        <v>1000000</v>
      </c>
      <c r="G5">
        <v>0</v>
      </c>
      <c r="H5">
        <v>0</v>
      </c>
      <c r="L5" t="s">
        <v>491</v>
      </c>
      <c r="M5" t="s">
        <v>486</v>
      </c>
      <c r="N5" t="s">
        <v>422</v>
      </c>
      <c r="O5">
        <v>42.191125290000002</v>
      </c>
    </row>
    <row r="6" spans="1:15">
      <c r="A6" t="s">
        <v>493</v>
      </c>
      <c r="D6" t="s">
        <v>494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485</v>
      </c>
      <c r="D7" t="s">
        <v>495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487</v>
      </c>
    </row>
    <row r="9" spans="1:15">
      <c r="A9" t="s">
        <v>489</v>
      </c>
      <c r="B9">
        <v>0.01</v>
      </c>
    </row>
    <row r="10" spans="1:15">
      <c r="A10" t="s">
        <v>496</v>
      </c>
    </row>
    <row r="11" spans="1:15">
      <c r="A11" t="s">
        <v>497</v>
      </c>
    </row>
    <row r="12" spans="1:15">
      <c r="A12" t="s">
        <v>498</v>
      </c>
    </row>
    <row r="13" spans="1:15">
      <c r="A13" t="s">
        <v>499</v>
      </c>
    </row>
    <row r="14" spans="1:15">
      <c r="A14" t="s">
        <v>500</v>
      </c>
      <c r="B14">
        <v>0.01</v>
      </c>
    </row>
    <row r="15" spans="1:15">
      <c r="A15" t="s">
        <v>501</v>
      </c>
    </row>
    <row r="16" spans="1:15">
      <c r="A16" t="s">
        <v>502</v>
      </c>
      <c r="B16">
        <f t="shared" ref="B16" si="0">B14</f>
        <v>0.01</v>
      </c>
    </row>
    <row r="17" spans="1:2">
      <c r="A17" t="s">
        <v>503</v>
      </c>
    </row>
    <row r="18" spans="1:2">
      <c r="A18" t="s">
        <v>102</v>
      </c>
      <c r="B18">
        <v>0.01</v>
      </c>
    </row>
    <row r="19" spans="1:2">
      <c r="A19" t="s">
        <v>504</v>
      </c>
    </row>
    <row r="20" spans="1:2">
      <c r="A20" t="s">
        <v>505</v>
      </c>
    </row>
    <row r="21" spans="1:2">
      <c r="A21" t="s">
        <v>506</v>
      </c>
    </row>
    <row r="22" spans="1:2">
      <c r="A22" t="s">
        <v>114</v>
      </c>
      <c r="B22">
        <v>0.01</v>
      </c>
    </row>
    <row r="23" spans="1:2">
      <c r="A23" t="s">
        <v>507</v>
      </c>
    </row>
    <row r="24" spans="1:2">
      <c r="A24" t="s">
        <v>508</v>
      </c>
    </row>
    <row r="25" spans="1:2">
      <c r="A25" t="s">
        <v>115</v>
      </c>
      <c r="B25">
        <v>0.01</v>
      </c>
    </row>
    <row r="26" spans="1:2">
      <c r="A26" t="s">
        <v>509</v>
      </c>
    </row>
    <row r="27" spans="1:2" ht="12.95" customHeight="1">
      <c r="A27" s="2" t="s">
        <v>510</v>
      </c>
      <c r="B27" s="8">
        <v>0.2</v>
      </c>
    </row>
    <row r="28" spans="1:2">
      <c r="A28" s="2" t="s">
        <v>511</v>
      </c>
      <c r="B28" s="8">
        <v>0.2</v>
      </c>
    </row>
    <row r="29" spans="1:2">
      <c r="A29" s="11" t="s">
        <v>512</v>
      </c>
      <c r="B29">
        <v>0.01</v>
      </c>
    </row>
    <row r="30" spans="1:2">
      <c r="A30" s="11" t="s">
        <v>513</v>
      </c>
      <c r="B30">
        <v>0.01</v>
      </c>
    </row>
    <row r="31" spans="1:2">
      <c r="A31" s="11" t="s">
        <v>274</v>
      </c>
      <c r="B31">
        <v>0.01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348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349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350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351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352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353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354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355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356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514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515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516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517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518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519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348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349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350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351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352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353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354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355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356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514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515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516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517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518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519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346</v>
      </c>
      <c r="B38" t="s">
        <v>347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348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349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350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351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352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353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354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355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356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520</v>
      </c>
    </row>
    <row r="4" spans="4:14">
      <c r="N4" t="s">
        <v>521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522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522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523</v>
      </c>
    </row>
    <row r="30" spans="17:20">
      <c r="Q30" t="s">
        <v>524</v>
      </c>
      <c r="R30" s="84">
        <v>2020</v>
      </c>
      <c r="S30" s="84">
        <v>2030</v>
      </c>
      <c r="T30" s="84">
        <v>2050</v>
      </c>
    </row>
    <row r="31" spans="17:20">
      <c r="Q31" t="s">
        <v>525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526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527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528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529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270</v>
      </c>
      <c r="B1" s="7" t="s">
        <v>530</v>
      </c>
      <c r="C1" s="7" t="s">
        <v>277</v>
      </c>
      <c r="D1" s="7" t="s">
        <v>531</v>
      </c>
      <c r="E1" s="7" t="s">
        <v>532</v>
      </c>
      <c r="F1" s="7" t="s">
        <v>533</v>
      </c>
      <c r="G1" s="7" t="s">
        <v>534</v>
      </c>
      <c r="H1" s="7" t="s">
        <v>535</v>
      </c>
      <c r="I1" s="7" t="s">
        <v>536</v>
      </c>
    </row>
    <row r="2" spans="1:9" ht="30">
      <c r="A2" t="s">
        <v>500</v>
      </c>
      <c r="B2" s="2" t="s">
        <v>537</v>
      </c>
      <c r="C2" t="s">
        <v>312</v>
      </c>
      <c r="D2" t="s">
        <v>256</v>
      </c>
      <c r="E2" t="s">
        <v>538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489</v>
      </c>
      <c r="B3" s="2" t="s">
        <v>537</v>
      </c>
      <c r="C3" t="s">
        <v>312</v>
      </c>
      <c r="D3" t="s">
        <v>256</v>
      </c>
      <c r="E3" t="s">
        <v>538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491</v>
      </c>
      <c r="B4" s="2" t="s">
        <v>537</v>
      </c>
      <c r="C4" t="s">
        <v>312</v>
      </c>
      <c r="D4" t="s">
        <v>256</v>
      </c>
      <c r="E4" t="s">
        <v>538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472</v>
      </c>
      <c r="B5" s="2" t="s">
        <v>539</v>
      </c>
      <c r="C5" t="s">
        <v>312</v>
      </c>
      <c r="D5" t="s">
        <v>256</v>
      </c>
      <c r="E5" t="s">
        <v>538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502</v>
      </c>
      <c r="B6" s="2" t="s">
        <v>537</v>
      </c>
      <c r="C6" t="s">
        <v>312</v>
      </c>
      <c r="D6" t="s">
        <v>256</v>
      </c>
      <c r="E6" t="s">
        <v>538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537</v>
      </c>
      <c r="C7" t="s">
        <v>300</v>
      </c>
      <c r="D7" t="s">
        <v>256</v>
      </c>
      <c r="E7" t="s">
        <v>538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540</v>
      </c>
      <c r="B8" s="2" t="s">
        <v>539</v>
      </c>
      <c r="C8" t="s">
        <v>300</v>
      </c>
      <c r="D8" t="s">
        <v>256</v>
      </c>
      <c r="E8" t="s">
        <v>538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490</v>
      </c>
      <c r="B9" s="2" t="s">
        <v>537</v>
      </c>
      <c r="C9" t="s">
        <v>312</v>
      </c>
      <c r="D9" t="s">
        <v>256</v>
      </c>
      <c r="E9" t="s">
        <v>538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501</v>
      </c>
      <c r="B10" s="2" t="s">
        <v>537</v>
      </c>
      <c r="C10" t="s">
        <v>300</v>
      </c>
      <c r="D10" t="s">
        <v>256</v>
      </c>
      <c r="E10" t="s">
        <v>538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537</v>
      </c>
      <c r="C11" t="s">
        <v>300</v>
      </c>
      <c r="D11" t="s">
        <v>256</v>
      </c>
      <c r="E11" t="s">
        <v>538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511</v>
      </c>
      <c r="B12" s="2" t="s">
        <v>541</v>
      </c>
      <c r="C12" t="s">
        <v>311</v>
      </c>
      <c r="D12" t="s">
        <v>256</v>
      </c>
      <c r="E12" t="s">
        <v>542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510</v>
      </c>
      <c r="B13" s="2" t="s">
        <v>541</v>
      </c>
      <c r="C13" t="s">
        <v>311</v>
      </c>
      <c r="D13" t="s">
        <v>256</v>
      </c>
      <c r="E13" t="s">
        <v>538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tabSelected="1" workbookViewId="0">
      <selection activeCell="E19" sqref="E19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P12"/>
  <sheetViews>
    <sheetView zoomScale="123" workbookViewId="0">
      <selection activeCell="E27" sqref="E27"/>
    </sheetView>
  </sheetViews>
  <sheetFormatPr defaultRowHeight="15"/>
  <cols>
    <col min="1" max="1" width="28.42578125" customWidth="1"/>
    <col min="2" max="2" width="5.85546875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28.85546875" customWidth="1"/>
    <col min="14" max="14" width="18.7109375" customWidth="1"/>
  </cols>
  <sheetData>
    <row r="1" spans="1:16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167</v>
      </c>
      <c r="I1" s="13" t="s">
        <v>168</v>
      </c>
      <c r="J1" s="13" t="s">
        <v>169</v>
      </c>
      <c r="K1" s="13" t="s">
        <v>547</v>
      </c>
      <c r="L1" s="13" t="s">
        <v>165</v>
      </c>
      <c r="M1" s="13" t="s">
        <v>166</v>
      </c>
      <c r="O1" t="s">
        <v>170</v>
      </c>
    </row>
    <row r="2" spans="1:16">
      <c r="A2" s="13" t="s">
        <v>171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>
        <v>1</v>
      </c>
      <c r="I2" s="13">
        <v>1</v>
      </c>
      <c r="J2" s="13">
        <v>1</v>
      </c>
      <c r="K2" s="13" t="s">
        <v>543</v>
      </c>
      <c r="L2" s="13" t="s">
        <v>172</v>
      </c>
      <c r="M2" s="13" t="b">
        <v>0</v>
      </c>
      <c r="P2" s="65" t="s">
        <v>545</v>
      </c>
    </row>
    <row r="3" spans="1:16">
      <c r="A3" s="13" t="s">
        <v>173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65">
        <v>1.5</v>
      </c>
      <c r="I3" s="13">
        <v>4</v>
      </c>
      <c r="J3" s="13">
        <v>1</v>
      </c>
      <c r="K3" s="13" t="s">
        <v>543</v>
      </c>
      <c r="L3" s="13" t="s">
        <v>157</v>
      </c>
      <c r="M3" s="13" t="b">
        <v>0</v>
      </c>
      <c r="P3" s="50" t="s">
        <v>543</v>
      </c>
    </row>
    <row r="4" spans="1:16">
      <c r="A4" s="13" t="s">
        <v>174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>
        <v>1.5</v>
      </c>
      <c r="I4" s="13">
        <v>4</v>
      </c>
      <c r="J4" s="13">
        <v>15</v>
      </c>
      <c r="K4" s="13" t="s">
        <v>543</v>
      </c>
      <c r="L4" s="13" t="s">
        <v>157</v>
      </c>
      <c r="M4" s="13" t="b">
        <v>1</v>
      </c>
      <c r="P4" s="13"/>
    </row>
    <row r="6" spans="1:16">
      <c r="E6" t="s">
        <v>175</v>
      </c>
      <c r="G6" t="s">
        <v>176</v>
      </c>
    </row>
    <row r="7" spans="1:16">
      <c r="D7" s="13">
        <v>26776</v>
      </c>
      <c r="E7" t="s">
        <v>177</v>
      </c>
      <c r="F7" t="s">
        <v>178</v>
      </c>
    </row>
    <row r="8" spans="1:16">
      <c r="D8" s="13">
        <v>26500</v>
      </c>
      <c r="E8" t="s">
        <v>179</v>
      </c>
    </row>
    <row r="9" spans="1:16">
      <c r="D9">
        <v>20000</v>
      </c>
      <c r="E9" t="s">
        <v>180</v>
      </c>
    </row>
    <row r="10" spans="1:16">
      <c r="D10">
        <v>24500</v>
      </c>
      <c r="E10" t="s">
        <v>181</v>
      </c>
      <c r="M10" s="13"/>
    </row>
    <row r="12" spans="1:16">
      <c r="D12">
        <v>19200</v>
      </c>
      <c r="E12" t="s">
        <v>182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80</v>
      </c>
      <c r="C1" s="49" t="s">
        <v>81</v>
      </c>
      <c r="D1" s="49" t="s">
        <v>184</v>
      </c>
      <c r="E1" s="49" t="s">
        <v>185</v>
      </c>
      <c r="F1" s="49" t="s">
        <v>186</v>
      </c>
      <c r="G1" s="49" t="s">
        <v>187</v>
      </c>
      <c r="H1" s="49" t="s">
        <v>188</v>
      </c>
      <c r="I1" s="49" t="s">
        <v>189</v>
      </c>
      <c r="K1" t="s">
        <v>190</v>
      </c>
    </row>
    <row r="2" spans="1:11">
      <c r="A2" s="13" t="s">
        <v>191</v>
      </c>
      <c r="B2" s="13">
        <v>3880</v>
      </c>
      <c r="C2" s="13">
        <v>0.15</v>
      </c>
      <c r="D2" s="13" t="s">
        <v>172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192</v>
      </c>
    </row>
    <row r="3" spans="1:11">
      <c r="A3" s="13" t="s">
        <v>193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194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195</v>
      </c>
      <c r="C1" s="13" t="s">
        <v>165</v>
      </c>
      <c r="F1" s="44" t="s">
        <v>196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172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197</v>
      </c>
      <c r="C1" s="13" t="s">
        <v>198</v>
      </c>
      <c r="F1" t="s">
        <v>199</v>
      </c>
      <c r="G1" t="s">
        <v>200</v>
      </c>
    </row>
    <row r="2" spans="1:12">
      <c r="A2" s="73" t="s">
        <v>201</v>
      </c>
      <c r="B2" s="77">
        <v>78082</v>
      </c>
      <c r="C2" s="13">
        <v>0.04</v>
      </c>
      <c r="E2" s="13" t="s">
        <v>202</v>
      </c>
      <c r="F2">
        <v>50000</v>
      </c>
      <c r="G2" s="77">
        <v>102043.30769230769</v>
      </c>
    </row>
    <row r="3" spans="1:12">
      <c r="A3" s="73" t="s">
        <v>203</v>
      </c>
      <c r="B3" s="77">
        <v>75286.5</v>
      </c>
      <c r="C3" s="13">
        <v>0.09</v>
      </c>
      <c r="E3" s="13" t="s">
        <v>204</v>
      </c>
      <c r="F3">
        <v>40000</v>
      </c>
      <c r="G3" s="77">
        <v>84942</v>
      </c>
    </row>
    <row r="4" spans="1:12">
      <c r="A4" s="73" t="s">
        <v>204</v>
      </c>
      <c r="B4" s="77">
        <v>56496</v>
      </c>
      <c r="C4" s="13">
        <v>0.13</v>
      </c>
      <c r="E4" s="13" t="s">
        <v>205</v>
      </c>
      <c r="F4">
        <v>30000</v>
      </c>
      <c r="G4" s="77">
        <v>63489.515151515152</v>
      </c>
    </row>
    <row r="5" spans="1:12">
      <c r="A5" s="73" t="s">
        <v>206</v>
      </c>
      <c r="B5" s="77">
        <v>50618</v>
      </c>
      <c r="C5" s="13">
        <v>0.05</v>
      </c>
      <c r="E5" s="13" t="s">
        <v>207</v>
      </c>
      <c r="F5">
        <v>20000</v>
      </c>
      <c r="G5" s="77">
        <v>42700</v>
      </c>
    </row>
    <row r="6" spans="1:12">
      <c r="A6" s="73" t="s">
        <v>208</v>
      </c>
      <c r="B6" s="77">
        <v>44904</v>
      </c>
      <c r="C6" s="13">
        <v>0.28000000000000003</v>
      </c>
      <c r="E6" s="13" t="s">
        <v>209</v>
      </c>
      <c r="F6">
        <v>10000</v>
      </c>
      <c r="G6" s="77">
        <v>32723</v>
      </c>
      <c r="H6" t="s">
        <v>210</v>
      </c>
    </row>
    <row r="7" spans="1:12">
      <c r="A7" s="73" t="s">
        <v>207</v>
      </c>
      <c r="B7" s="34">
        <v>33635</v>
      </c>
      <c r="C7" s="13">
        <v>0.09</v>
      </c>
      <c r="H7">
        <f>SUM(C2:C8)</f>
        <v>0.89</v>
      </c>
      <c r="J7" s="13" t="s">
        <v>211</v>
      </c>
      <c r="K7" s="34">
        <v>30429</v>
      </c>
      <c r="L7" s="13">
        <v>0.08</v>
      </c>
    </row>
    <row r="8" spans="1:12">
      <c r="A8" s="73" t="s">
        <v>209</v>
      </c>
      <c r="B8" s="34">
        <v>28646.5</v>
      </c>
      <c r="C8" s="13">
        <v>0.21</v>
      </c>
      <c r="J8" s="13" t="s">
        <v>212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dynamicDF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2024-10-18T11:04:30Z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