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AD5583A-9C00-493A-936D-761D875AE6C3}" xr6:coauthVersionLast="47" xr6:coauthVersionMax="47" xr10:uidLastSave="{00000000-0000-0000-0000-000000000000}"/>
  <bookViews>
    <workbookView xWindow="-120" yWindow="-120" windowWidth="29040" windowHeight="17640" tabRatio="998" firstSheet="11" activeTab="17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CapacitySubscriptionOperators" sheetId="70" r:id="rId7"/>
    <sheet name="ElectricitySpotMarkets" sheetId="14" r:id="rId8"/>
    <sheet name="peakLoad" sheetId="67" r:id="rId9"/>
    <sheet name="Fuels" sheetId="29" r:id="rId10"/>
    <sheet name="FuelPriceTrends" sheetId="30" r:id="rId11"/>
    <sheet name="CandidatePowerPlants" sheetId="45" r:id="rId12"/>
    <sheet name="TechnologiesEmlab" sheetId="33" r:id="rId13"/>
    <sheet name="TechnologyTrends" sheetId="63" r:id="rId14"/>
    <sheet name="EnergyProducers" sheetId="17" r:id="rId15"/>
    <sheet name="LoadShifterCap" sheetId="64" r:id="rId16"/>
    <sheet name="LoadShedders_feb24" sheetId="73" r:id="rId17"/>
    <sheet name="LoadShedders" sheetId="65" r:id="rId18"/>
    <sheet name="LSyearly" sheetId="69" r:id="rId19"/>
    <sheet name="Dismantled" sheetId="49" r:id="rId20"/>
    <sheet name="weatherYears40" sheetId="61" r:id="rId21"/>
    <sheet name="LS_NL" sheetId="72" r:id="rId22"/>
    <sheet name="LoadShedders2" sheetId="68" r:id="rId23"/>
    <sheet name="LoadShedders_copy" sheetId="71" r:id="rId24"/>
    <sheet name="dictvariables" sheetId="43" r:id="rId25"/>
    <sheet name="StepTrends" sheetId="18" r:id="rId26"/>
    <sheet name="EnergyConsumers" sheetId="16" r:id="rId27"/>
    <sheet name="yearlytechnologyPotentials2" sheetId="58" r:id="rId28"/>
    <sheet name="graphs" sheetId="56" r:id="rId29"/>
    <sheet name="CO2DE" sheetId="44" r:id="rId30"/>
    <sheet name="backup" sheetId="50" r:id="rId31"/>
    <sheet name="weatherYearsOLD" sheetId="66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11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1" hidden="1">LS_NL!$A$1:$D$1</definedName>
    <definedName name="_xlnm._FilterDatabase" localSheetId="33" hidden="1">NewTechnologies!$A$1:$I$11</definedName>
    <definedName name="_xlnm._FilterDatabase" localSheetId="12" hidden="1">TechnologiesEmlab!$A$1:$I$1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72" l="1"/>
  <c r="N4" i="72"/>
  <c r="N5" i="72"/>
  <c r="N6" i="72"/>
  <c r="N7" i="72"/>
  <c r="N8" i="72"/>
  <c r="N2" i="72"/>
  <c r="M2" i="72"/>
  <c r="M3" i="72"/>
  <c r="M4" i="72"/>
  <c r="M6" i="72"/>
  <c r="M7" i="72"/>
  <c r="M8" i="72"/>
  <c r="M5" i="72"/>
  <c r="E3" i="72"/>
  <c r="E4" i="72"/>
  <c r="E5" i="72"/>
  <c r="E6" i="72"/>
  <c r="E7" i="72"/>
  <c r="E8" i="72"/>
  <c r="E9" i="72"/>
  <c r="E10" i="72"/>
  <c r="E2" i="72"/>
  <c r="C8" i="65"/>
  <c r="B8" i="65"/>
  <c r="C7" i="65"/>
  <c r="B7" i="65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L2" i="72" l="1"/>
  <c r="K3" i="72"/>
  <c r="K6" i="72"/>
  <c r="K7" i="72"/>
  <c r="K5" i="72"/>
  <c r="J6" i="72"/>
  <c r="J7" i="72"/>
  <c r="J8" i="72"/>
  <c r="J5" i="72"/>
  <c r="I6" i="72"/>
  <c r="I7" i="72"/>
  <c r="I8" i="72"/>
  <c r="I5" i="72"/>
  <c r="K4" i="72"/>
  <c r="J3" i="72"/>
  <c r="J4" i="72"/>
  <c r="L3" i="72" l="1"/>
  <c r="L4" i="72" s="1"/>
  <c r="L5" i="72" s="1"/>
  <c r="L6" i="72" s="1"/>
  <c r="L7" i="72" s="1"/>
  <c r="L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A66" i="63" l="1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J3" i="65" l="1"/>
  <c r="J4" i="65"/>
  <c r="J5" i="65"/>
  <c r="J6" i="65"/>
  <c r="J2" i="65"/>
  <c r="N2" i="65"/>
  <c r="N3" i="65"/>
  <c r="M3" i="65" s="1"/>
  <c r="N4" i="65"/>
  <c r="M4" i="65" s="1"/>
  <c r="N5" i="65"/>
  <c r="M5" i="65" s="1"/>
  <c r="N6" i="65"/>
  <c r="M6" i="65" s="1"/>
  <c r="D3" i="67"/>
  <c r="D9" i="65"/>
  <c r="C6" i="65"/>
  <c r="B6" i="65"/>
  <c r="C5" i="65"/>
  <c r="B5" i="65"/>
  <c r="C4" i="65"/>
  <c r="B4" i="65"/>
  <c r="C3" i="65"/>
  <c r="B3" i="65"/>
  <c r="M2" i="65"/>
  <c r="C2" i="65"/>
  <c r="B2" i="65"/>
  <c r="L6" i="71"/>
  <c r="K6" i="71"/>
  <c r="K7" i="7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D10" i="33"/>
  <c r="O15" i="33" s="1"/>
  <c r="C10" i="33"/>
  <c r="O11" i="33" s="1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J6" i="64"/>
  <c r="B3" i="64"/>
  <c r="J4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O3" i="33"/>
  <c r="O4" i="33"/>
  <c r="O5" i="33"/>
  <c r="O6" i="33"/>
  <c r="O7" i="33"/>
  <c r="O8" i="33"/>
  <c r="O9" i="33"/>
  <c r="O12" i="33"/>
  <c r="O13" i="33"/>
  <c r="O14" i="33"/>
  <c r="D1" i="64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P7" i="33"/>
  <c r="P8" i="33"/>
  <c r="P10" i="33"/>
  <c r="P9" i="33"/>
  <c r="P3" i="33"/>
  <c r="P15" i="33"/>
  <c r="P16" i="33"/>
  <c r="P17" i="33"/>
  <c r="P5" i="33"/>
  <c r="P6" i="33"/>
  <c r="P4" i="33"/>
  <c r="P2" i="33"/>
  <c r="C3" i="18"/>
  <c r="L11" i="33"/>
  <c r="P11" i="33" s="1"/>
  <c r="M11" i="33"/>
  <c r="N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O2" i="33"/>
  <c r="O10" i="33" l="1"/>
  <c r="O17" i="33"/>
  <c r="O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tc={94405457-ECCF-4B96-A79F-C6CAD83F7851}</author>
  </authors>
  <commentList>
    <comment ref="M7" authorId="0" shapeId="0" xr:uid="{94405457-ECCF-4B96-A79F-C6CAD83F78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<sst xmlns="http://schemas.openxmlformats.org/spreadsheetml/2006/main" count="929" uniqueCount="460">
  <si>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</si>
  <si>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</si>
  <si>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</si>
  <si>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</si>
  <si>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</si>
  <si>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</si>
  <si>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</si>
  <si>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</si>
  <si>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</si>
  <si>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</si>
  <si>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</si>
  <si>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</si>
  <si>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</si>
  <si>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</si>
  <si>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</si>
  <si>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</si>
  <si>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</si>
  <si>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</si>
  <si>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</si>
  <si>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</si>
  <si>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</si>
  <si>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</si>
  <si>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</si>
  <si>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</si>
  <si>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</si>
  <si>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</si>
  <si>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</si>
  <si>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</si>
  <si>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</si>
  <si>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</si>
  <si>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</si>
  <si>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</si>
  <si>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</si>
  <si>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</si>
  <si>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</si>
  <si>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</si>
  <si>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</si>
  <si>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</si>
  <si>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</si>
  <si>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</si>
  <si>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</si>
  <si>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</si>
  <si>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</si>
  <si>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</si>
  <si>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</si>
  <si>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</si>
  <si>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</si>
  <si>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</si>
  <si>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</si>
  <si>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</si>
  <si>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</si>
  <si>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</si>
  <si>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</si>
  <si>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</si>
  <si>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</si>
  <si>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</si>
  <si>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</si>
  <si>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</si>
  <si>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</si>
  <si>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</si>
  <si>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</si>
  <si>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</si>
  <si>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</si>
  <si>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</si>
  <si>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</si>
  <si>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</si>
  <si>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</si>
  <si>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</si>
  <si>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</si>
  <si>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</si>
  <si>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</si>
  <si>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</si>
  <si>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</si>
  <si>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</si>
  <si>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</si>
  <si>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</si>
  <si>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</si>
  <si>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</si>
  <si>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</si>
  <si>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</si>
  <si>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</si>
  <si>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</si>
  <si>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</si>
  <si>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</si>
  <si>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</si>
  <si>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</si>
  <si>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</si>
  <si>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</si>
  <si>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</si>
  <si>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</si>
  <si>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</si>
  <si>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</si>
  <si>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</si>
  <si>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</si>
  <si>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</si>
  <si>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</si>
  <si>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</si>
  <si>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</si>
  <si>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</si>
  <si>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</si>
  <si>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</si>
  <si>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</si>
  <si>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</si>
  <si>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</si>
  <si>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</si>
  <si>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</si>
  <si>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</si>
  <si>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</si>
  <si>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</si>
  <si>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</si>
  <si>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</si>
  <si>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</si>
  <si>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</si>
  <si>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</si>
  <si>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</si>
  <si>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</si>
  <si>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</si>
  <si>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</si>
  <si>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</si>
  <si>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</si>
  <si>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</si>
  <si>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</si>
  <si>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</si>
  <si>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</si>
  <si>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</si>
  <si>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</si>
  <si>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</si>
  <si>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</si>
  <si>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</si>
  <si>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</si>
  <si>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</si>
  <si>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</si>
  <si>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</si>
  <si>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</si>
  <si>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</si>
  <si>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</si>
  <si>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</si>
  <si>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</si>
  <si>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</si>
  <si>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</si>
  <si>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</si>
  <si>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</si>
  <si>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</si>
  <si>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</si>
  <si>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</si>
  <si>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</si>
  <si>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</si>
  <si>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</si>
  <si>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</si>
  <si>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</si>
  <si>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</si>
  <si>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</si>
  <si>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</si>
  <si>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</si>
  <si>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</si>
  <si>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</si>
  <si>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</si>
  <si>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</si>
  <si>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</si>
  <si>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</si>
  <si>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</si>
  <si>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</si>
  <si>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</si>
  <si>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</si>
  <si>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</si>
  <si>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</si>
  <si>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</si>
  <si>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</si>
  <si>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</si>
  <si>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</si>
  <si>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</si>
  <si>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</si>
  <si>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</si>
  <si>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</si>
  <si>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</si>
  <si>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</si>
  <si>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</si>
  <si>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</si>
  <si>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</si>
  <si>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</si>
  <si>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</si>
  <si>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</si>
  <si>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</si>
  <si>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</si>
  <si>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</si>
  <si>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</si>
  <si>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</si>
  <si>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</si>
  <si>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</si>
  <si>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</si>
  <si>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</si>
  <si>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</si>
  <si>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</si>
  <si>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</si>
  <si>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</si>
  <si>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</si>
  <si>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</si>
  <si>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</si>
  <si>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</si>
  <si>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</si>
  <si>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</si>
  <si>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</si>
  <si>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</si>
  <si>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</si>
  <si>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</si>
  <si>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</si>
  <si>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</si>
  <si>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</si>
  <si>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</si>
  <si>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</si>
  <si>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</si>
  <si>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</si>
  <si>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</si>
  <si>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</si>
  <si>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</si>
  <si>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</si>
  <si>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</si>
  <si>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</si>
  <si>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</si>
  <si>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</si>
  <si>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</si>
  <si>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</si>
  <si>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</si>
  <si>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</si>
  <si>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</si>
  <si>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</si>
  <si>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</si>
  <si>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</si>
  <si>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</si>
  <si>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</si>
  <si>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</si>
  <si>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</si>
  <si>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</si>
  <si>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</si>
  <si>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</si>
  <si>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</si>
  <si>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</si>
  <si>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</si>
  <si>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</si>
  <si>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</si>
  <si>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</si>
  <si>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</si>
  <si>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</si>
  <si>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</si>
  <si>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</si>
  <si>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</si>
  <si>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</si>
  <si>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</si>
  <si>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</si>
  <si>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</si>
  <si>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</si>
  <si>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</si>
  <si>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</si>
  <si>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</si>
  <si>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</si>
  <si>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</si>
  <si>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</si>
  <si>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</si>
  <si>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</si>
  <si>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</si>
  <si>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</si>
  <si>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</si>
  <si>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</si>
  <si>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</si>
  <si>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</si>
  <si>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</si>
  <si>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</si>
  <si>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</si>
  <si>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</si>
  <si>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</si>
  <si>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</si>
  <si>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</si>
  <si>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</si>
  <si>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</si>
  <si>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</si>
  <si>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</si>
  <si>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</si>
  <si>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</si>
  <si>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</si>
  <si>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</si>
  <si>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</si>
  <si>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</si>
  <si>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</si>
  <si>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</si>
  <si>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</si>
  <si>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</si>
  <si>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</si>
  <si>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</si>
  <si>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</si>
  <si>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</si>
  <si>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</si>
  <si>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</si>
  <si>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</si>
  <si>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</si>
  <si>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</si>
  <si>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</si>
  <si>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</si>
  <si>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</si>
  <si>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</si>
  <si>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</si>
  <si>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</si>
  <si>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</si>
  <si>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</si>
  <si>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</si>
  <si>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</si>
  <si>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</si>
  <si>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</si>
  <si>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</si>
  <si>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</si>
  <si>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</si>
  <si>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</si>
  <si>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</si>
  <si>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</si>
  <si>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</si>
  <si>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</si>
  <si>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</si>
  <si>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</si>
  <si>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</si>
  <si>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</si>
  <si>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</si>
  <si>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</si>
  <si>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</si>
  <si>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</si>
  <si>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</si>
  <si>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</si>
  <si>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</si>
  <si>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</si>
  <si>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</si>
  <si>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</si>
  <si>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</si>
  <si>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</si>
  <si>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</si>
  <si>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</si>
  <si>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</si>
  <si>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</si>
  <si>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</si>
  <si>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</si>
  <si>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</si>
  <si>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</si>
  <si>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</si>
  <si>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</si>
  <si>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</si>
  <si>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</si>
  <si>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</si>
  <si>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</si>
  <si>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</si>
  <si>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</si>
  <si>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</si>
  <si>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</si>
  <si>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</si>
  <si>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</si>
  <si>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</si>
  <si>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</si>
  <si>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</si>
  <si>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</si>
  <si>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</si>
  <si>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</si>
  <si>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</si>
  <si>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</si>
  <si>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</si>
  <si>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</si>
  <si>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</si>
  <si>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</si>
  <si>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</si>
  <si>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</si>
  <si>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</si>
  <si>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</si>
  <si>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</si>
  <si>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</si>
  <si>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</si>
  <si>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</si>
  <si>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</si>
  <si>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</si>
  <si>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</si>
  <si>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</si>
  <si>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</si>
  <si>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</si>
  <si>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</si>
  <si>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</si>
  <si>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</si>
  <si>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</si>
  <si>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</si>
  <si>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</si>
  <si>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</si>
  <si>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</si>
  <si>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</si>
  <si>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</si>
  <si>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</si>
  <si>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</si>
  <si>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</si>
  <si>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</si>
  <si>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</si>
  <si>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</si>
  <si>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</si>
  <si>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</si>
  <si>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</si>
  <si>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</si>
  <si>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</si>
  <si>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</si>
  <si>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</si>
  <si>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</si>
  <si>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</si>
  <si>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</si>
  <si>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</si>
  <si>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</si>
  <si>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</si>
  <si>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</si>
  <si>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</si>
  <si>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</si>
  <si>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</si>
  <si>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</si>
  <si>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</si>
  <si>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</si>
  <si>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</si>
  <si>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</si>
  <si>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</si>
  <si>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</si>
  <si>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</si>
  <si>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</si>
  <si>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</si>
  <si>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</si>
  <si>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</si>
  <si>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</si>
  <si>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</si>
  <si>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</si>
  <si>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</si>
  <si>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</si>
  <si>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</si>
  <si>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</si>
  <si>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</si>
  <si>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</si>
  <si>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</si>
  <si>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</si>
  <si>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</si>
  <si>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</si>
  <si>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</si>
  <si>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</si>
  <si>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</si>
  <si>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</si>
  <si>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</si>
  <si>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</si>
  <si>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</si>
  <si>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</si>
  <si>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</si>
  <si>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</si>
  <si>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</si>
  <si>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</si>
  <si>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</si>
  <si>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</si>
  <si>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</si>
  <si>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</si>
  <si>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</si>
  <si>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</si>
  <si>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</si>
  <si>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</si>
  <si>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</si>
  <si>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</si>
  <si>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</si>
  <si>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</si>
  <si>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divided by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</si>
</sst>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8" fillId="0" borderId="0" xfId="0" applyFont="1" applyAlignment="1">
      <alignment horizontal="left"/>
    </xf>
    <xf numFmtId="0" fontId="27" fillId="0" borderId="0" xfId="5"/>
    <xf numFmtId="0" fontId="29" fillId="16" borderId="1" xfId="7" applyBorder="1"/>
    <xf numFmtId="0" fontId="17" fillId="0" borderId="0" xfId="0" applyFont="1" applyAlignment="1">
      <alignment horizontal="center" wrapText="1"/>
    </xf>
    <xf numFmtId="0" fontId="0" fillId="0" borderId="4" xfId="0" applyBorder="1"/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LS_NL!$N$1</c:f>
              <c:strCache>
                <c:ptCount val="1"/>
                <c:pt idx="0">
                  <c:v>divided by 20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LS_NL!$N$2:$N$8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88-47D6-8961-E3F8FB46A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12</xdr:row>
      <xdr:rowOff>19050</xdr:rowOff>
    </xdr:from>
    <xdr:to>
      <xdr:col>13</xdr:col>
      <xdr:colOff>266700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94405457-ECCF-4B96-A79F-C6CAD83F785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417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409</v>
      </c>
      <c r="D12" s="13"/>
      <c r="E12" s="13"/>
    </row>
    <row r="13" spans="1:5">
      <c r="A13" s="13"/>
      <c r="B13" s="6" t="s">
        <v>162</v>
      </c>
      <c r="C13" s="13" t="s">
        <v>409</v>
      </c>
      <c r="D13" s="13"/>
    </row>
    <row r="14" spans="1:5">
      <c r="A14" s="13"/>
      <c r="B14" s="6" t="s">
        <v>163</v>
      </c>
      <c r="C14" s="13" t="s">
        <v>409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1" t="s">
        <v>37</v>
      </c>
      <c r="C1" s="52" t="s">
        <v>254</v>
      </c>
      <c r="E1" s="53" t="s">
        <v>35</v>
      </c>
      <c r="F1" s="53" t="s">
        <v>288</v>
      </c>
      <c r="G1" s="53"/>
    </row>
    <row r="2" spans="1:10">
      <c r="A2" s="13" t="s">
        <v>101</v>
      </c>
      <c r="B2" s="13" t="s">
        <v>423</v>
      </c>
      <c r="C2" s="13">
        <v>0</v>
      </c>
      <c r="D2" s="60"/>
      <c r="E2" s="53"/>
      <c r="F2" s="53"/>
      <c r="G2" s="53"/>
    </row>
    <row r="3" spans="1:10">
      <c r="A3" s="13" t="s">
        <v>2</v>
      </c>
      <c r="B3" s="13" t="s">
        <v>210</v>
      </c>
      <c r="C3" s="13">
        <v>0</v>
      </c>
      <c r="D3" s="60"/>
      <c r="E3" s="53"/>
      <c r="F3" s="53"/>
      <c r="G3" s="53"/>
    </row>
    <row r="4" spans="1:10">
      <c r="A4" s="13" t="s">
        <v>102</v>
      </c>
      <c r="B4" s="13" t="s">
        <v>38</v>
      </c>
      <c r="C4" s="13">
        <v>0.34055972755000002</v>
      </c>
      <c r="D4" s="60"/>
      <c r="E4" s="53">
        <v>0.34</v>
      </c>
      <c r="F4" s="53"/>
      <c r="G4" s="53"/>
    </row>
    <row r="5" spans="1:10">
      <c r="A5" s="13" t="s">
        <v>421</v>
      </c>
      <c r="B5" s="13" t="s">
        <v>422</v>
      </c>
      <c r="C5" s="13">
        <v>0.26676</v>
      </c>
      <c r="D5" s="60"/>
      <c r="E5" s="53"/>
      <c r="F5" s="53"/>
      <c r="G5" s="53"/>
    </row>
    <row r="6" spans="1:10">
      <c r="A6" s="13" t="s">
        <v>104</v>
      </c>
      <c r="B6" s="13" t="s">
        <v>40</v>
      </c>
      <c r="C6" s="13">
        <v>0.36399999999999999</v>
      </c>
      <c r="D6" s="60"/>
      <c r="E6" s="53">
        <v>0.26750000000000002</v>
      </c>
      <c r="F6" s="53"/>
      <c r="G6" s="53"/>
      <c r="J6" s="20"/>
    </row>
    <row r="7" spans="1:10">
      <c r="A7" s="13" t="s">
        <v>105</v>
      </c>
      <c r="B7" s="13" t="s">
        <v>39</v>
      </c>
      <c r="C7" s="13">
        <v>0.20195983840000001</v>
      </c>
      <c r="D7" s="60"/>
      <c r="E7" s="53">
        <v>0.41</v>
      </c>
      <c r="F7" s="53"/>
      <c r="G7" s="53"/>
    </row>
    <row r="8" spans="1:10">
      <c r="A8" s="13" t="s">
        <v>106</v>
      </c>
      <c r="B8" s="13" t="s">
        <v>42</v>
      </c>
      <c r="C8" s="13">
        <v>0</v>
      </c>
      <c r="D8" s="60"/>
      <c r="E8" s="53">
        <v>0.20448</v>
      </c>
      <c r="F8" s="53"/>
      <c r="G8" s="53"/>
    </row>
    <row r="9" spans="1:10">
      <c r="A9" s="13" t="s">
        <v>107</v>
      </c>
      <c r="B9" s="13" t="s">
        <v>431</v>
      </c>
      <c r="C9" s="13">
        <v>0</v>
      </c>
      <c r="D9" s="60"/>
      <c r="E9" s="53">
        <v>0</v>
      </c>
      <c r="F9" s="53"/>
      <c r="G9" s="53"/>
      <c r="J9" s="20"/>
    </row>
    <row r="10" spans="1:10">
      <c r="A10" s="13" t="s">
        <v>103</v>
      </c>
      <c r="B10" s="13" t="s">
        <v>294</v>
      </c>
      <c r="C10" s="13">
        <v>0</v>
      </c>
      <c r="D10" s="60"/>
      <c r="E10" s="53"/>
      <c r="F10" s="53"/>
      <c r="G10" s="53"/>
    </row>
    <row r="11" spans="1:10">
      <c r="E11" s="53"/>
      <c r="F11" s="53"/>
      <c r="G11" s="53"/>
      <c r="J11" s="20"/>
    </row>
    <row r="12" spans="1:10">
      <c r="E12" s="53"/>
      <c r="F12" s="53"/>
      <c r="G12" s="53"/>
    </row>
    <row r="14" spans="1:10">
      <c r="A14" s="53"/>
      <c r="E14" s="53"/>
    </row>
    <row r="15" spans="1:10">
      <c r="A15" s="53"/>
      <c r="E15" s="5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423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422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431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27" sqref="F2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400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350</v>
      </c>
    </row>
    <row r="6" spans="1:8">
      <c r="A6" s="13">
        <v>5</v>
      </c>
      <c r="B6" s="13" t="s">
        <v>385</v>
      </c>
      <c r="C6" s="13" t="b">
        <v>1</v>
      </c>
      <c r="D6" s="13">
        <v>250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384</v>
      </c>
      <c r="C8" s="13" t="b">
        <v>1</v>
      </c>
      <c r="D8" s="13">
        <v>300</v>
      </c>
    </row>
    <row r="9" spans="1:8">
      <c r="A9" s="13">
        <v>8</v>
      </c>
      <c r="B9" s="13" t="s">
        <v>456</v>
      </c>
      <c r="C9" s="13" t="b">
        <v>1</v>
      </c>
      <c r="D9" s="13">
        <v>300</v>
      </c>
    </row>
    <row r="10" spans="1:8">
      <c r="A10" s="13"/>
      <c r="B10" s="13"/>
      <c r="C10" s="13"/>
      <c r="D10" s="13"/>
    </row>
    <row r="11" spans="1:8">
      <c r="A11" s="13"/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416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H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2" sqref="A19:I22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9" width="14" customWidth="1"/>
    <col min="10" max="11" width="33.85546875" customWidth="1"/>
    <col min="12" max="12" width="18.42578125" customWidth="1"/>
    <col min="13" max="13" width="15.140625" customWidth="1"/>
    <col min="14" max="14" width="6.42578125" customWidth="1"/>
    <col min="15" max="15" width="15.140625" customWidth="1"/>
    <col min="16" max="16" width="11.140625" customWidth="1"/>
    <col min="17" max="17" width="15.140625" customWidth="1"/>
    <col min="18" max="20" width="10.140625" customWidth="1"/>
    <col min="21" max="23" width="8.42578125" customWidth="1"/>
    <col min="27" max="27" width="11.140625" customWidth="1"/>
    <col min="28" max="28" width="19.28515625" customWidth="1"/>
  </cols>
  <sheetData>
    <row r="1" spans="1:34" ht="55.5" customHeight="1">
      <c r="A1" s="38" t="s">
        <v>123</v>
      </c>
      <c r="B1" s="38" t="s">
        <v>149</v>
      </c>
      <c r="C1" s="56" t="s">
        <v>51</v>
      </c>
      <c r="D1" s="56" t="s">
        <v>52</v>
      </c>
      <c r="E1" s="56" t="s">
        <v>108</v>
      </c>
      <c r="F1" s="56" t="s">
        <v>316</v>
      </c>
      <c r="G1" s="57" t="s">
        <v>211</v>
      </c>
      <c r="H1" s="38" t="s">
        <v>127</v>
      </c>
      <c r="I1" s="38" t="s">
        <v>395</v>
      </c>
      <c r="K1" t="s">
        <v>397</v>
      </c>
      <c r="L1" s="5" t="s">
        <v>109</v>
      </c>
      <c r="M1" s="5" t="s">
        <v>110</v>
      </c>
      <c r="N1" s="5" t="s">
        <v>111</v>
      </c>
      <c r="O1" t="s">
        <v>121</v>
      </c>
      <c r="P1" t="s">
        <v>217</v>
      </c>
      <c r="Q1" s="2" t="s">
        <v>128</v>
      </c>
      <c r="R1" t="s">
        <v>113</v>
      </c>
      <c r="S1" s="2" t="s">
        <v>115</v>
      </c>
      <c r="T1" s="2" t="s">
        <v>115</v>
      </c>
      <c r="U1" t="s">
        <v>61</v>
      </c>
      <c r="V1" t="s">
        <v>62</v>
      </c>
      <c r="W1" t="s">
        <v>47</v>
      </c>
      <c r="X1" t="s">
        <v>48</v>
      </c>
      <c r="Y1" t="s">
        <v>49</v>
      </c>
      <c r="Z1" t="s">
        <v>50</v>
      </c>
      <c r="AB1" s="9" t="s">
        <v>350</v>
      </c>
      <c r="AC1" s="9"/>
    </row>
    <row r="2" spans="1:34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5</v>
      </c>
      <c r="G2" s="67">
        <v>0.93</v>
      </c>
      <c r="H2" s="13" t="s">
        <v>101</v>
      </c>
      <c r="I2" s="13" t="s">
        <v>393</v>
      </c>
      <c r="J2" s="64"/>
      <c r="K2" s="66"/>
      <c r="L2" s="9" t="b">
        <v>1</v>
      </c>
      <c r="M2" s="9">
        <v>1</v>
      </c>
      <c r="N2" s="9">
        <v>1</v>
      </c>
      <c r="O2" s="9">
        <f t="shared" ref="O2:O16" si="0">D2+C2</f>
        <v>4</v>
      </c>
      <c r="P2" s="9">
        <f t="shared" ref="P2" si="1">IF(L2&lt;&gt;"",1,0)</f>
        <v>1</v>
      </c>
      <c r="R2" s="9" t="s">
        <v>114</v>
      </c>
      <c r="S2" s="9">
        <v>500</v>
      </c>
      <c r="T2" s="9">
        <v>500</v>
      </c>
      <c r="U2" s="9" t="s">
        <v>63</v>
      </c>
      <c r="V2" s="9" t="s">
        <v>64</v>
      </c>
      <c r="W2" s="9">
        <v>0</v>
      </c>
      <c r="X2" s="9">
        <v>2.2999999999999998</v>
      </c>
      <c r="Y2" s="9">
        <v>69.542579720367115</v>
      </c>
      <c r="Z2" s="9">
        <v>0</v>
      </c>
    </row>
    <row r="3" spans="1:34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5</v>
      </c>
      <c r="G3" s="67">
        <v>0.92</v>
      </c>
      <c r="H3" s="13" t="s">
        <v>105</v>
      </c>
      <c r="I3" s="13" t="s">
        <v>392</v>
      </c>
      <c r="J3" s="63"/>
      <c r="K3" s="66"/>
      <c r="L3" s="9" t="b">
        <v>1</v>
      </c>
      <c r="M3" s="9">
        <v>1</v>
      </c>
      <c r="N3" s="9">
        <v>1</v>
      </c>
      <c r="O3">
        <f t="shared" si="0"/>
        <v>3</v>
      </c>
      <c r="P3" s="9">
        <f>IF(L3&lt;&gt;"",1,0)</f>
        <v>1</v>
      </c>
      <c r="Q3" s="9"/>
      <c r="R3" s="9" t="s">
        <v>67</v>
      </c>
      <c r="S3" s="9">
        <v>775</v>
      </c>
      <c r="T3" s="9">
        <v>775</v>
      </c>
      <c r="U3" s="9" t="s">
        <v>66</v>
      </c>
      <c r="V3" s="9" t="s">
        <v>67</v>
      </c>
      <c r="W3" s="9">
        <v>56.8</v>
      </c>
      <c r="X3" s="9">
        <v>1.5</v>
      </c>
      <c r="Y3" s="9">
        <v>10.473234339905167</v>
      </c>
      <c r="Z3" s="9">
        <v>0</v>
      </c>
      <c r="AA3" s="9"/>
      <c r="AB3" s="9"/>
      <c r="AC3" s="9"/>
      <c r="AD3" s="9"/>
    </row>
    <row r="4" spans="1:34">
      <c r="A4" s="63" t="s">
        <v>430</v>
      </c>
      <c r="B4" s="13" t="s">
        <v>119</v>
      </c>
      <c r="C4" s="13">
        <v>1</v>
      </c>
      <c r="D4" s="13">
        <v>2</v>
      </c>
      <c r="E4" s="13" t="b">
        <v>0</v>
      </c>
      <c r="F4" s="13">
        <v>5</v>
      </c>
      <c r="G4" s="67">
        <v>0.9</v>
      </c>
      <c r="H4" s="13" t="s">
        <v>105</v>
      </c>
      <c r="I4" s="13" t="s">
        <v>392</v>
      </c>
      <c r="J4" s="63"/>
      <c r="K4" s="66"/>
      <c r="L4" s="9" t="b">
        <v>1</v>
      </c>
      <c r="M4" s="9">
        <v>1</v>
      </c>
      <c r="N4" s="9">
        <v>1</v>
      </c>
      <c r="O4">
        <f t="shared" si="0"/>
        <v>3</v>
      </c>
      <c r="P4" s="9">
        <f t="shared" ref="P4:P11" si="2">IF(L4&lt;&gt;"",1,0)</f>
        <v>1</v>
      </c>
      <c r="Q4" s="9"/>
      <c r="R4" s="9"/>
      <c r="S4" s="9"/>
      <c r="T4" s="9"/>
      <c r="U4" s="9"/>
      <c r="V4" s="9"/>
      <c r="W4" s="9"/>
      <c r="X4" s="9"/>
      <c r="Y4" s="9"/>
      <c r="Z4" s="9"/>
      <c r="AB4" s="9"/>
      <c r="AC4" s="9"/>
    </row>
    <row r="5" spans="1:34">
      <c r="A5" s="13" t="s">
        <v>427</v>
      </c>
      <c r="B5" s="13" t="s">
        <v>119</v>
      </c>
      <c r="C5" s="13">
        <v>1</v>
      </c>
      <c r="D5" s="13">
        <v>4</v>
      </c>
      <c r="E5" s="13" t="b">
        <v>0</v>
      </c>
      <c r="F5" s="13">
        <v>5</v>
      </c>
      <c r="G5" s="67">
        <v>0.9</v>
      </c>
      <c r="H5" s="13" t="s">
        <v>102</v>
      </c>
      <c r="I5" s="13" t="s">
        <v>392</v>
      </c>
      <c r="K5" s="66"/>
      <c r="L5" s="28" t="b">
        <v>0</v>
      </c>
      <c r="M5" s="28">
        <v>1</v>
      </c>
      <c r="N5" s="28">
        <v>1</v>
      </c>
      <c r="O5">
        <f t="shared" si="0"/>
        <v>5</v>
      </c>
      <c r="P5" s="9">
        <f t="shared" si="2"/>
        <v>1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4">
      <c r="A6" s="13" t="s">
        <v>424</v>
      </c>
      <c r="B6" s="13" t="s">
        <v>120</v>
      </c>
      <c r="C6" s="13">
        <v>5</v>
      </c>
      <c r="D6" s="13">
        <v>5</v>
      </c>
      <c r="E6" s="13" t="b">
        <v>0</v>
      </c>
      <c r="F6" s="13">
        <v>20</v>
      </c>
      <c r="G6" s="67">
        <v>0.9</v>
      </c>
      <c r="H6" s="13"/>
      <c r="I6" s="13">
        <v>7.0000000000000007E-2</v>
      </c>
      <c r="J6" s="64"/>
      <c r="K6" s="66"/>
      <c r="L6" s="28" t="b">
        <v>0</v>
      </c>
      <c r="M6" s="28">
        <v>1</v>
      </c>
      <c r="N6" s="28">
        <v>1</v>
      </c>
      <c r="O6">
        <f t="shared" si="0"/>
        <v>10</v>
      </c>
      <c r="P6" s="9">
        <f t="shared" si="2"/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B6" s="9"/>
      <c r="AC6" s="9"/>
      <c r="AE6" s="9"/>
      <c r="AF6" s="9"/>
      <c r="AG6" s="9"/>
      <c r="AH6" s="9"/>
    </row>
    <row r="7" spans="1:34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5</v>
      </c>
      <c r="G7" s="67">
        <v>0.92</v>
      </c>
      <c r="H7" s="13" t="s">
        <v>103</v>
      </c>
      <c r="I7" s="13" t="s">
        <v>392</v>
      </c>
      <c r="J7" s="64"/>
      <c r="K7" s="66"/>
      <c r="L7" s="9" t="b">
        <v>1</v>
      </c>
      <c r="M7" s="9">
        <v>1</v>
      </c>
      <c r="N7" s="9">
        <v>1</v>
      </c>
      <c r="O7">
        <f t="shared" si="0"/>
        <v>4</v>
      </c>
      <c r="P7" s="9">
        <f t="shared" si="2"/>
        <v>1</v>
      </c>
      <c r="Q7" s="9" t="s">
        <v>125</v>
      </c>
      <c r="R7" s="27" t="s">
        <v>118</v>
      </c>
      <c r="S7" s="9">
        <v>600</v>
      </c>
      <c r="T7" s="9"/>
      <c r="U7" s="9" t="s">
        <v>73</v>
      </c>
      <c r="V7" s="9" t="s">
        <v>75</v>
      </c>
      <c r="W7" s="9">
        <v>0</v>
      </c>
      <c r="X7" s="9">
        <v>2</v>
      </c>
      <c r="Y7" s="9">
        <v>47.8</v>
      </c>
      <c r="Z7" s="9">
        <v>0</v>
      </c>
      <c r="AA7" s="9"/>
      <c r="AB7" s="9"/>
      <c r="AC7" s="9"/>
      <c r="AD7" s="9"/>
    </row>
    <row r="8" spans="1:34">
      <c r="A8" s="13" t="s">
        <v>456</v>
      </c>
      <c r="B8" s="13" t="s">
        <v>119</v>
      </c>
      <c r="C8" s="13">
        <v>2</v>
      </c>
      <c r="D8" s="13">
        <v>2</v>
      </c>
      <c r="E8" s="13" t="b">
        <v>0</v>
      </c>
      <c r="F8" s="13">
        <v>5</v>
      </c>
      <c r="G8" s="67">
        <v>0.91</v>
      </c>
      <c r="H8" s="13" t="s">
        <v>103</v>
      </c>
      <c r="I8" s="13" t="s">
        <v>392</v>
      </c>
      <c r="J8" s="64"/>
      <c r="K8" s="66"/>
      <c r="L8" s="9" t="b">
        <v>1</v>
      </c>
      <c r="M8" s="9">
        <v>1</v>
      </c>
      <c r="N8" s="9">
        <v>1</v>
      </c>
      <c r="O8">
        <f t="shared" si="0"/>
        <v>4</v>
      </c>
      <c r="P8" s="9">
        <f t="shared" si="2"/>
        <v>1</v>
      </c>
      <c r="Q8" s="9" t="s">
        <v>125</v>
      </c>
      <c r="R8" s="27" t="s">
        <v>117</v>
      </c>
      <c r="S8" s="9">
        <v>600</v>
      </c>
      <c r="T8" s="9"/>
      <c r="U8" s="9" t="s">
        <v>73</v>
      </c>
      <c r="V8" s="9" t="s">
        <v>74</v>
      </c>
      <c r="W8" s="9">
        <v>0</v>
      </c>
      <c r="X8" s="9">
        <v>1.5</v>
      </c>
      <c r="Y8" s="9">
        <v>33.9</v>
      </c>
      <c r="Z8" s="9">
        <v>0</v>
      </c>
      <c r="AA8" s="9"/>
      <c r="AB8" s="9"/>
      <c r="AC8" s="9"/>
      <c r="AD8" s="9"/>
      <c r="AE8" s="9"/>
      <c r="AF8" s="9"/>
      <c r="AG8" s="9"/>
      <c r="AH8" s="9"/>
    </row>
    <row r="9" spans="1:34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3</v>
      </c>
      <c r="G9" s="67">
        <v>0.92</v>
      </c>
      <c r="H9" s="13" t="s">
        <v>103</v>
      </c>
      <c r="I9" s="13" t="s">
        <v>392</v>
      </c>
      <c r="J9" s="64"/>
      <c r="K9" s="66"/>
      <c r="L9" s="9" t="b">
        <v>1</v>
      </c>
      <c r="M9" s="9">
        <v>1</v>
      </c>
      <c r="N9" s="9">
        <v>1</v>
      </c>
      <c r="O9">
        <f t="shared" si="0"/>
        <v>4</v>
      </c>
      <c r="P9" s="9">
        <f t="shared" si="2"/>
        <v>1</v>
      </c>
      <c r="Q9" s="9" t="s">
        <v>125</v>
      </c>
      <c r="R9" s="27" t="s">
        <v>116</v>
      </c>
      <c r="S9" s="9">
        <v>500</v>
      </c>
      <c r="U9" s="9" t="s">
        <v>71</v>
      </c>
      <c r="V9" s="9" t="s">
        <v>72</v>
      </c>
      <c r="W9" s="9">
        <v>0</v>
      </c>
      <c r="X9" s="9">
        <v>0</v>
      </c>
      <c r="Y9" s="9">
        <v>6.3</v>
      </c>
      <c r="Z9" s="9">
        <v>0</v>
      </c>
      <c r="AA9"/>
      <c r="AD9"/>
    </row>
    <row r="10" spans="1:34">
      <c r="A10" s="61" t="s">
        <v>425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20</v>
      </c>
      <c r="G10" s="67">
        <v>0.41</v>
      </c>
      <c r="H10" s="13"/>
      <c r="I10" s="13" t="s">
        <v>393</v>
      </c>
      <c r="J10" s="63"/>
      <c r="K10" s="66"/>
      <c r="O10">
        <f t="shared" si="0"/>
        <v>0</v>
      </c>
      <c r="P10">
        <f>IF(L10&lt;&gt;"",1,0)</f>
        <v>0</v>
      </c>
      <c r="Q10" t="s">
        <v>125</v>
      </c>
      <c r="R10" s="27"/>
      <c r="S10" s="9"/>
      <c r="T10" s="9"/>
      <c r="U10" s="9"/>
      <c r="V10" s="9"/>
      <c r="W10" s="9"/>
      <c r="X10" s="9"/>
      <c r="Y10" s="9"/>
      <c r="Z10" s="9"/>
      <c r="AB10" s="9"/>
      <c r="AC10" s="9"/>
    </row>
    <row r="11" spans="1:34" s="9" customFormat="1">
      <c r="A11" s="13" t="s">
        <v>429</v>
      </c>
      <c r="B11" s="13" t="s">
        <v>119</v>
      </c>
      <c r="C11" s="13">
        <v>1</v>
      </c>
      <c r="D11" s="13">
        <v>5</v>
      </c>
      <c r="E11" s="13" t="b">
        <v>0</v>
      </c>
      <c r="F11" s="13">
        <v>5</v>
      </c>
      <c r="G11" s="67">
        <v>0.9</v>
      </c>
      <c r="H11" s="13" t="s">
        <v>104</v>
      </c>
      <c r="I11" s="13" t="s">
        <v>392</v>
      </c>
      <c r="J11" s="62"/>
      <c r="K11" s="66" t="s">
        <v>458</v>
      </c>
      <c r="L11" s="9">
        <f>L29</f>
        <v>0</v>
      </c>
      <c r="M11" s="9">
        <f>M29</f>
        <v>0</v>
      </c>
      <c r="N11" s="9">
        <f>N29</f>
        <v>0</v>
      </c>
      <c r="O11">
        <f t="shared" si="0"/>
        <v>6</v>
      </c>
      <c r="P11" s="9">
        <f t="shared" si="2"/>
        <v>1</v>
      </c>
      <c r="Q11" s="9" t="s">
        <v>103</v>
      </c>
      <c r="AE11"/>
      <c r="AF11"/>
      <c r="AG11"/>
      <c r="AH11"/>
    </row>
    <row r="12" spans="1:34" s="9" customFormat="1">
      <c r="A12" s="13" t="s">
        <v>387</v>
      </c>
      <c r="B12" s="13" t="s">
        <v>146</v>
      </c>
      <c r="C12" s="58">
        <v>0</v>
      </c>
      <c r="D12" s="58">
        <v>1</v>
      </c>
      <c r="E12" s="13" t="b">
        <v>0</v>
      </c>
      <c r="F12" s="13">
        <v>0</v>
      </c>
      <c r="G12" s="67">
        <v>0.56000000000000005</v>
      </c>
      <c r="H12" s="13"/>
      <c r="I12" s="13" t="s">
        <v>393</v>
      </c>
      <c r="J12" s="64"/>
      <c r="K12" s="67">
        <v>0.79</v>
      </c>
      <c r="L12"/>
      <c r="M12"/>
      <c r="N12"/>
      <c r="O12">
        <f t="shared" si="0"/>
        <v>1</v>
      </c>
      <c r="P12"/>
      <c r="Q12"/>
      <c r="R12"/>
      <c r="S12"/>
      <c r="T12"/>
      <c r="U12"/>
      <c r="V12"/>
      <c r="W12"/>
      <c r="X12"/>
      <c r="Y12"/>
      <c r="Z12"/>
      <c r="AA12"/>
      <c r="AD12"/>
    </row>
    <row r="13" spans="1:34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10</v>
      </c>
      <c r="G13" s="67">
        <v>0.8</v>
      </c>
      <c r="H13" s="13" t="s">
        <v>106</v>
      </c>
      <c r="I13" s="13" t="s">
        <v>394</v>
      </c>
      <c r="J13" s="64"/>
      <c r="K13" s="66"/>
      <c r="O13">
        <f t="shared" si="0"/>
        <v>7</v>
      </c>
      <c r="AB13" s="9"/>
      <c r="AC13" s="9"/>
    </row>
    <row r="14" spans="1:34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7">
        <v>0.91</v>
      </c>
      <c r="H14" s="13" t="s">
        <v>105</v>
      </c>
      <c r="I14" s="13" t="s">
        <v>392</v>
      </c>
      <c r="J14" s="64"/>
      <c r="K14" s="66"/>
      <c r="O14">
        <f t="shared" si="0"/>
        <v>3</v>
      </c>
      <c r="AB14" s="9"/>
      <c r="AC14" s="9"/>
    </row>
    <row r="15" spans="1:34" s="9" customFormat="1">
      <c r="A15" s="61" t="s">
        <v>428</v>
      </c>
      <c r="B15" s="13" t="s">
        <v>119</v>
      </c>
      <c r="C15" s="13">
        <v>1</v>
      </c>
      <c r="D15" s="13">
        <v>1</v>
      </c>
      <c r="E15" s="13" t="b">
        <v>0</v>
      </c>
      <c r="F15" s="13">
        <v>5</v>
      </c>
      <c r="G15" s="67">
        <v>0.95</v>
      </c>
      <c r="H15" s="13" t="s">
        <v>421</v>
      </c>
      <c r="I15" s="13" t="s">
        <v>392</v>
      </c>
      <c r="J15" s="62"/>
      <c r="K15" s="66"/>
      <c r="L15" s="9" t="b">
        <v>1</v>
      </c>
      <c r="M15" s="9">
        <v>1</v>
      </c>
      <c r="N15" s="9">
        <v>1</v>
      </c>
      <c r="O15">
        <f t="shared" si="0"/>
        <v>2</v>
      </c>
      <c r="P15" s="9">
        <f>IF(L15&lt;&gt;"",1,0)</f>
        <v>1</v>
      </c>
      <c r="AD15"/>
      <c r="AE15"/>
      <c r="AF15"/>
      <c r="AG15"/>
      <c r="AH15"/>
    </row>
    <row r="16" spans="1:34">
      <c r="A16" s="62" t="s">
        <v>426</v>
      </c>
      <c r="B16" s="13" t="s">
        <v>146</v>
      </c>
      <c r="C16" s="58">
        <v>3</v>
      </c>
      <c r="D16" s="58">
        <v>4</v>
      </c>
      <c r="E16" s="13" t="b">
        <v>0</v>
      </c>
      <c r="F16" s="13">
        <v>20</v>
      </c>
      <c r="G16" s="67">
        <v>0.9</v>
      </c>
      <c r="H16" s="13"/>
      <c r="I16" s="13" t="s">
        <v>393</v>
      </c>
      <c r="J16" s="65"/>
      <c r="K16" s="66"/>
      <c r="L16" t="b">
        <v>1</v>
      </c>
      <c r="M16">
        <v>1</v>
      </c>
      <c r="N16">
        <v>1</v>
      </c>
      <c r="O16">
        <f t="shared" si="0"/>
        <v>7</v>
      </c>
      <c r="P16">
        <f>IF(L16&lt;&gt;"",1,0)</f>
        <v>1</v>
      </c>
      <c r="AC16" s="9"/>
    </row>
    <row r="17" spans="1:29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1</v>
      </c>
      <c r="G17" s="67">
        <v>0.01</v>
      </c>
      <c r="H17" s="13"/>
      <c r="I17" s="13" t="s">
        <v>393</v>
      </c>
      <c r="K17" s="66"/>
      <c r="O17" t="e">
        <f>#REF!+#REF!</f>
        <v>#REF!</v>
      </c>
      <c r="P17">
        <f>IF(L17&lt;&gt;"",1,0)</f>
        <v>0</v>
      </c>
      <c r="Q17" t="s">
        <v>126</v>
      </c>
      <c r="U17" t="s">
        <v>66</v>
      </c>
      <c r="V17" t="s">
        <v>68</v>
      </c>
      <c r="W17">
        <v>8.52</v>
      </c>
      <c r="X17">
        <v>6.11</v>
      </c>
      <c r="Y17">
        <v>32</v>
      </c>
      <c r="Z17">
        <v>14</v>
      </c>
    </row>
    <row r="18" spans="1:29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1</v>
      </c>
      <c r="G18" s="67">
        <v>0.01</v>
      </c>
      <c r="H18" s="13"/>
      <c r="I18" s="13" t="s">
        <v>393</v>
      </c>
      <c r="J18" s="66"/>
      <c r="K18" s="66"/>
    </row>
    <row r="19" spans="1:29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3</v>
      </c>
      <c r="G19" s="67">
        <v>0.13</v>
      </c>
      <c r="H19" s="13"/>
      <c r="I19" s="13" t="s">
        <v>393</v>
      </c>
      <c r="J19" s="66"/>
      <c r="K19" s="66"/>
    </row>
    <row r="20" spans="1:29">
      <c r="A20" s="13" t="s">
        <v>385</v>
      </c>
      <c r="B20" s="13" t="s">
        <v>120</v>
      </c>
      <c r="C20" s="13">
        <v>1</v>
      </c>
      <c r="D20" s="13">
        <v>2</v>
      </c>
      <c r="E20" s="13" t="b">
        <v>1</v>
      </c>
      <c r="F20" s="13">
        <v>2</v>
      </c>
      <c r="G20" s="67">
        <v>0.09</v>
      </c>
      <c r="H20" s="13"/>
      <c r="I20" s="13" t="s">
        <v>393</v>
      </c>
      <c r="J20" s="66"/>
      <c r="K20" s="66"/>
    </row>
    <row r="21" spans="1:29">
      <c r="A21" s="13" t="s">
        <v>293</v>
      </c>
      <c r="B21" s="13" t="s">
        <v>119</v>
      </c>
      <c r="C21" s="13">
        <v>0</v>
      </c>
      <c r="D21" s="13">
        <v>0</v>
      </c>
      <c r="E21" s="13" t="b">
        <v>0</v>
      </c>
      <c r="F21" s="13">
        <v>0</v>
      </c>
      <c r="G21" s="67">
        <v>0</v>
      </c>
      <c r="H21" s="13"/>
      <c r="I21" s="64">
        <v>7.0000000000000007E-2</v>
      </c>
      <c r="J21" s="66"/>
      <c r="K21" s="66"/>
    </row>
    <row r="22" spans="1:29">
      <c r="A22" s="13" t="s">
        <v>432</v>
      </c>
      <c r="B22" s="13" t="s">
        <v>119</v>
      </c>
      <c r="C22" s="13">
        <v>0</v>
      </c>
      <c r="D22" s="13">
        <v>0</v>
      </c>
      <c r="E22" s="13" t="b">
        <v>0</v>
      </c>
      <c r="F22" s="13">
        <v>0</v>
      </c>
      <c r="G22" s="67">
        <v>0</v>
      </c>
      <c r="H22" s="13" t="s">
        <v>105</v>
      </c>
      <c r="I22" s="64">
        <v>7.0000000000000007E-2</v>
      </c>
      <c r="K22" t="s">
        <v>433</v>
      </c>
      <c r="L22" s="9"/>
      <c r="M22" s="9"/>
      <c r="N22" s="9"/>
    </row>
    <row r="24" spans="1:29">
      <c r="G24" t="s">
        <v>457</v>
      </c>
    </row>
    <row r="26" spans="1:29" s="9" customFormat="1">
      <c r="A26"/>
      <c r="B26"/>
      <c r="C26"/>
      <c r="D26"/>
      <c r="E26"/>
      <c r="F26"/>
      <c r="G26"/>
      <c r="H26"/>
      <c r="I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B26"/>
      <c r="AC26"/>
    </row>
    <row r="28" spans="1:29" s="9" customFormat="1">
      <c r="A28"/>
      <c r="B28"/>
      <c r="C28"/>
      <c r="D28"/>
      <c r="E28"/>
      <c r="F28"/>
      <c r="G28"/>
      <c r="H28"/>
      <c r="I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B28"/>
      <c r="AC28"/>
    </row>
    <row r="29" spans="1:29" s="9" customFormat="1">
      <c r="A29"/>
      <c r="B29"/>
      <c r="C29"/>
      <c r="D29"/>
      <c r="E29"/>
      <c r="F29"/>
      <c r="G29"/>
      <c r="H29"/>
      <c r="I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B29"/>
      <c r="AC29"/>
    </row>
    <row r="30" spans="1:29" s="9" customFormat="1">
      <c r="A30"/>
      <c r="B30"/>
      <c r="C30"/>
      <c r="D30"/>
      <c r="E30"/>
      <c r="F30"/>
      <c r="G30"/>
      <c r="H30"/>
      <c r="I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B30"/>
      <c r="AC30"/>
    </row>
    <row r="31" spans="1:29" s="9" customFormat="1">
      <c r="A31"/>
      <c r="B31"/>
      <c r="C31"/>
      <c r="D31"/>
      <c r="E31"/>
      <c r="F31"/>
      <c r="G31"/>
      <c r="H31"/>
      <c r="I31"/>
      <c r="N31"/>
      <c r="O31"/>
      <c r="P31"/>
      <c r="Q31"/>
      <c r="R31"/>
      <c r="S31"/>
      <c r="T31"/>
      <c r="U31"/>
      <c r="V31"/>
      <c r="W31"/>
      <c r="X31"/>
      <c r="Y31"/>
      <c r="Z31"/>
      <c r="AB31"/>
      <c r="AC31"/>
    </row>
    <row r="32" spans="1:29" s="9" customFormat="1">
      <c r="A32"/>
      <c r="B32"/>
      <c r="C32"/>
      <c r="D32"/>
      <c r="E32"/>
      <c r="F32"/>
      <c r="G32"/>
      <c r="H32"/>
      <c r="I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B32"/>
      <c r="AC32"/>
    </row>
    <row r="37" spans="1:29" s="9" customFormat="1">
      <c r="A37"/>
      <c r="B37"/>
      <c r="C37"/>
      <c r="D37"/>
      <c r="E37"/>
      <c r="F37"/>
      <c r="G37"/>
      <c r="H37"/>
      <c r="I37"/>
      <c r="R37"/>
      <c r="S37"/>
      <c r="T37"/>
      <c r="U37"/>
      <c r="V37"/>
      <c r="W37"/>
      <c r="X37"/>
      <c r="Y37"/>
      <c r="Z37"/>
      <c r="AB37"/>
      <c r="AC37"/>
    </row>
    <row r="38" spans="1:29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6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ACTIVE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ACTIVE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ACTIVE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9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9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9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9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9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9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9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9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9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9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9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9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9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9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9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9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9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9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9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9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9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9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9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9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9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9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9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9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9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9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9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9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9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9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9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9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9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9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9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9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9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9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G25" sqref="G25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50" t="s">
        <v>0</v>
      </c>
      <c r="B1" s="50" t="s">
        <v>9</v>
      </c>
      <c r="C1" s="50" t="s">
        <v>10</v>
      </c>
      <c r="D1" s="50" t="s">
        <v>12</v>
      </c>
      <c r="E1" s="50" t="s">
        <v>14</v>
      </c>
      <c r="F1" s="50" t="s">
        <v>15</v>
      </c>
      <c r="G1" s="50" t="s">
        <v>16</v>
      </c>
      <c r="H1" s="50" t="s">
        <v>17</v>
      </c>
      <c r="I1" s="50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L6"/>
  <sheetViews>
    <sheetView zoomScale="115" zoomScaleNormal="115" workbookViewId="0">
      <selection activeCell="B27" sqref="B27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3" t="s">
        <v>347</v>
      </c>
      <c r="B1" s="13" t="s">
        <v>365</v>
      </c>
      <c r="D1">
        <f>D2*2</f>
        <v>11775.328767123288</v>
      </c>
    </row>
    <row r="2" spans="1:12">
      <c r="A2" s="13" t="s">
        <v>339</v>
      </c>
      <c r="B2" s="13">
        <v>11775</v>
      </c>
      <c r="D2">
        <f>B3/730</f>
        <v>5887.6643835616442</v>
      </c>
      <c r="E2" t="s">
        <v>346</v>
      </c>
    </row>
    <row r="3" spans="1:12">
      <c r="A3" s="13" t="s">
        <v>340</v>
      </c>
      <c r="B3" s="47">
        <f>J3/12</f>
        <v>4297995</v>
      </c>
      <c r="D3" t="s">
        <v>345</v>
      </c>
      <c r="J3">
        <v>51575940</v>
      </c>
      <c r="K3">
        <v>51.575940000000003</v>
      </c>
      <c r="L3" t="s">
        <v>260</v>
      </c>
    </row>
    <row r="4" spans="1:12">
      <c r="A4" s="13" t="s">
        <v>366</v>
      </c>
      <c r="B4" s="13" t="s">
        <v>368</v>
      </c>
      <c r="D4" s="36" t="s">
        <v>367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sheetPr>
    <tabColor theme="7" tint="0.79998168889431442"/>
  </sheetPr>
  <dimension ref="A1:M20"/>
  <sheetViews>
    <sheetView zoomScale="115" zoomScaleNormal="115" workbookViewId="0">
      <selection activeCell="E18" sqref="E18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419</v>
      </c>
      <c r="I1" s="18" t="s">
        <v>420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4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4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4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4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4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4"/>
      <c r="L8" s="44"/>
    </row>
    <row r="9" spans="1:13">
      <c r="J9" s="44"/>
      <c r="K9" s="55" t="s">
        <v>397</v>
      </c>
      <c r="L9" s="55" t="s">
        <v>402</v>
      </c>
    </row>
    <row r="10" spans="1:13">
      <c r="J10" s="44"/>
      <c r="K10" s="55">
        <v>47000</v>
      </c>
      <c r="L10" s="55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O23"/>
  <sheetViews>
    <sheetView tabSelected="1" topLeftCell="C1" zoomScale="115" zoomScaleNormal="115" workbookViewId="0">
      <selection activeCell="F29" sqref="F29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9"/>
      <c r="H1" s="18"/>
      <c r="I1" s="18"/>
      <c r="J1" s="18" t="s">
        <v>450</v>
      </c>
      <c r="K1" s="18" t="s">
        <v>420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4081.7323076923076</v>
      </c>
      <c r="G2" s="16"/>
      <c r="I2" s="24"/>
      <c r="J2">
        <f>F2*E2</f>
        <v>12245.196923076923</v>
      </c>
      <c r="K2">
        <v>500</v>
      </c>
      <c r="L2" s="44"/>
      <c r="M2" s="54">
        <f>$M$10/E2</f>
        <v>15666.666666666666</v>
      </c>
      <c r="N2" s="44">
        <f>+F2*E2</f>
        <v>12245.196923076923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3397.68</v>
      </c>
      <c r="G3" s="16"/>
      <c r="I3" s="24"/>
      <c r="J3">
        <f t="shared" ref="J3:J6" si="2">F3*E3</f>
        <v>20386.079999999998</v>
      </c>
      <c r="L3" s="44"/>
      <c r="M3" s="54">
        <f>N3/E3</f>
        <v>3397.68</v>
      </c>
      <c r="N3" s="44">
        <f t="shared" ref="N3:N6" si="3">+F3*E3</f>
        <v>20386.079999999998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2539.580606060606</v>
      </c>
      <c r="G4" s="16"/>
      <c r="I4" s="24"/>
      <c r="J4">
        <f t="shared" si="2"/>
        <v>25395.806060606061</v>
      </c>
      <c r="L4" s="44"/>
      <c r="M4" s="54">
        <f>N4/E4</f>
        <v>2539.580606060606</v>
      </c>
      <c r="N4" s="44">
        <f t="shared" si="3"/>
        <v>25395.806060606061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1708</v>
      </c>
      <c r="G5" s="16"/>
      <c r="I5" s="24"/>
      <c r="J5">
        <f t="shared" si="2"/>
        <v>34160</v>
      </c>
      <c r="L5" s="44"/>
      <c r="M5" s="54">
        <f>N5/E5</f>
        <v>1708</v>
      </c>
      <c r="N5" s="44">
        <f t="shared" si="3"/>
        <v>34160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1308.92</v>
      </c>
      <c r="G6" s="16"/>
      <c r="I6" s="24"/>
      <c r="J6">
        <f t="shared" si="2"/>
        <v>39267.600000000006</v>
      </c>
      <c r="K6">
        <v>490</v>
      </c>
      <c r="L6" s="44"/>
      <c r="M6" s="54">
        <f>N6/E6</f>
        <v>1308.9200000000003</v>
      </c>
      <c r="N6" s="44">
        <f t="shared" si="3"/>
        <v>39267.600000000006</v>
      </c>
      <c r="O6" s="16"/>
    </row>
    <row r="7" spans="1:15">
      <c r="A7" s="13">
        <v>6</v>
      </c>
      <c r="B7" s="13" t="str">
        <f t="shared" ref="B7:B8" si="4">CONCATENATE("amiris-config/data/LS_",A7,".csv")</f>
        <v>amiris-config/data/LS_6.csv</v>
      </c>
      <c r="C7" s="13" t="str">
        <f t="shared" ref="C7:C8" si="5">CONCATENATE("amiris-config/data/future_LS_",A7,".csv")</f>
        <v>amiris-config/data/future_LS_6.csv</v>
      </c>
      <c r="D7" s="13" t="s">
        <v>69</v>
      </c>
      <c r="E7" s="34">
        <v>40</v>
      </c>
      <c r="F7" s="34">
        <v>1217.1600000000001</v>
      </c>
      <c r="G7" s="16"/>
      <c r="H7" s="44"/>
      <c r="I7" s="24"/>
      <c r="L7" s="44"/>
      <c r="M7" s="44" t="s">
        <v>69</v>
      </c>
      <c r="N7" s="44"/>
    </row>
    <row r="8" spans="1:15">
      <c r="A8" s="13">
        <v>7</v>
      </c>
      <c r="B8" s="13" t="str">
        <f t="shared" si="4"/>
        <v>amiris-config/data/LS_7.csv</v>
      </c>
      <c r="C8" s="13" t="str">
        <f t="shared" si="5"/>
        <v>amiris-config/data/future_LS_7.csv</v>
      </c>
      <c r="D8" s="13" t="s">
        <v>69</v>
      </c>
      <c r="E8" s="34">
        <v>50</v>
      </c>
      <c r="F8" s="34">
        <v>791.4</v>
      </c>
      <c r="G8" s="16"/>
      <c r="H8" s="44"/>
      <c r="I8" s="24"/>
      <c r="L8" s="44"/>
      <c r="M8" s="54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29090</f>
        <v>29090</v>
      </c>
      <c r="E9" s="13"/>
      <c r="F9" s="13"/>
      <c r="L9" s="44"/>
      <c r="M9" s="55" t="s">
        <v>397</v>
      </c>
      <c r="N9" s="55" t="s">
        <v>402</v>
      </c>
    </row>
    <row r="10" spans="1:15">
      <c r="L10" s="44"/>
      <c r="M10" s="55">
        <v>47000</v>
      </c>
      <c r="N10" s="55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L13" s="44"/>
      <c r="M13" s="44"/>
      <c r="N13" s="44"/>
    </row>
    <row r="14" spans="1:15">
      <c r="L14" s="44"/>
      <c r="M14" s="44"/>
      <c r="N14" s="44"/>
    </row>
    <row r="15" spans="1:15">
      <c r="L15" s="44"/>
      <c r="M15" s="44"/>
      <c r="N15" s="44"/>
    </row>
    <row r="16" spans="1:15">
      <c r="L16" s="44"/>
      <c r="M16" s="44"/>
      <c r="N16" s="44"/>
    </row>
    <row r="22" spans="8:8">
      <c r="H22" s="44"/>
    </row>
    <row r="23" spans="8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I17"/>
  <sheetViews>
    <sheetView workbookViewId="0">
      <selection activeCell="H2" sqref="B2:H2"/>
    </sheetView>
  </sheetViews>
  <sheetFormatPr defaultRowHeight="15"/>
  <cols>
    <col min="1" max="1" width="34.5703125" customWidth="1"/>
  </cols>
  <sheetData>
    <row r="1" spans="1:9">
      <c r="A1" s="13" t="s">
        <v>359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 t="s">
        <v>103</v>
      </c>
    </row>
    <row r="2" spans="1:9">
      <c r="A2" s="13">
        <v>2050</v>
      </c>
      <c r="B2" s="45">
        <v>0.13</v>
      </c>
      <c r="C2" s="45">
        <v>0.13</v>
      </c>
      <c r="D2" s="45">
        <v>0.33</v>
      </c>
      <c r="E2" s="45">
        <v>0.09</v>
      </c>
      <c r="F2" s="45">
        <v>0.21</v>
      </c>
      <c r="G2" s="45">
        <v>0.08</v>
      </c>
      <c r="H2" s="45">
        <v>0.03</v>
      </c>
      <c r="I2" t="s">
        <v>69</v>
      </c>
    </row>
    <row r="9" spans="1:9">
      <c r="F9" s="42"/>
    </row>
    <row r="11" spans="1:9">
      <c r="H11" s="42"/>
    </row>
    <row r="12" spans="1:9">
      <c r="H12" s="42"/>
    </row>
    <row r="13" spans="1:9">
      <c r="H13" s="42"/>
    </row>
    <row r="14" spans="1:9">
      <c r="H14" s="42"/>
    </row>
    <row r="15" spans="1:9">
      <c r="H15" s="42"/>
    </row>
    <row r="17" spans="8:8">
      <c r="H17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3" t="s">
        <v>382</v>
      </c>
      <c r="B2" s="13" t="s">
        <v>208</v>
      </c>
      <c r="C2" s="13">
        <v>1</v>
      </c>
      <c r="E2" t="s">
        <v>265</v>
      </c>
    </row>
    <row r="3" spans="1:7">
      <c r="A3" s="63" t="s">
        <v>67</v>
      </c>
      <c r="B3" s="13" t="s">
        <v>208</v>
      </c>
      <c r="C3" s="13">
        <v>2</v>
      </c>
      <c r="E3" t="s">
        <v>410</v>
      </c>
    </row>
    <row r="4" spans="1:7">
      <c r="A4" s="63" t="s">
        <v>430</v>
      </c>
      <c r="B4" s="13" t="s">
        <v>208</v>
      </c>
      <c r="C4" s="13">
        <v>3</v>
      </c>
    </row>
    <row r="5" spans="1:7">
      <c r="A5" s="63" t="s">
        <v>427</v>
      </c>
      <c r="B5" s="13" t="s">
        <v>208</v>
      </c>
      <c r="C5" s="13">
        <v>4</v>
      </c>
    </row>
    <row r="6" spans="1:7">
      <c r="A6" s="63" t="s">
        <v>424</v>
      </c>
      <c r="B6" s="13" t="s">
        <v>195</v>
      </c>
      <c r="C6" s="13">
        <v>5</v>
      </c>
    </row>
    <row r="7" spans="1:7">
      <c r="A7" s="63" t="s">
        <v>389</v>
      </c>
      <c r="B7" s="13" t="s">
        <v>208</v>
      </c>
      <c r="C7" s="13">
        <v>6</v>
      </c>
      <c r="G7" s="9"/>
    </row>
    <row r="8" spans="1:7">
      <c r="A8" s="63" t="s">
        <v>456</v>
      </c>
      <c r="B8" s="13" t="s">
        <v>208</v>
      </c>
      <c r="C8" s="13">
        <v>7</v>
      </c>
      <c r="G8" s="9"/>
    </row>
    <row r="9" spans="1:7">
      <c r="A9" s="63" t="s">
        <v>388</v>
      </c>
      <c r="B9" s="13" t="s">
        <v>208</v>
      </c>
      <c r="C9" s="13">
        <v>8</v>
      </c>
      <c r="G9" s="9"/>
    </row>
    <row r="10" spans="1:7">
      <c r="A10" s="63" t="s">
        <v>425</v>
      </c>
      <c r="B10" s="13" t="s">
        <v>195</v>
      </c>
      <c r="C10" s="13">
        <v>9</v>
      </c>
      <c r="G10" s="9"/>
    </row>
    <row r="11" spans="1:7">
      <c r="A11" s="63" t="s">
        <v>429</v>
      </c>
      <c r="B11" s="13" t="s">
        <v>208</v>
      </c>
      <c r="C11" s="13">
        <v>10</v>
      </c>
      <c r="G11" s="9"/>
    </row>
    <row r="12" spans="1:7">
      <c r="A12" s="63" t="s">
        <v>387</v>
      </c>
      <c r="B12" s="13" t="s">
        <v>208</v>
      </c>
      <c r="C12" s="13">
        <v>11</v>
      </c>
      <c r="G12" s="9"/>
    </row>
    <row r="13" spans="1:7">
      <c r="A13" s="63" t="s">
        <v>41</v>
      </c>
      <c r="B13" s="13" t="s">
        <v>208</v>
      </c>
      <c r="C13" s="13">
        <v>12</v>
      </c>
    </row>
    <row r="14" spans="1:7">
      <c r="A14" s="63" t="s">
        <v>89</v>
      </c>
      <c r="B14" s="13" t="s">
        <v>208</v>
      </c>
      <c r="C14" s="13">
        <v>13</v>
      </c>
    </row>
    <row r="15" spans="1:7">
      <c r="A15" s="63" t="s">
        <v>428</v>
      </c>
      <c r="B15" s="13" t="s">
        <v>208</v>
      </c>
      <c r="C15" s="13">
        <v>14</v>
      </c>
    </row>
    <row r="16" spans="1:7">
      <c r="A16" s="63" t="s">
        <v>426</v>
      </c>
      <c r="B16" s="13" t="s">
        <v>208</v>
      </c>
      <c r="C16" s="13">
        <v>15</v>
      </c>
    </row>
    <row r="17" spans="1:7">
      <c r="A17" s="63" t="s">
        <v>383</v>
      </c>
      <c r="B17" s="13" t="s">
        <v>196</v>
      </c>
      <c r="C17" s="13">
        <v>16</v>
      </c>
    </row>
    <row r="18" spans="1:7">
      <c r="A18" s="63" t="s">
        <v>384</v>
      </c>
      <c r="B18" s="13" t="s">
        <v>192</v>
      </c>
      <c r="C18" s="13">
        <v>17</v>
      </c>
    </row>
    <row r="19" spans="1:7">
      <c r="A19" s="63" t="s">
        <v>386</v>
      </c>
      <c r="B19" s="13" t="s">
        <v>194</v>
      </c>
      <c r="C19" s="13">
        <v>18</v>
      </c>
    </row>
    <row r="20" spans="1:7">
      <c r="A20" s="63" t="s">
        <v>385</v>
      </c>
      <c r="B20" s="13" t="s">
        <v>193</v>
      </c>
      <c r="C20" s="13">
        <v>19</v>
      </c>
    </row>
    <row r="21" spans="1:7">
      <c r="A21" s="63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418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N16"/>
  <sheetViews>
    <sheetView workbookViewId="0">
      <selection activeCell="N2" sqref="N2:N8"/>
    </sheetView>
  </sheetViews>
  <sheetFormatPr defaultRowHeight="15"/>
  <cols>
    <col min="1" max="1" width="46" customWidth="1"/>
    <col min="5" max="7" width="17.140625" customWidth="1"/>
    <col min="9" max="9" width="28.140625" customWidth="1"/>
    <col min="10" max="10" width="15.42578125" customWidth="1"/>
  </cols>
  <sheetData>
    <row r="1" spans="1:14">
      <c r="B1" t="s">
        <v>445</v>
      </c>
      <c r="C1" t="s">
        <v>448</v>
      </c>
      <c r="D1" t="s">
        <v>444</v>
      </c>
      <c r="E1" t="s">
        <v>453</v>
      </c>
      <c r="I1" s="13"/>
      <c r="J1" s="13" t="s">
        <v>449</v>
      </c>
      <c r="K1" s="13" t="s">
        <v>454</v>
      </c>
      <c r="L1" s="13" t="s">
        <v>445</v>
      </c>
      <c r="M1" s="13" t="s">
        <v>455</v>
      </c>
      <c r="N1" s="13" t="s">
        <v>459</v>
      </c>
    </row>
    <row r="2" spans="1:14">
      <c r="A2" t="s">
        <v>443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/>
      <c r="G2" s="16"/>
      <c r="I2" s="13" t="s">
        <v>446</v>
      </c>
      <c r="J2" s="34">
        <f>(C2*D2+C3*D3)/(D2+D3)</f>
        <v>102043.30769230769</v>
      </c>
      <c r="K2" s="13">
        <v>13</v>
      </c>
      <c r="L2" s="13">
        <f>K2</f>
        <v>13</v>
      </c>
      <c r="M2" s="34">
        <f t="shared" ref="M2:M4" si="0">J2/10</f>
        <v>10204.330769230768</v>
      </c>
      <c r="N2" s="16">
        <f>J2/25</f>
        <v>4081.7323076923076</v>
      </c>
    </row>
    <row r="3" spans="1:14">
      <c r="A3" t="s">
        <v>442</v>
      </c>
      <c r="B3">
        <f>B2+D3</f>
        <v>13</v>
      </c>
      <c r="C3">
        <v>100323</v>
      </c>
      <c r="D3">
        <v>9</v>
      </c>
      <c r="E3" s="16">
        <f t="shared" ref="E3:E10" si="1">+C3*D3/100</f>
        <v>9029.07</v>
      </c>
      <c r="F3" s="16"/>
      <c r="G3" s="16"/>
      <c r="I3" s="13" t="s">
        <v>441</v>
      </c>
      <c r="J3" s="34">
        <f>C4</f>
        <v>84942</v>
      </c>
      <c r="K3" s="13">
        <f>D4</f>
        <v>13</v>
      </c>
      <c r="L3" s="13">
        <f t="shared" ref="L3:L8" si="2">K3+L2</f>
        <v>26</v>
      </c>
      <c r="M3" s="34">
        <f t="shared" si="0"/>
        <v>8494.2000000000007</v>
      </c>
      <c r="N3" s="16">
        <f t="shared" ref="N3:N8" si="3">J3/25</f>
        <v>3397.68</v>
      </c>
    </row>
    <row r="4" spans="1:14">
      <c r="A4" t="s">
        <v>441</v>
      </c>
      <c r="B4">
        <f t="shared" ref="B4:B10" si="4">B3+D4</f>
        <v>26</v>
      </c>
      <c r="C4">
        <v>84942</v>
      </c>
      <c r="D4">
        <v>13</v>
      </c>
      <c r="E4" s="16">
        <f t="shared" si="1"/>
        <v>11042.46</v>
      </c>
      <c r="F4" s="16"/>
      <c r="G4" s="16"/>
      <c r="I4" s="13" t="s">
        <v>447</v>
      </c>
      <c r="J4" s="34">
        <f>(C5*D5+C6*D6)/(D5+D6)</f>
        <v>63489.515151515152</v>
      </c>
      <c r="K4" s="13">
        <f>D5+D6</f>
        <v>33</v>
      </c>
      <c r="L4" s="13">
        <f t="shared" si="2"/>
        <v>59</v>
      </c>
      <c r="M4" s="34">
        <f t="shared" si="0"/>
        <v>6348.9515151515152</v>
      </c>
      <c r="N4" s="16">
        <f t="shared" si="3"/>
        <v>2539.580606060606</v>
      </c>
    </row>
    <row r="5" spans="1:14">
      <c r="A5" t="s">
        <v>440</v>
      </c>
      <c r="B5">
        <f t="shared" si="4"/>
        <v>31</v>
      </c>
      <c r="C5">
        <v>73186</v>
      </c>
      <c r="D5">
        <v>5</v>
      </c>
      <c r="E5" s="16">
        <f t="shared" si="1"/>
        <v>3659.3</v>
      </c>
      <c r="F5" s="16"/>
      <c r="G5" s="16"/>
      <c r="I5" s="13" t="str">
        <f>A7</f>
        <v>household other</v>
      </c>
      <c r="J5" s="34">
        <f t="shared" ref="J5:K7" si="5">C7</f>
        <v>42700</v>
      </c>
      <c r="K5" s="13">
        <f t="shared" si="5"/>
        <v>9</v>
      </c>
      <c r="L5" s="13">
        <f t="shared" si="2"/>
        <v>68</v>
      </c>
      <c r="M5" s="34">
        <f>J5/10</f>
        <v>4270</v>
      </c>
      <c r="N5" s="16">
        <f t="shared" si="3"/>
        <v>1708</v>
      </c>
    </row>
    <row r="6" spans="1:14">
      <c r="A6" t="s">
        <v>439</v>
      </c>
      <c r="B6">
        <f t="shared" si="4"/>
        <v>59</v>
      </c>
      <c r="C6">
        <v>61758</v>
      </c>
      <c r="D6">
        <v>28</v>
      </c>
      <c r="E6" s="16">
        <f t="shared" si="1"/>
        <v>17292.240000000002</v>
      </c>
      <c r="F6" s="16"/>
      <c r="G6" s="16"/>
      <c r="I6" s="13" t="str">
        <f>A8</f>
        <v>household city center</v>
      </c>
      <c r="J6" s="34">
        <f t="shared" si="5"/>
        <v>32723</v>
      </c>
      <c r="K6" s="13">
        <f t="shared" si="5"/>
        <v>21</v>
      </c>
      <c r="L6" s="13">
        <f t="shared" si="2"/>
        <v>89</v>
      </c>
      <c r="M6" s="34">
        <f t="shared" ref="M6:M8" si="6">J6/10</f>
        <v>3272.3</v>
      </c>
      <c r="N6" s="16">
        <f t="shared" si="3"/>
        <v>1308.92</v>
      </c>
    </row>
    <row r="7" spans="1:14">
      <c r="A7" t="s">
        <v>438</v>
      </c>
      <c r="B7">
        <f t="shared" si="4"/>
        <v>68</v>
      </c>
      <c r="C7">
        <v>42700</v>
      </c>
      <c r="D7">
        <v>9</v>
      </c>
      <c r="E7" s="16">
        <f t="shared" si="1"/>
        <v>3843</v>
      </c>
      <c r="F7" s="16"/>
      <c r="G7" s="16"/>
      <c r="I7" s="13" t="str">
        <f>A9</f>
        <v>household feed in areas</v>
      </c>
      <c r="J7" s="34">
        <f t="shared" si="5"/>
        <v>30429</v>
      </c>
      <c r="K7" s="13">
        <f t="shared" si="5"/>
        <v>8</v>
      </c>
      <c r="L7" s="13">
        <f t="shared" si="2"/>
        <v>97</v>
      </c>
      <c r="M7" s="34">
        <f t="shared" si="6"/>
        <v>3042.9</v>
      </c>
      <c r="N7" s="16">
        <f t="shared" si="3"/>
        <v>1217.1600000000001</v>
      </c>
    </row>
    <row r="8" spans="1:14">
      <c r="A8" t="s">
        <v>436</v>
      </c>
      <c r="B8">
        <f t="shared" si="4"/>
        <v>89</v>
      </c>
      <c r="C8">
        <v>32723</v>
      </c>
      <c r="D8">
        <v>21</v>
      </c>
      <c r="E8" s="16">
        <f t="shared" si="1"/>
        <v>6871.83</v>
      </c>
      <c r="F8" s="16"/>
      <c r="G8" s="16"/>
      <c r="I8" s="13" t="str">
        <f>A10</f>
        <v>industrySME</v>
      </c>
      <c r="J8" s="34">
        <f>C10</f>
        <v>19785</v>
      </c>
      <c r="K8" s="13">
        <v>3</v>
      </c>
      <c r="L8" s="13">
        <f t="shared" si="2"/>
        <v>100</v>
      </c>
      <c r="M8" s="34">
        <f t="shared" si="6"/>
        <v>1978.5</v>
      </c>
      <c r="N8" s="16">
        <f t="shared" si="3"/>
        <v>791.4</v>
      </c>
    </row>
    <row r="9" spans="1:14">
      <c r="A9" t="s">
        <v>437</v>
      </c>
      <c r="B9">
        <f t="shared" si="4"/>
        <v>97</v>
      </c>
      <c r="C9">
        <v>30429</v>
      </c>
      <c r="D9">
        <v>8</v>
      </c>
      <c r="E9" s="16">
        <f t="shared" si="1"/>
        <v>2434.3200000000002</v>
      </c>
      <c r="F9" s="16"/>
      <c r="G9" s="16"/>
    </row>
    <row r="10" spans="1:14">
      <c r="A10" t="s">
        <v>435</v>
      </c>
      <c r="B10">
        <f t="shared" si="4"/>
        <v>100</v>
      </c>
      <c r="C10">
        <v>19785</v>
      </c>
      <c r="D10">
        <v>3</v>
      </c>
      <c r="E10" s="16">
        <f t="shared" si="1"/>
        <v>593.54999999999995</v>
      </c>
      <c r="F10" s="16"/>
      <c r="G10" s="16"/>
    </row>
    <row r="11" spans="1:14">
      <c r="E11" s="16">
        <f>SUM(E2:E10)</f>
        <v>59002.330000000009</v>
      </c>
      <c r="F11" s="16"/>
      <c r="G11" s="16"/>
    </row>
    <row r="14" spans="1:14">
      <c r="A14" t="s">
        <v>452</v>
      </c>
    </row>
    <row r="16" spans="1:14">
      <c r="A16" t="s">
        <v>451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I9" sqref="I9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8" t="s">
        <v>397</v>
      </c>
      <c r="H13" s="48" t="s">
        <v>402</v>
      </c>
    </row>
    <row r="14" spans="1:11">
      <c r="G14" s="48">
        <v>47000</v>
      </c>
      <c r="H14" s="48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0"/>
  <sheetViews>
    <sheetView workbookViewId="0">
      <selection activeCell="E15" sqref="E15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51575940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38166195.600000001</v>
      </c>
    </row>
    <row r="8" spans="1:12">
      <c r="J8" s="16">
        <v>41070</v>
      </c>
      <c r="K8" t="s">
        <v>391</v>
      </c>
    </row>
    <row r="10" spans="1:12">
      <c r="J10" s="48" t="s">
        <v>397</v>
      </c>
    </row>
    <row r="11" spans="1:12">
      <c r="J11" s="48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68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68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68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68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68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68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68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68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68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68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68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9" t="s">
        <v>99</v>
      </c>
      <c r="C5" s="13">
        <v>4</v>
      </c>
    </row>
    <row r="6" spans="1:5">
      <c r="A6" s="13" t="s">
        <v>421</v>
      </c>
      <c r="B6" s="13" t="s">
        <v>156</v>
      </c>
      <c r="C6" s="13">
        <v>5</v>
      </c>
      <c r="E6" s="20"/>
    </row>
    <row r="7" spans="1:5">
      <c r="A7" s="13" t="s">
        <v>103</v>
      </c>
      <c r="B7" s="49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9" t="s">
        <v>173</v>
      </c>
      <c r="C10" s="13">
        <v>12</v>
      </c>
    </row>
    <row r="11" spans="1:5">
      <c r="A11" s="60" t="s">
        <v>101</v>
      </c>
      <c r="B11" s="13" t="s">
        <v>63</v>
      </c>
      <c r="C11" s="13">
        <v>13</v>
      </c>
      <c r="E11" t="s">
        <v>434</v>
      </c>
    </row>
    <row r="12" spans="1:5">
      <c r="A12" s="13" t="s">
        <v>352</v>
      </c>
      <c r="B12" s="49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H3"/>
  <sheetViews>
    <sheetView workbookViewId="0">
      <selection activeCell="C4" sqref="C4"/>
    </sheetView>
  </sheetViews>
  <sheetFormatPr defaultRowHeight="15"/>
  <cols>
    <col min="1" max="8" width="22.5703125" customWidth="1"/>
  </cols>
  <sheetData>
    <row r="1" spans="1:8">
      <c r="A1" s="13" t="s">
        <v>0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214</v>
      </c>
      <c r="G1" s="13" t="s">
        <v>381</v>
      </c>
      <c r="H1" s="13" t="s">
        <v>399</v>
      </c>
    </row>
    <row r="2" spans="1:8">
      <c r="A2" s="13" t="s">
        <v>209</v>
      </c>
      <c r="B2" s="13">
        <v>0</v>
      </c>
      <c r="C2" s="13">
        <v>3.5000000000000003E-2</v>
      </c>
      <c r="D2" s="13">
        <v>3.5000000000000003E-2</v>
      </c>
      <c r="E2" s="13">
        <v>60000</v>
      </c>
      <c r="F2" s="13" t="s">
        <v>164</v>
      </c>
      <c r="G2" s="13">
        <v>1</v>
      </c>
      <c r="H2" s="13">
        <v>1</v>
      </c>
    </row>
    <row r="3" spans="1:8">
      <c r="A3" s="13" t="s">
        <v>213</v>
      </c>
      <c r="B3" s="13">
        <v>0</v>
      </c>
      <c r="C3" s="13">
        <v>0.05</v>
      </c>
      <c r="D3" s="13">
        <v>0.05</v>
      </c>
      <c r="E3" s="13">
        <v>60000</v>
      </c>
      <c r="F3" s="13" t="s">
        <v>1</v>
      </c>
      <c r="G3" s="13">
        <v>1</v>
      </c>
      <c r="H3" s="13">
        <v>1.5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F31" sqref="F31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50" t="s">
        <v>183</v>
      </c>
      <c r="B1" s="50" t="s">
        <v>221</v>
      </c>
      <c r="C1" s="50" t="s">
        <v>222</v>
      </c>
      <c r="D1" s="50" t="s">
        <v>4</v>
      </c>
      <c r="E1" s="50" t="s">
        <v>380</v>
      </c>
      <c r="F1" s="50" t="s">
        <v>375</v>
      </c>
      <c r="G1" s="50" t="s">
        <v>379</v>
      </c>
      <c r="H1" s="50" t="s">
        <v>19</v>
      </c>
      <c r="I1" s="50" t="s">
        <v>218</v>
      </c>
      <c r="J1" s="50" t="s">
        <v>223</v>
      </c>
      <c r="L1" t="s">
        <v>411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412</v>
      </c>
    </row>
    <row r="3" spans="1:12">
      <c r="A3" s="13" t="s">
        <v>220</v>
      </c>
      <c r="B3" s="13">
        <v>4000</v>
      </c>
      <c r="C3" s="13">
        <v>0.05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413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C3"/>
  <sheetViews>
    <sheetView zoomScale="85" zoomScaleNormal="85" workbookViewId="0">
      <selection activeCell="G39" sqref="G39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3" t="s">
        <v>0</v>
      </c>
      <c r="B1" s="13" t="s">
        <v>408</v>
      </c>
      <c r="C1" s="13" t="s">
        <v>214</v>
      </c>
    </row>
    <row r="2" spans="1:3">
      <c r="A2" s="13" t="s">
        <v>407</v>
      </c>
      <c r="B2" s="13">
        <v>500</v>
      </c>
      <c r="C2" s="13" t="s">
        <v>164</v>
      </c>
    </row>
    <row r="3" spans="1:3">
      <c r="A3" s="13" t="s">
        <v>406</v>
      </c>
      <c r="B3" s="13">
        <v>500</v>
      </c>
      <c r="C3" s="1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414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46775</v>
      </c>
      <c r="E3" t="s">
        <v>415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CapacitySubscriptionOperators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LoadShifterCap</vt:lpstr>
      <vt:lpstr>LoadShedders_feb24</vt:lpstr>
      <vt:lpstr>LoadShedders</vt:lpstr>
      <vt:lpstr>LSyearly</vt:lpstr>
      <vt:lpstr>Dismantled</vt:lpstr>
      <vt:lpstr>weatherYears40</vt:lpstr>
      <vt:lpstr>LS_NL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2024-03-13T11:24:19Z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