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ecky/Desktop/"/>
    </mc:Choice>
  </mc:AlternateContent>
  <xr:revisionPtr revIDLastSave="0" documentId="13_ncr:1_{9DAF3B54-706E-294C-84AA-D09B177A10D0}" xr6:coauthVersionLast="47" xr6:coauthVersionMax="47" xr10:uidLastSave="{00000000-0000-0000-0000-000000000000}"/>
  <bookViews>
    <workbookView xWindow="57160" yWindow="3620" windowWidth="31320" windowHeight="23600"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1" l="1"/>
  <c r="B16" i="5" l="1"/>
  <c r="S40" i="8"/>
  <c r="Q40" i="8"/>
  <c r="T40" i="8" s="1"/>
  <c r="M40" i="8"/>
  <c r="L40" i="8"/>
  <c r="E40" i="8"/>
  <c r="D40" i="8"/>
  <c r="S39" i="8"/>
  <c r="Q39" i="8"/>
  <c r="M39" i="8"/>
  <c r="T39" i="8" s="1"/>
  <c r="L39" i="8"/>
  <c r="E39" i="8"/>
  <c r="D39" i="8"/>
  <c r="S38" i="8"/>
  <c r="Q38" i="8"/>
  <c r="L38" i="8"/>
  <c r="M38" i="8" s="1"/>
  <c r="T38" i="8" s="1"/>
  <c r="E38" i="8"/>
  <c r="D38" i="8"/>
  <c r="S37" i="8"/>
  <c r="Q37" i="8"/>
  <c r="L37" i="8"/>
  <c r="M37" i="8" s="1"/>
  <c r="T37" i="8" s="1"/>
  <c r="E37" i="8"/>
  <c r="D37" i="8"/>
  <c r="S36" i="8"/>
  <c r="Q36" i="8"/>
  <c r="L36" i="8"/>
  <c r="M36" i="8" s="1"/>
  <c r="T36" i="8" s="1"/>
  <c r="E36" i="8"/>
  <c r="D36" i="8"/>
  <c r="S35" i="8"/>
  <c r="Q35" i="8"/>
  <c r="L35" i="8"/>
  <c r="M35" i="8" s="1"/>
  <c r="T35" i="8" s="1"/>
  <c r="E35" i="8"/>
  <c r="D35" i="8"/>
  <c r="S34" i="8"/>
  <c r="Q34" i="8"/>
  <c r="T34" i="8" s="1"/>
  <c r="M34" i="8"/>
  <c r="L34" i="8"/>
  <c r="E34" i="8"/>
  <c r="D34" i="8"/>
  <c r="S33" i="8"/>
  <c r="Q33" i="8"/>
  <c r="M33" i="8"/>
  <c r="T33" i="8" s="1"/>
  <c r="L33" i="8"/>
  <c r="E33" i="8"/>
  <c r="D33" i="8"/>
  <c r="S32" i="8"/>
  <c r="Q32" i="8"/>
  <c r="L32" i="8"/>
  <c r="M32" i="8" s="1"/>
  <c r="T32" i="8" s="1"/>
  <c r="E32" i="8"/>
  <c r="D32" i="8"/>
  <c r="S31" i="8"/>
  <c r="Q31" i="8"/>
  <c r="L31" i="8"/>
  <c r="M31" i="8" s="1"/>
  <c r="T31" i="8" s="1"/>
  <c r="E31" i="8"/>
  <c r="D31" i="8"/>
  <c r="S30" i="8"/>
  <c r="Q30" i="8"/>
  <c r="L30" i="8"/>
  <c r="M30" i="8" s="1"/>
  <c r="T30" i="8" s="1"/>
  <c r="E30" i="8"/>
  <c r="D30" i="8"/>
  <c r="S29" i="8"/>
  <c r="Q29" i="8"/>
  <c r="L29" i="8"/>
  <c r="M29" i="8" s="1"/>
  <c r="T29" i="8" s="1"/>
  <c r="E29" i="8"/>
  <c r="D29" i="8"/>
  <c r="F40" i="8" s="1"/>
  <c r="J40" i="8" s="1"/>
  <c r="S28" i="8"/>
  <c r="Q28" i="8"/>
  <c r="T28" i="8" s="1"/>
  <c r="M28" i="8"/>
  <c r="L28" i="8"/>
  <c r="E28" i="8"/>
  <c r="D28" i="8"/>
  <c r="F39" i="8" s="1"/>
  <c r="J39" i="8" s="1"/>
  <c r="S27" i="8"/>
  <c r="Q27" i="8"/>
  <c r="M27" i="8"/>
  <c r="T27" i="8" s="1"/>
  <c r="L27" i="8"/>
  <c r="E27" i="8"/>
  <c r="D27" i="8"/>
  <c r="F38" i="8" s="1"/>
  <c r="J38" i="8" s="1"/>
  <c r="S26" i="8"/>
  <c r="Q26" i="8"/>
  <c r="L26" i="8"/>
  <c r="M26" i="8" s="1"/>
  <c r="T26" i="8" s="1"/>
  <c r="E26" i="8"/>
  <c r="D26" i="8"/>
  <c r="F37" i="8" s="1"/>
  <c r="J37" i="8" s="1"/>
  <c r="S25" i="8"/>
  <c r="Q25" i="8"/>
  <c r="L25" i="8"/>
  <c r="M25" i="8" s="1"/>
  <c r="T25" i="8" s="1"/>
  <c r="E25" i="8"/>
  <c r="D25" i="8"/>
  <c r="S24" i="8"/>
  <c r="Q24" i="8"/>
  <c r="L24" i="8"/>
  <c r="M24" i="8" s="1"/>
  <c r="T24" i="8" s="1"/>
  <c r="E24" i="8"/>
  <c r="D24" i="8"/>
  <c r="S23" i="8"/>
  <c r="Q23" i="8"/>
  <c r="L23" i="8"/>
  <c r="M23" i="8" s="1"/>
  <c r="T23" i="8" s="1"/>
  <c r="E23" i="8"/>
  <c r="D23" i="8"/>
  <c r="F34" i="8" s="1"/>
  <c r="J34" i="8" s="1"/>
  <c r="S22" i="8"/>
  <c r="Q22" i="8"/>
  <c r="L22" i="8"/>
  <c r="M22" i="8" s="1"/>
  <c r="T22" i="8" s="1"/>
  <c r="E22" i="8"/>
  <c r="D22" i="8"/>
  <c r="F33" i="8" s="1"/>
  <c r="J33" i="8" s="1"/>
  <c r="S21" i="8"/>
  <c r="Q21" i="8"/>
  <c r="M21" i="8"/>
  <c r="T21" i="8" s="1"/>
  <c r="L21" i="8"/>
  <c r="E21" i="8"/>
  <c r="D21" i="8"/>
  <c r="F32" i="8" s="1"/>
  <c r="J32" i="8" s="1"/>
  <c r="S20" i="8"/>
  <c r="Q20" i="8"/>
  <c r="L20" i="8"/>
  <c r="M20" i="8" s="1"/>
  <c r="T20" i="8" s="1"/>
  <c r="E20" i="8"/>
  <c r="D20" i="8"/>
  <c r="F31" i="8" s="1"/>
  <c r="J31" i="8" s="1"/>
  <c r="S19" i="8"/>
  <c r="Q19" i="8"/>
  <c r="L19" i="8"/>
  <c r="M19" i="8" s="1"/>
  <c r="T19" i="8" s="1"/>
  <c r="E19" i="8"/>
  <c r="D19" i="8"/>
  <c r="S18" i="8"/>
  <c r="Q18" i="8"/>
  <c r="L18" i="8"/>
  <c r="M18" i="8" s="1"/>
  <c r="T18" i="8" s="1"/>
  <c r="E18" i="8"/>
  <c r="D18" i="8"/>
  <c r="S17" i="8"/>
  <c r="Q17" i="8"/>
  <c r="L17" i="8"/>
  <c r="M17" i="8" s="1"/>
  <c r="T17" i="8" s="1"/>
  <c r="E17" i="8"/>
  <c r="F28" i="8" s="1"/>
  <c r="J28" i="8" s="1"/>
  <c r="D17" i="8"/>
  <c r="S16" i="8"/>
  <c r="Q16" i="8"/>
  <c r="T16" i="8" s="1"/>
  <c r="M16" i="8"/>
  <c r="L16" i="8"/>
  <c r="E16" i="8"/>
  <c r="D16" i="8"/>
  <c r="F27" i="8" s="1"/>
  <c r="J27" i="8" s="1"/>
  <c r="S15" i="8"/>
  <c r="Q15" i="8"/>
  <c r="M15" i="8"/>
  <c r="T15" i="8" s="1"/>
  <c r="L15" i="8"/>
  <c r="E15" i="8"/>
  <c r="D15" i="8"/>
  <c r="F26" i="8" s="1"/>
  <c r="J26" i="8" s="1"/>
  <c r="E14" i="8"/>
  <c r="F24" i="8" s="1"/>
  <c r="J24" i="8" s="1"/>
  <c r="D14" i="8"/>
  <c r="F25" i="8" s="1"/>
  <c r="J25" i="8" s="1"/>
  <c r="E13" i="8"/>
  <c r="D13" i="8"/>
  <c r="E12" i="8"/>
  <c r="D12" i="8"/>
  <c r="F23" i="8" s="1"/>
  <c r="J23" i="8" s="1"/>
  <c r="E11" i="8"/>
  <c r="F22" i="8" s="1"/>
  <c r="J22" i="8" s="1"/>
  <c r="D11" i="8"/>
  <c r="E10" i="8"/>
  <c r="D10" i="8"/>
  <c r="F21" i="8" s="1"/>
  <c r="J21" i="8" s="1"/>
  <c r="E9" i="8"/>
  <c r="D9" i="8"/>
  <c r="F20" i="8" s="1"/>
  <c r="J20" i="8" s="1"/>
  <c r="E8" i="8"/>
  <c r="F17" i="8" s="1"/>
  <c r="J17" i="8" s="1"/>
  <c r="D8" i="8"/>
  <c r="F19" i="8" s="1"/>
  <c r="J19" i="8" s="1"/>
  <c r="E7" i="8"/>
  <c r="D7" i="8"/>
  <c r="E6" i="8"/>
  <c r="D6" i="8"/>
  <c r="E5" i="8"/>
  <c r="F16" i="8" s="1"/>
  <c r="J16" i="8" s="1"/>
  <c r="D5" i="8"/>
  <c r="E4" i="8"/>
  <c r="D4" i="8"/>
  <c r="F15" i="8" s="1"/>
  <c r="B5" i="1" a="1"/>
  <c r="B5" i="1" s="1"/>
  <c r="F6" i="4"/>
  <c r="F5" i="4"/>
  <c r="E8" i="7"/>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E9" i="4" s="1"/>
  <c r="F9" i="4" s="1"/>
  <c r="B8" i="4"/>
  <c r="B11" i="4" s="1"/>
  <c r="E4" i="3" s="1"/>
  <c r="C4" i="4"/>
  <c r="D4" i="4" s="1"/>
  <c r="E3" i="4"/>
  <c r="F3" i="4" s="1"/>
  <c r="D3" i="4"/>
  <c r="C3" i="4"/>
  <c r="C8" i="4" s="1"/>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C20" i="2"/>
  <c r="B20" i="2"/>
  <c r="B16" i="2"/>
  <c r="G2" i="2"/>
  <c r="H2" i="2" s="1"/>
  <c r="F2" i="2"/>
  <c r="H1" i="2"/>
  <c r="G1" i="2"/>
  <c r="F1" i="2"/>
  <c r="E1" i="2"/>
  <c r="D1" i="2"/>
  <c r="C1" i="2"/>
  <c r="B1" i="2"/>
  <c r="B7" i="1"/>
  <c r="H4" i="2" s="1"/>
  <c r="B6" i="1"/>
  <c r="U25" i="8" l="1"/>
  <c r="V25" i="8" s="1"/>
  <c r="U35" i="8"/>
  <c r="U28" i="8"/>
  <c r="V28" i="8" s="1"/>
  <c r="U24" i="8"/>
  <c r="V24" i="8" s="1"/>
  <c r="U32" i="8"/>
  <c r="V32" i="8"/>
  <c r="U33" i="8"/>
  <c r="V33" i="8" s="1"/>
  <c r="J15" i="8"/>
  <c r="U15" i="8"/>
  <c r="V15" i="8" s="1"/>
  <c r="U23" i="8"/>
  <c r="V23" i="8" s="1"/>
  <c r="U31" i="8"/>
  <c r="V31" i="8" s="1"/>
  <c r="U34" i="8"/>
  <c r="V34" i="8" s="1"/>
  <c r="U16" i="8"/>
  <c r="V16" i="8" s="1"/>
  <c r="U22" i="8"/>
  <c r="V22" i="8" s="1"/>
  <c r="U30" i="8"/>
  <c r="U38" i="8"/>
  <c r="V38" i="8"/>
  <c r="U39" i="8"/>
  <c r="V39" i="8" s="1"/>
  <c r="U20" i="8"/>
  <c r="V20" i="8"/>
  <c r="U21" i="8"/>
  <c r="V21" i="8" s="1"/>
  <c r="U29" i="8"/>
  <c r="U37" i="8"/>
  <c r="V37" i="8" s="1"/>
  <c r="U40" i="8"/>
  <c r="V40" i="8" s="1"/>
  <c r="U18" i="8"/>
  <c r="U17" i="8"/>
  <c r="V17" i="8" s="1"/>
  <c r="U19" i="8"/>
  <c r="V19" i="8" s="1"/>
  <c r="U26" i="8"/>
  <c r="V26" i="8"/>
  <c r="U27" i="8"/>
  <c r="V27" i="8" s="1"/>
  <c r="U36" i="8"/>
  <c r="V36" i="8" s="1"/>
  <c r="F18" i="8"/>
  <c r="J18" i="8" s="1"/>
  <c r="V18" i="8" s="1"/>
  <c r="F30" i="8"/>
  <c r="J30" i="8" s="1"/>
  <c r="V30" i="8" s="1"/>
  <c r="F36" i="8"/>
  <c r="J36" i="8" s="1"/>
  <c r="F29" i="8"/>
  <c r="J29" i="8" s="1"/>
  <c r="V29" i="8" s="1"/>
  <c r="F35" i="8"/>
  <c r="J35" i="8" s="1"/>
  <c r="V35" i="8" s="1"/>
  <c r="C12" i="4"/>
  <c r="D20" i="2"/>
  <c r="C30" i="3"/>
  <c r="D8" i="4"/>
  <c r="D11" i="4" s="1"/>
  <c r="G4" i="3" s="1"/>
  <c r="B20" i="3"/>
  <c r="B22" i="3" s="1"/>
  <c r="B27" i="3" s="1"/>
  <c r="B30" i="3" s="1"/>
  <c r="D9" i="3"/>
  <c r="D20" i="3"/>
  <c r="D22" i="3" s="1"/>
  <c r="D27" i="3" s="1"/>
  <c r="E4" i="2"/>
  <c r="I4" i="2"/>
  <c r="D4" i="2"/>
  <c r="E20" i="2"/>
  <c r="G5" i="7"/>
  <c r="D12" i="4"/>
  <c r="B5" i="7"/>
  <c r="G17" i="3"/>
  <c r="E11" i="3"/>
  <c r="E12" i="3" s="1"/>
  <c r="E13" i="3" s="1"/>
  <c r="B12" i="4"/>
  <c r="B13" i="4" s="1"/>
  <c r="E14" i="3"/>
  <c r="E15" i="3" s="1"/>
  <c r="H8" i="7"/>
  <c r="D5" i="7"/>
  <c r="E18" i="3"/>
  <c r="B4" i="7"/>
  <c r="C41" i="3"/>
  <c r="G14" i="3"/>
  <c r="G15" i="3" s="1"/>
  <c r="E5" i="7"/>
  <c r="E4" i="4"/>
  <c r="F4" i="4" s="1"/>
  <c r="C11" i="4"/>
  <c r="C9" i="3"/>
  <c r="C13" i="3"/>
  <c r="H39" i="3"/>
  <c r="H4" i="6"/>
  <c r="I4" i="6" s="1"/>
  <c r="F4" i="2"/>
  <c r="C18" i="3"/>
  <c r="G4" i="2"/>
  <c r="G8" i="7"/>
  <c r="F6" i="6"/>
  <c r="F5" i="6"/>
  <c r="G5" i="6" s="1"/>
  <c r="G6" i="6"/>
  <c r="E7" i="6"/>
  <c r="V41" i="8" l="1"/>
  <c r="V1" i="8"/>
  <c r="F1" i="8"/>
  <c r="D13" i="4"/>
  <c r="G11" i="3"/>
  <c r="G12" i="3" s="1"/>
  <c r="G13" i="3" s="1"/>
  <c r="E8" i="4"/>
  <c r="E11" i="4" s="1"/>
  <c r="F8" i="4"/>
  <c r="F12" i="4" s="1"/>
  <c r="B33" i="3"/>
  <c r="B41" i="3" s="1"/>
  <c r="F14" i="3"/>
  <c r="F15" i="3" s="1"/>
  <c r="F6" i="3"/>
  <c r="F4" i="3"/>
  <c r="F11" i="3"/>
  <c r="F12" i="3" s="1"/>
  <c r="C13" i="4"/>
  <c r="E9" i="6"/>
  <c r="D7" i="7" s="1"/>
  <c r="E12" i="4"/>
  <c r="D33" i="3"/>
  <c r="D30" i="3"/>
  <c r="B10" i="7"/>
  <c r="B3" i="2" s="1"/>
  <c r="G6" i="3"/>
  <c r="G8" i="3" s="1"/>
  <c r="G7" i="6"/>
  <c r="H5" i="6"/>
  <c r="I5" i="6" s="1"/>
  <c r="F7" i="6"/>
  <c r="G9" i="6" s="1"/>
  <c r="F7" i="7" s="1"/>
  <c r="I6" i="6"/>
  <c r="I39" i="3"/>
  <c r="H20" i="2" s="1"/>
  <c r="I20" i="2" s="1"/>
  <c r="G20" i="2"/>
  <c r="H6" i="6"/>
  <c r="H7" i="6" s="1"/>
  <c r="E6" i="3"/>
  <c r="E8" i="3" s="1"/>
  <c r="F5" i="7"/>
  <c r="G18" i="3"/>
  <c r="F13" i="3" l="1"/>
  <c r="E13" i="4"/>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E33" i="3"/>
  <c r="H9" i="3"/>
  <c r="H20" i="3"/>
  <c r="H22" i="3" s="1"/>
  <c r="H27" i="3" s="1"/>
  <c r="F28" i="3"/>
  <c r="F29" i="3" s="1"/>
  <c r="F33" i="3" s="1"/>
  <c r="F4" i="7" l="1"/>
  <c r="F10" i="7" s="1"/>
  <c r="G34" i="3" s="1"/>
  <c r="G35" i="3" s="1"/>
  <c r="I9" i="3"/>
  <c r="F30" i="3"/>
  <c r="E4" i="7"/>
  <c r="E10" i="7" s="1"/>
  <c r="F41" i="3"/>
  <c r="H28" i="3"/>
  <c r="H29" i="3" s="1"/>
  <c r="H30" i="3" s="1"/>
  <c r="I22" i="3"/>
  <c r="I27" i="3" s="1"/>
  <c r="E41" i="3"/>
  <c r="D4" i="7"/>
  <c r="D10" i="7" s="1"/>
  <c r="F3" i="2" l="1"/>
  <c r="H33" i="3"/>
  <c r="H41" i="3" s="1"/>
  <c r="F6" i="2"/>
  <c r="F5" i="2"/>
  <c r="I28" i="3"/>
  <c r="I29" i="3" s="1"/>
  <c r="I33" i="3" s="1"/>
  <c r="G4" i="7"/>
  <c r="G10" i="7" s="1"/>
  <c r="E34" i="3"/>
  <c r="E35" i="3" s="1"/>
  <c r="E37" i="3" s="1"/>
  <c r="D3" i="2"/>
  <c r="E3" i="2"/>
  <c r="F34" i="3"/>
  <c r="F35" i="3" s="1"/>
  <c r="I30" i="3" l="1"/>
  <c r="H4" i="7"/>
  <c r="H10" i="7" s="1"/>
  <c r="I41" i="3"/>
  <c r="D6" i="2"/>
  <c r="D5" i="2"/>
  <c r="H34" i="3"/>
  <c r="H35" i="3" s="1"/>
  <c r="G3" i="2"/>
  <c r="E6" i="2"/>
  <c r="E5" i="2"/>
  <c r="F37" i="3"/>
  <c r="D8" i="2"/>
  <c r="E8" i="2" l="1"/>
  <c r="G37" i="3"/>
  <c r="E7" i="2"/>
  <c r="E9" i="2" s="1"/>
  <c r="E10" i="2" s="1"/>
  <c r="F7" i="2"/>
  <c r="D7" i="2"/>
  <c r="D9" i="2" s="1"/>
  <c r="D10" i="2" s="1"/>
  <c r="G5" i="2"/>
  <c r="G6" i="2"/>
  <c r="H3" i="2"/>
  <c r="I34" i="3"/>
  <c r="I35" i="3" s="1"/>
  <c r="G7" i="2" l="1"/>
  <c r="I3" i="2"/>
  <c r="I5" i="2" s="1"/>
  <c r="I6" i="2" s="1"/>
  <c r="H6" i="2"/>
  <c r="H5" i="2"/>
  <c r="H37" i="3"/>
  <c r="F8" i="2"/>
  <c r="F9" i="2" s="1"/>
  <c r="F10" i="2" s="1"/>
  <c r="I37" i="3" l="1"/>
  <c r="G8" i="2"/>
  <c r="G9" i="2" s="1"/>
  <c r="G10" i="2" s="1"/>
  <c r="B11" i="2"/>
  <c r="I7" i="2"/>
  <c r="H7" i="2"/>
  <c r="H8" i="2" l="1"/>
  <c r="I8" i="2" s="1"/>
  <c r="B12" i="2"/>
  <c r="B13" i="2" s="1"/>
  <c r="B9" i="1" s="1"/>
  <c r="B10" i="1" s="1"/>
  <c r="H9" i="2"/>
  <c r="H10" i="2" s="1"/>
  <c r="I9" i="2"/>
  <c r="I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<sst xmlns="http://schemas.openxmlformats.org/spreadsheetml/2006/main" count="156" uniqueCount="130">
  <si>
    <t>Company</t>
  </si>
  <si>
    <t>Apple</t>
  </si>
  <si>
    <t>Ticker</t>
  </si>
  <si>
    <t>Current Price</t>
  </si>
  <si>
    <t>Terminal Growth Rate</t>
  </si>
  <si>
    <t>Standard Assumption</t>
  </si>
  <si>
    <t>WACC</t>
  </si>
  <si>
    <t>Fair Price</t>
  </si>
  <si>
    <t>Appreciation</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</si>
  <si>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</si>
  <si>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</si>
  <si>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</si>
  <si>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</si>
  <si>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</si>
  <si>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</si>
  <si>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</si>
  <si>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</si>
  <si>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</si>
  <si>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</si>
  <si>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</si>
  <si>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</si>
  <si>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</si>
  <si>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</si>
  <si>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</si>
  <si>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</si>
  <si>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</si>
  <si>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</si>
  <si>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</si>
  <si>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</si>
  <si>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</si>
  <si>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</si>
  <si>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</si>
  <si>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</si>
  <si>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</si>
  <si>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</si>
  <si>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</si>
  <si>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</si>
  <si>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</si>
  <si>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</si>
  <si>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</si>
  <si>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</si>
  <si>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</si>
  <si>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</si>
  <si>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</si>
  <si>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</si>
  <si>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</si>
  <si>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</si>
  <si>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</si>
  <si>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</si>
  <si>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</si>
  <si>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</si>
  <si>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</si>
  <si>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</si>
  <si>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</si>
  <si>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</si>
  <si>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</si>
  <si>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</si>
  <si>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</si>
  <si>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</si>
  <si>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</si>
  <si>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</si>
  <si>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</si>
  <si>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</si>
  <si>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</si>
  <si>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</si>
  <si>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</si>
  <si>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</si>
  <si>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Other Products/Services</t>
  </si>
  <si>
    <t>Growth Rate</t>
  </si>
  <si>
    <t>Mac and iPad</t>
  </si>
  <si>
    <t>See note</t>
  </si>
  <si>
    <t>Return to 2019 levels</t>
  </si>
  <si>
    <t>Margins</t>
  </si>
  <si>
    <t>Still In China</t>
  </si>
  <si>
    <t>Kicked out of China</t>
  </si>
  <si>
    <t>Products Gross Margin</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</si>
  <si>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</si>
  <si>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</si>
  <si>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</si>
  <si>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</si>
  <si>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</si>
  <si>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</si>
  <si>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</si>
  <si>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</si>
  <si>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</si>
  <si>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</si>
  <si>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</si>
  <si>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</si>
  <si>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</si>
  <si>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</si>
  <si>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</si>
  <si>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</si>
  <si>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</si>
  <si>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</si>
  <si>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</si>
  <si>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</si>
  <si>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</si>
  <si>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</si>
  <si>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</si>
  <si>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</si>
  <si>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</si>
  <si>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</si>
  <si>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</si>
  <si>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</si>
  <si>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</si>
  <si>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</si>
  <si>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Medium minus 2pp on years 2-4</t>
  </si>
  <si>
    <t>Medium minus 4pp</t>
  </si>
  <si>
    <t>Medium minus 3 pp</t>
  </si>
  <si>
    <t>Medium minus 2pp</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</si>
  <si>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</si>
  <si>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</si>
  <si>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</si>
  <si>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</si>
  <si>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</si>
  <si>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</si>
  <si>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</si>
  <si>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</si>
  <si>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</si>
  <si>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</si>
  <si>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</si>
  <si>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</si>
  <si>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</si>
  <si>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</si>
  <si>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</si>
  <si>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</si>
  <si>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</si>
  <si>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Quarterly Average 2015-2016. See worksheet</t>
  </si>
  <si>
    <t>2015-2020 Average</t>
  </si>
  <si>
    <t>4.33 Year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</si>
</sst>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quot;$&quot;#,##0.00"/>
    <numFmt numFmtId="165" formatCode="&quot;$&quot;#,###,,,&quot;B&quot;"/>
    <numFmt numFmtId="166" formatCode="&quot;$&quot;0.00"/>
    <numFmt numFmtId="167" formatCode="#,###,,&quot;M&quot;"/>
    <numFmt numFmtId="168" formatCode="#,##0.0"/>
    <numFmt numFmtId="169" formatCode="0.0"/>
    <numFmt numFmtId="170" formatCode="&quot;$&quot;#,###.0,&quot;B&quot;"/>
    <numFmt numFmtId="171" formatCode="#,###&quot;M&quot;"/>
    <numFmt numFmtId="172" formatCode="0.0%"/>
    <numFmt numFmtId="173" formatCode="#,##0%"/>
    <numFmt numFmtId="174" formatCode="#,##0.0%"/>
    <numFmt numFmtId="177" formatCode="0.0000"/>
    <numFmt numFmtId="178" formatCode="mmm\ d\,\ yyyy"/>
    <numFmt numFmtId="179" formatCode="#,##0.0#"/>
  </numFmts>
  <fonts count="23"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3">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4"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4"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5"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5"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5" fontId="3" fillId="4" borderId="4" xfId="0" applyNumberFormat="1" applyFont="1" applyFill="1" applyBorder="1" applyAlignment="1"/>
    <xf numFmtId="0" fontId="3" fillId="3" borderId="2" xfId="0" applyFont="1" applyFill="1" applyBorder="1" applyAlignment="1"/>
    <xf numFmtId="166" fontId="3" fillId="4" borderId="2" xfId="0" applyNumberFormat="1" applyFont="1" applyFill="1" applyBorder="1" applyAlignment="1"/>
    <xf numFmtId="49" fontId="4" fillId="3" borderId="4" xfId="0" applyNumberFormat="1" applyFont="1" applyFill="1" applyBorder="1" applyAlignment="1"/>
    <xf numFmtId="165"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7"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3" fillId="2" borderId="2" xfId="0" applyNumberFormat="1" applyFont="1" applyFill="1" applyBorder="1" applyAlignment="1">
      <alignment horizontal="center"/>
    </xf>
    <xf numFmtId="0" fontId="7" fillId="2" borderId="2" xfId="0" applyNumberFormat="1" applyFont="1" applyFill="1" applyBorder="1" applyAlignment="1">
      <alignment horizontal="center"/>
    </xf>
    <xf numFmtId="0" fontId="4" fillId="2" borderId="2" xfId="0" applyFont="1" applyFill="1" applyBorder="1" applyAlignment="1"/>
    <xf numFmtId="49" fontId="8" fillId="3" borderId="5" xfId="0" applyNumberFormat="1" applyFont="1" applyFill="1" applyBorder="1" applyAlignment="1"/>
    <xf numFmtId="168" fontId="3" fillId="4" borderId="6" xfId="0" applyNumberFormat="1" applyFont="1" applyFill="1" applyBorder="1" applyAlignment="1"/>
    <xf numFmtId="168"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5" fontId="4" fillId="4" borderId="2" xfId="0" applyNumberFormat="1" applyFont="1" applyFill="1" applyBorder="1" applyAlignment="1">
      <alignment horizontal="right"/>
    </xf>
    <xf numFmtId="165"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69"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5" fontId="4" fillId="4" borderId="2" xfId="0" applyNumberFormat="1" applyFont="1" applyFill="1" applyBorder="1" applyAlignment="1"/>
    <xf numFmtId="165"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5" fontId="7" fillId="4" borderId="2" xfId="0" applyNumberFormat="1" applyFont="1" applyFill="1" applyBorder="1" applyAlignment="1"/>
    <xf numFmtId="2" fontId="7" fillId="4" borderId="2" xfId="0" applyNumberFormat="1" applyFont="1" applyFill="1" applyBorder="1" applyAlignment="1"/>
    <xf numFmtId="169" fontId="3" fillId="4" borderId="2" xfId="0" applyNumberFormat="1" applyFont="1" applyFill="1" applyBorder="1" applyAlignment="1"/>
    <xf numFmtId="1" fontId="7" fillId="4" borderId="2" xfId="0" applyNumberFormat="1" applyFont="1" applyFill="1" applyBorder="1" applyAlignment="1"/>
    <xf numFmtId="166" fontId="7" fillId="4" borderId="2" xfId="0" applyNumberFormat="1" applyFont="1" applyFill="1" applyBorder="1" applyAlignment="1"/>
    <xf numFmtId="3" fontId="3" fillId="4" borderId="2" xfId="0" applyNumberFormat="1" applyFont="1" applyFill="1" applyBorder="1" applyAlignment="1"/>
    <xf numFmtId="170" fontId="3" fillId="4" borderId="2" xfId="0" applyNumberFormat="1" applyFont="1" applyFill="1" applyBorder="1" applyAlignment="1"/>
    <xf numFmtId="165" fontId="12" fillId="4" borderId="2" xfId="0" applyNumberFormat="1" applyFont="1" applyFill="1" applyBorder="1" applyAlignment="1"/>
    <xf numFmtId="171" fontId="3" fillId="4" borderId="2" xfId="0" applyNumberFormat="1" applyFont="1" applyFill="1" applyBorder="1" applyAlignment="1"/>
    <xf numFmtId="167" fontId="7" fillId="4" borderId="2" xfId="0" applyNumberFormat="1" applyFont="1" applyFill="1" applyBorder="1" applyAlignment="1"/>
    <xf numFmtId="172"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0" fontId="1" fillId="0" borderId="9" xfId="0" applyNumberFormat="1" applyFont="1" applyBorder="1" applyAlignment="1"/>
    <xf numFmtId="170" fontId="1" fillId="0" borderId="10" xfId="0" applyNumberFormat="1" applyFont="1" applyBorder="1" applyAlignment="1"/>
    <xf numFmtId="49" fontId="13" fillId="3" borderId="11" xfId="0" applyNumberFormat="1" applyFont="1" applyFill="1" applyBorder="1" applyAlignment="1"/>
    <xf numFmtId="170" fontId="1" fillId="0" borderId="12" xfId="0" applyNumberFormat="1" applyFont="1" applyBorder="1" applyAlignment="1"/>
    <xf numFmtId="170"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3" fontId="1" fillId="0" borderId="9" xfId="0" applyNumberFormat="1" applyFont="1" applyBorder="1" applyAlignment="1"/>
    <xf numFmtId="173"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4"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2" fontId="1" fillId="0" borderId="12" xfId="0" applyNumberFormat="1" applyFont="1" applyBorder="1" applyAlignment="1"/>
    <xf numFmtId="172"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0" fontId="1" fillId="4" borderId="2" xfId="0" applyNumberFormat="1" applyFont="1" applyFill="1" applyBorder="1" applyAlignment="1"/>
    <xf numFmtId="170"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5" fontId="1" fillId="4" borderId="2" xfId="0" applyNumberFormat="1" applyFont="1" applyFill="1" applyBorder="1" applyAlignment="1"/>
    <xf numFmtId="165"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2" fontId="3" fillId="4" borderId="1" xfId="0" applyNumberFormat="1" applyFont="1" applyFill="1" applyBorder="1" applyAlignment="1">
      <alignment horizontal="right"/>
    </xf>
    <xf numFmtId="172" fontId="3" fillId="4" borderId="1" xfId="0" applyNumberFormat="1" applyFont="1" applyFill="1" applyBorder="1" applyAlignment="1"/>
    <xf numFmtId="172" fontId="4" fillId="4" borderId="1" xfId="0" applyNumberFormat="1" applyFont="1" applyFill="1" applyBorder="1" applyAlignment="1">
      <alignment horizontal="right"/>
    </xf>
    <xf numFmtId="172"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2" fontId="7" fillId="4" borderId="2" xfId="0" applyNumberFormat="1" applyFont="1" applyFill="1" applyBorder="1" applyAlignment="1"/>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2" fillId="2" borderId="15" xfId="1" applyNumberFormat="1" applyFont="1" applyFill="1" applyBorder="1">
      <alignment vertical="top" wrapText="1"/>
    </xf>
    <xf numFmtId="166"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7"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6"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69" fontId="21" fillId="0" borderId="15" xfId="1" applyNumberFormat="1" applyBorder="1">
      <alignment vertical="top" wrapText="1"/>
    </xf>
    <xf numFmtId="2" fontId="21" fillId="0" borderId="15" xfId="1" applyNumberFormat="1" applyBorder="1">
      <alignment vertical="top" wrapText="1"/>
    </xf>
    <xf numFmtId="167" fontId="21" fillId="0" borderId="15" xfId="1" applyNumberFormat="1" applyBorder="1">
      <alignment vertical="top" wrapText="1"/>
    </xf>
    <xf numFmtId="172" fontId="21" fillId="0" borderId="15" xfId="1" applyNumberFormat="1" applyBorder="1">
      <alignment vertical="top" wrapText="1"/>
    </xf>
    <xf numFmtId="14" fontId="22" fillId="5" borderId="16" xfId="1" applyNumberFormat="1" applyFont="1" applyFill="1" applyBorder="1">
      <alignment vertical="top" wrapText="1"/>
    </xf>
    <xf numFmtId="165"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6" fontId="21" fillId="0" borderId="19" xfId="1" applyNumberFormat="1" applyBorder="1">
      <alignment vertical="top" wrapText="1"/>
    </xf>
    <xf numFmtId="179" fontId="21" fillId="0" borderId="20" xfId="1" applyNumberFormat="1" applyBorder="1">
      <alignment vertical="top" wrapText="1"/>
    </xf>
    <xf numFmtId="172" fontId="21" fillId="0" borderId="20" xfId="1" applyNumberFormat="1" applyBorder="1">
      <alignment vertical="top" wrapText="1"/>
    </xf>
    <xf numFmtId="2" fontId="21" fillId="0" borderId="20" xfId="1" applyNumberFormat="1" applyBorder="1">
      <alignment vertical="top" wrapText="1"/>
    </xf>
    <xf numFmtId="167" fontId="21" fillId="0" borderId="20" xfId="1" applyNumberFormat="1" applyBorder="1">
      <alignment vertical="top" wrapText="1"/>
    </xf>
    <xf numFmtId="165" fontId="21" fillId="0" borderId="20" xfId="1" applyNumberFormat="1" applyBorder="1">
      <alignment vertical="top" wrapText="1"/>
    </xf>
    <xf numFmtId="10" fontId="21" fillId="0" borderId="20" xfId="1" applyNumberFormat="1" applyBorder="1">
      <alignment vertical="top" wrapText="1"/>
    </xf>
    <xf numFmtId="49" fontId="22" fillId="0" borderId="21" xfId="1" applyNumberFormat="1" applyFont="1" applyBorder="1">
      <alignment vertical="top" wrapText="1"/>
    </xf>
    <xf numFmtId="0" fontId="22" fillId="0" borderId="21" xfId="1" applyFon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xf numFmtId="49" fontId="1" fillId="0" borderId="13" xfId="0" applyNumberFormat="1" applyFont="1" applyBorder="1"/>
  </cellXfs>
  <cellStyles count="2">
    <cellStyle name="Normal" xfId="0" builtinId="0"/>
    <cellStyle name="Normal 2" xfId="1" xr:uid="{416BFC1A-1329-1C4B-8EA4-B78F4EF9784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122.82581644535284</c:v>
                </c:pt>
                <c:pt idx="1">
                  <c:v>117.07384695818526</c:v>
                </c:pt>
                <c:pt idx="2">
                  <c:v>140.07753462710704</c:v>
                </c:pt>
                <c:pt idx="3">
                  <c:v>173.29979900326069</c:v>
                </c:pt>
                <c:pt idx="4">
                  <c:v>190.54228161716986</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0.08829</cdr:x>
      <cdr:y>0.7282</cdr:y>
    </cdr:from>
    <cdr:to>
      <cdr:x>0.97477</cdr:x>
      <cdr:y>0.73077</cdr:y>
    </cdr:to>
    <cdr:cxnSp macro="">
      <cdr:nvCxnSpPr>
        <cdr:cNvPr id="3" name="Straight Connector 2">
          <a:extLst xmlns:a="http://schemas.openxmlformats.org/drawingml/2006/main">
            <a:ext uri="{FF2B5EF4-FFF2-40B4-BE49-F238E27FC236}">
              <a16:creationId xmlns:a16="http://schemas.microsoft.com/office/drawing/2014/main" id="{3DA57DB4-100B-D54C-9501-928ABE4D9B63}"/>
            </a:ext>
          </a:extLst>
        </cdr:cNvPr>
        <cdr:cNvCxnSpPr/>
      </cdr:nvCxnSpPr>
      <cdr:spPr>
        <a:xfrm xmlns:a="http://schemas.openxmlformats.org/drawingml/2006/main" flipV="1">
          <a:off x="622312" y="3606794"/>
          <a:ext cx="6248354" cy="12729"/>
        </a:xfrm>
        <a:prstGeom xmlns:a="http://schemas.openxmlformats.org/drawingml/2006/main" prst="line">
          <a:avLst/>
        </a:prstGeom>
        <a:noFill xmlns:a="http://schemas.openxmlformats.org/drawingml/2006/main"/>
        <a:ln xmlns:a="http://schemas.openxmlformats.org/drawingml/2006/main" w="25400" cap="flat">
          <a:solidFill>
            <a:schemeClr val="accent1"/>
          </a:solidFill>
          <a:prstDash val="solid"/>
          <a:round/>
        </a:ln>
        <a:effectLst xmlns:a="http://schemas.openxmlformats.org/drawingml/2006/main">
          <a:outerShdw blurRad="38100" dist="20000" dir="5400000" rotWithShape="0">
            <a:srgbClr val="000000">
              <a:alpha val="38000"/>
            </a:srgbClr>
          </a:outerShdw>
        </a:effectLst>
        <a:sp3d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none"/>
      </cdr:style>
    </cdr:cxnSp>
  </cdr:relSizeAnchor>
</c:userShape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145.09</v>
    <v>83.144999999999996</v>
    <v>1.2021999999999999</v>
    <v>-1.02</v>
    <v>-8.0230000000000006E-3</v>
    <v>0.17</v>
    <v>1.348E-3</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128.19</v>
    <v>3</v>
    <v>Computers, Phones &amp; Household Electronics</v>
    <v>Stock</v>
    <v>44357.999995265622</v>
    <v>4</v>
    <v>125.94</v>
    <v>2104477019300</v>
    <v>APPLE INC.</v>
    <v>APPLE INC.</v>
    <v>127.02</v>
    <v>28.527200000000001</v>
    <v>127.13</v>
    <v>126.11</v>
    <v>126.28</v>
    <v>16687630000</v>
    <v>AAPL</v>
    <v>APPLE INC. (XNAS:AAPL)</v>
    <v>71186421</v>
    <v>79195562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76" formatCode="_([$$-409]* #,##0.00_);_([$$-409]* \(#,##0.00\);_([$$-409]* &quot;-&quot;??_);_(@_)"/>
    </x:dxf>
    <x:dxf>
      <x:numFmt numFmtId="4" formatCode="#,##0.00"/>
    </x:dxf>
    <x:dxf>
      <x:numFmt numFmtId="3" formatCode="#,##0"/>
    </x:dxf>
    <x:dxf>
      <x:numFmt numFmtId="14" formatCode="0.00%"/>
    </x:dxf>
    <x:dxf>
      <x:numFmt numFmtId="175"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tabSelected="1" workbookViewId="0">
      <selection activeCell="A12" sqref="A12"/>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2" customFormat="1" ht="19" customHeight="1" x14ac:dyDescent="0.2">
      <c r="A1" s="155" t="s">
        <v>105</v>
      </c>
      <c r="B1" s="156"/>
      <c r="C1" s="156"/>
      <c r="D1" s="156"/>
    </row>
    <row r="2" spans="1:4" s="152" customFormat="1" ht="14.75" customHeight="1" x14ac:dyDescent="0.2">
      <c r="A2" s="153"/>
      <c r="B2" s="153"/>
      <c r="C2" s="153"/>
      <c r="D2" s="153" t="s">
        <v>104</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5" cm="1">
        <f t="array" ref="B5">_FV(B4,"Price")</f>
        <v>126.11</v>
      </c>
      <c r="C5" s="4"/>
      <c r="D5" s="4"/>
    </row>
    <row r="6" spans="1:4" ht="15.75" customHeight="1" x14ac:dyDescent="0.2">
      <c r="A6" s="2" t="s">
        <v>4</v>
      </c>
      <c r="B6" s="148">
        <f>Assumptions!B15</f>
        <v>0.02</v>
      </c>
      <c r="C6" s="4"/>
      <c r="D6" s="6" t="s">
        <v>5</v>
      </c>
    </row>
    <row r="7" spans="1:4" ht="15.75" customHeight="1" x14ac:dyDescent="0.2">
      <c r="A7" s="2" t="s">
        <v>6</v>
      </c>
      <c r="B7" s="149">
        <f>Assumptions!B16</f>
        <v>6.7380327129735726E-2</v>
      </c>
      <c r="C7" s="4"/>
      <c r="D7" s="6" t="s">
        <v>128</v>
      </c>
    </row>
    <row r="8" spans="1:4" ht="14.75" customHeight="1" x14ac:dyDescent="0.2">
      <c r="A8" s="7"/>
      <c r="B8" s="4"/>
      <c r="C8" s="4"/>
      <c r="D8" s="4"/>
    </row>
    <row r="9" spans="1:4" ht="15.75" customHeight="1" x14ac:dyDescent="0.2">
      <c r="A9" s="2" t="s">
        <v>7</v>
      </c>
      <c r="B9" s="8">
        <f>'FV Calculation'!$B$13/'FV Calculation'!$I$20</f>
        <v>186.83138213121995</v>
      </c>
      <c r="C9" s="4"/>
      <c r="D9" s="4"/>
    </row>
    <row r="10" spans="1:4" ht="15.75" customHeight="1" x14ac:dyDescent="0.2">
      <c r="A10" s="2" t="s">
        <v>8</v>
      </c>
      <c r="B10" s="150">
        <f>(B9-B5)/B5</f>
        <v>0.48149537809230003</v>
      </c>
      <c r="C10" s="4"/>
      <c r="D10" s="4"/>
    </row>
    <row r="11" spans="1:4" ht="15.75" customHeight="1" x14ac:dyDescent="0.2">
      <c r="A11" s="2" t="s">
        <v>129</v>
      </c>
      <c r="B11" s="151">
        <f>(1+B10)^(1/4.33)-1</f>
        <v>9.5021641087148723E-2</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3" activePane="bottomRight" state="frozen"/>
      <selection pane="topRight"/>
      <selection pane="bottomLeft"/>
      <selection pane="bottomRight" activeCell="B17" sqref="B17"/>
    </sheetView>
  </sheetViews>
  <sheetFormatPr baseColWidth="10" defaultColWidth="16.33203125" defaultRowHeight="15.5" customHeight="1" x14ac:dyDescent="0.2"/>
  <cols>
    <col min="1" max="1" width="45.33203125" style="97" customWidth="1"/>
    <col min="2" max="5" width="16.33203125" style="97" customWidth="1"/>
    <col min="6" max="6" width="81.5" style="97" customWidth="1"/>
    <col min="7" max="7" width="16.33203125" style="97" hidden="1" customWidth="1"/>
    <col min="8" max="16384" width="16.33203125" style="97"/>
  </cols>
  <sheetData>
    <row r="1" spans="1:6" ht="18" customHeight="1" x14ac:dyDescent="0.2">
      <c r="A1" s="157" t="s">
        <v>61</v>
      </c>
      <c r="B1" s="157"/>
      <c r="C1" s="157"/>
      <c r="D1" s="157"/>
      <c r="E1" s="157"/>
      <c r="F1" s="157"/>
    </row>
    <row r="2" spans="1:6" ht="17.25" customHeight="1" x14ac:dyDescent="0.2">
      <c r="A2" s="84"/>
      <c r="B2" s="98" t="s">
        <v>62</v>
      </c>
      <c r="C2" s="98" t="s">
        <v>63</v>
      </c>
      <c r="D2" s="98" t="s">
        <v>64</v>
      </c>
      <c r="E2" s="98" t="s">
        <v>65</v>
      </c>
      <c r="F2" s="84"/>
    </row>
    <row r="3" spans="1:6" ht="17.25" customHeight="1" x14ac:dyDescent="0.2">
      <c r="A3" s="86" t="s">
        <v>66</v>
      </c>
      <c r="B3" s="99">
        <v>1</v>
      </c>
      <c r="C3" s="100">
        <v>0.85</v>
      </c>
      <c r="D3" s="100">
        <v>0.85</v>
      </c>
      <c r="E3" s="101">
        <v>1.0900000000000001</v>
      </c>
      <c r="F3" s="102" t="s">
        <v>106</v>
      </c>
    </row>
    <row r="4" spans="1:6" ht="17" customHeight="1" x14ac:dyDescent="0.2">
      <c r="A4" s="92"/>
      <c r="B4" s="93"/>
      <c r="C4" s="94"/>
      <c r="D4" s="94"/>
      <c r="E4" s="94"/>
      <c r="F4" s="94"/>
    </row>
    <row r="5" spans="1:6" ht="17" customHeight="1" x14ac:dyDescent="0.2">
      <c r="A5" s="89" t="s">
        <v>67</v>
      </c>
      <c r="B5" s="103" t="s">
        <v>68</v>
      </c>
      <c r="C5" s="104"/>
      <c r="D5" s="104"/>
      <c r="E5" s="104"/>
      <c r="F5" s="104"/>
    </row>
    <row r="6" spans="1:6" ht="17" customHeight="1" x14ac:dyDescent="0.2">
      <c r="A6" s="89" t="s">
        <v>54</v>
      </c>
      <c r="B6" s="105">
        <v>0.228281549532486</v>
      </c>
      <c r="C6" s="94"/>
      <c r="D6" s="94"/>
      <c r="E6" s="94"/>
      <c r="F6" s="106" t="s">
        <v>107</v>
      </c>
    </row>
    <row r="7" spans="1:6" ht="17" customHeight="1" x14ac:dyDescent="0.2">
      <c r="A7" s="89" t="s">
        <v>69</v>
      </c>
      <c r="B7" s="107" t="s">
        <v>70</v>
      </c>
      <c r="C7" s="94"/>
      <c r="D7" s="94"/>
      <c r="E7" s="94"/>
      <c r="F7" s="106" t="s">
        <v>71</v>
      </c>
    </row>
    <row r="8" spans="1:6" ht="17" customHeight="1" x14ac:dyDescent="0.2">
      <c r="A8" s="89" t="s">
        <v>58</v>
      </c>
      <c r="B8" s="105">
        <v>0.14872712016695</v>
      </c>
      <c r="C8" s="94"/>
      <c r="D8" s="94"/>
      <c r="E8" s="94"/>
      <c r="F8" s="106" t="s">
        <v>108</v>
      </c>
    </row>
    <row r="9" spans="1:6" ht="17" customHeight="1" x14ac:dyDescent="0.2">
      <c r="A9" s="92"/>
      <c r="B9" s="93"/>
      <c r="C9" s="94"/>
      <c r="D9" s="94"/>
      <c r="E9" s="94"/>
      <c r="F9" s="94"/>
    </row>
    <row r="10" spans="1:6" ht="17" customHeight="1" x14ac:dyDescent="0.2">
      <c r="A10" s="89" t="s">
        <v>72</v>
      </c>
      <c r="B10" s="103" t="s">
        <v>73</v>
      </c>
      <c r="C10" s="108" t="s">
        <v>74</v>
      </c>
      <c r="D10" s="104"/>
      <c r="E10" s="104"/>
      <c r="F10" s="104"/>
    </row>
    <row r="11" spans="1:6" ht="17" customHeight="1" x14ac:dyDescent="0.2">
      <c r="A11" s="89" t="s">
        <v>75</v>
      </c>
      <c r="B11" s="95">
        <v>0.28999999999999998</v>
      </c>
      <c r="C11" s="96">
        <v>0.24</v>
      </c>
      <c r="D11" s="94"/>
      <c r="E11" s="94"/>
      <c r="F11" s="106" t="s">
        <v>109</v>
      </c>
    </row>
    <row r="12" spans="1:6" ht="17" customHeight="1" x14ac:dyDescent="0.2">
      <c r="A12" s="89" t="s">
        <v>76</v>
      </c>
      <c r="B12" s="95">
        <v>0.66</v>
      </c>
      <c r="C12" s="96">
        <v>0.66</v>
      </c>
      <c r="D12" s="94"/>
      <c r="E12" s="94"/>
      <c r="F12" s="106" t="s">
        <v>109</v>
      </c>
    </row>
    <row r="13" spans="1:6" ht="17" customHeight="1" x14ac:dyDescent="0.2">
      <c r="A13" s="92"/>
      <c r="B13" s="93"/>
      <c r="C13" s="94"/>
      <c r="D13" s="94"/>
      <c r="E13" s="94"/>
      <c r="F13" s="94"/>
    </row>
    <row r="14" spans="1:6" ht="17" customHeight="1" x14ac:dyDescent="0.2">
      <c r="A14" s="89" t="s">
        <v>77</v>
      </c>
      <c r="B14" s="109"/>
      <c r="C14" s="104"/>
      <c r="D14" s="104"/>
      <c r="E14" s="104"/>
      <c r="F14" s="104"/>
    </row>
    <row r="15" spans="1:6" ht="17" customHeight="1" x14ac:dyDescent="0.2">
      <c r="A15" s="89" t="s">
        <v>78</v>
      </c>
      <c r="B15" s="110">
        <v>0.02</v>
      </c>
      <c r="C15" s="94"/>
      <c r="D15" s="94"/>
      <c r="E15" s="94"/>
      <c r="F15" s="106" t="s">
        <v>79</v>
      </c>
    </row>
    <row r="16" spans="1:6" ht="17" customHeight="1" x14ac:dyDescent="0.2">
      <c r="A16" s="89" t="s">
        <v>6</v>
      </c>
      <c r="B16" s="110">
        <f>WACC!V41</f>
        <v>6.7380327129735726E-2</v>
      </c>
      <c r="C16" s="94"/>
      <c r="D16" s="94"/>
      <c r="E16" s="94"/>
      <c r="F16" s="192" t="s">
        <v>127</v>
      </c>
    </row>
    <row r="17" spans="1:7" ht="17" customHeight="1" x14ac:dyDescent="0.2">
      <c r="A17" s="89" t="s">
        <v>81</v>
      </c>
      <c r="B17" s="110">
        <v>6.9000000000000006E-2</v>
      </c>
      <c r="C17" s="94"/>
      <c r="D17" s="94"/>
      <c r="E17" s="94"/>
      <c r="F17" s="106" t="s">
        <v>80</v>
      </c>
    </row>
    <row r="18" spans="1:7" ht="17" customHeight="1" x14ac:dyDescent="0.2">
      <c r="A18" s="89" t="s">
        <v>82</v>
      </c>
      <c r="B18" s="110">
        <v>6.0999999999999999E-2</v>
      </c>
      <c r="C18" s="94"/>
      <c r="D18" s="94"/>
      <c r="E18" s="94"/>
      <c r="F18" s="106" t="s">
        <v>80</v>
      </c>
    </row>
    <row r="19" spans="1:7" ht="17" customHeight="1" x14ac:dyDescent="0.2">
      <c r="A19" s="89" t="s">
        <v>83</v>
      </c>
      <c r="B19" s="110">
        <v>0.17</v>
      </c>
      <c r="C19" s="94"/>
      <c r="D19" s="94"/>
      <c r="E19" s="94"/>
      <c r="F19" s="106" t="s">
        <v>84</v>
      </c>
    </row>
    <row r="20" spans="1:7" ht="17" customHeight="1" x14ac:dyDescent="0.2">
      <c r="A20" s="89" t="s">
        <v>85</v>
      </c>
      <c r="B20" s="110">
        <v>0.04</v>
      </c>
      <c r="C20" s="94"/>
      <c r="D20" s="94"/>
      <c r="E20" s="94"/>
      <c r="F20" s="106" t="s">
        <v>86</v>
      </c>
    </row>
    <row r="21" spans="1:7" ht="17" customHeight="1" x14ac:dyDescent="0.2">
      <c r="A21" s="89" t="s">
        <v>87</v>
      </c>
      <c r="B21" s="110">
        <v>0.122</v>
      </c>
      <c r="C21" s="94"/>
      <c r="D21" s="94"/>
      <c r="E21" s="94"/>
      <c r="F21" s="106" t="s">
        <v>88</v>
      </c>
    </row>
    <row r="22" spans="1:7" ht="17" customHeight="1" x14ac:dyDescent="0.2">
      <c r="A22" s="92"/>
      <c r="B22" s="110"/>
      <c r="C22" s="94"/>
      <c r="D22" s="94"/>
      <c r="E22" s="94"/>
      <c r="F22" s="94"/>
    </row>
    <row r="23" spans="1:7" ht="17" customHeight="1" x14ac:dyDescent="0.2">
      <c r="A23" s="89" t="s">
        <v>89</v>
      </c>
      <c r="B23" s="111"/>
      <c r="C23" s="104"/>
      <c r="D23" s="104"/>
      <c r="E23" s="104"/>
      <c r="F23" s="104"/>
    </row>
    <row r="24" spans="1:7" ht="17" customHeight="1" x14ac:dyDescent="0.2">
      <c r="A24" s="89" t="s">
        <v>103</v>
      </c>
      <c r="B24" s="112"/>
      <c r="C24" s="94"/>
      <c r="D24" s="94"/>
      <c r="E24" s="94"/>
      <c r="F24" s="94"/>
      <c r="G24" s="97" t="b">
        <v>0</v>
      </c>
    </row>
    <row r="25" spans="1:7" ht="17" customHeight="1" x14ac:dyDescent="0.2">
      <c r="A25" s="89" t="s">
        <v>90</v>
      </c>
      <c r="B25" s="112"/>
      <c r="C25" s="94"/>
      <c r="D25" s="94"/>
      <c r="E25" s="94"/>
      <c r="F25" s="94"/>
      <c r="G25" s="97" t="b">
        <v>0</v>
      </c>
    </row>
    <row r="26" spans="1:7" ht="17" customHeight="1" x14ac:dyDescent="0.2">
      <c r="A26" s="89" t="s">
        <v>91</v>
      </c>
      <c r="B26" s="112"/>
      <c r="C26" s="94"/>
      <c r="D26" s="94"/>
      <c r="E26" s="94"/>
      <c r="F26" s="94"/>
      <c r="G26" s="97" t="b">
        <v>0</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B16" sqref="B16"/>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9</v>
      </c>
    </row>
    <row r="2" spans="1:9" ht="15.75" customHeight="1" x14ac:dyDescent="0.2">
      <c r="A2" s="13" t="s">
        <v>10</v>
      </c>
      <c r="B2" s="14"/>
      <c r="C2" s="14"/>
      <c r="D2" s="15">
        <v>0</v>
      </c>
      <c r="E2" s="15">
        <v>1</v>
      </c>
      <c r="F2" s="15">
        <f>E2+1</f>
        <v>2</v>
      </c>
      <c r="G2" s="15">
        <f>F2+1</f>
        <v>3</v>
      </c>
      <c r="H2" s="15">
        <f>G2+1</f>
        <v>4</v>
      </c>
      <c r="I2" s="14"/>
    </row>
    <row r="3" spans="1:9" ht="14.75" customHeight="1" x14ac:dyDescent="0.2">
      <c r="A3" s="16" t="s">
        <v>11</v>
      </c>
      <c r="B3" s="17">
        <f>FCF!B10</f>
        <v>69394000000</v>
      </c>
      <c r="C3" s="17">
        <f>FCF!C10</f>
        <v>61917000000</v>
      </c>
      <c r="D3" s="17">
        <f>FCF!D10</f>
        <v>88938452578.600311</v>
      </c>
      <c r="E3" s="17">
        <f>FCF!E10</f>
        <v>77686156660.346069</v>
      </c>
      <c r="F3" s="17">
        <f>FCF!F10</f>
        <v>87537174381.793701</v>
      </c>
      <c r="G3" s="17">
        <f>FCF!G10</f>
        <v>103053088138.9695</v>
      </c>
      <c r="H3" s="17">
        <f>FCF!H10</f>
        <v>106439231286.83272</v>
      </c>
      <c r="I3" s="17">
        <f>H3</f>
        <v>106439231286.83272</v>
      </c>
    </row>
    <row r="4" spans="1:9" ht="14.75" customHeight="1" x14ac:dyDescent="0.2">
      <c r="A4" s="16" t="s">
        <v>12</v>
      </c>
      <c r="B4" s="18"/>
      <c r="C4" s="18"/>
      <c r="D4" s="18">
        <f>((1+Dashboard!$B$7)^D2)</f>
        <v>1</v>
      </c>
      <c r="E4" s="18">
        <f>((1+Dashboard!$B$7)^E2)</f>
        <v>1.0673803271297357</v>
      </c>
      <c r="F4" s="18">
        <f>((1+Dashboard!$B$7)^F2)</f>
        <v>1.1393007627435816</v>
      </c>
      <c r="G4" s="18">
        <f>((1+Dashboard!$B$7)^G2)</f>
        <v>1.2160672208364016</v>
      </c>
      <c r="H4" s="18">
        <f>((1+Dashboard!$B$7)^H2)</f>
        <v>1.2980062279881068</v>
      </c>
      <c r="I4" s="19">
        <f>(Dashboard!$B$7-Dashboard!$B$6)</f>
        <v>4.7380327129735722E-2</v>
      </c>
    </row>
    <row r="5" spans="1:9" ht="14.75" customHeight="1" x14ac:dyDescent="0.2">
      <c r="A5" s="20" t="s">
        <v>13</v>
      </c>
      <c r="B5" s="21"/>
      <c r="C5" s="21"/>
      <c r="D5" s="22">
        <f>D3/D4</f>
        <v>88938452578.600311</v>
      </c>
      <c r="E5" s="22">
        <f>E3/E4</f>
        <v>72782076534.284515</v>
      </c>
      <c r="F5" s="22">
        <f>F3/F4</f>
        <v>76834122511.243668</v>
      </c>
      <c r="G5" s="22">
        <f>G3/G4</f>
        <v>84742920763.944595</v>
      </c>
      <c r="H5" s="22">
        <f>H3/H4</f>
        <v>82002095977.468597</v>
      </c>
      <c r="I5" s="22">
        <f>(I3*(1+Dashboard!B6))/I4</f>
        <v>2291415498573.7212</v>
      </c>
    </row>
    <row r="6" spans="1:9" ht="14.75" customHeight="1" x14ac:dyDescent="0.2">
      <c r="A6" s="23" t="s">
        <v>14</v>
      </c>
      <c r="B6" s="24"/>
      <c r="C6" s="24"/>
      <c r="D6" s="25">
        <f>(D3*(1+Dashboard!$B$6))/$I$4</f>
        <v>1914660094721.856</v>
      </c>
      <c r="E6" s="25">
        <f>(E3*(1+Dashboard!$B$6))/$I$4</f>
        <v>1672421542733.9744</v>
      </c>
      <c r="F6" s="25">
        <f>(F3*(1+Dashboard!$B$6))/$I$4</f>
        <v>1884493486609.8213</v>
      </c>
      <c r="G6" s="25">
        <f>(G3*(1+Dashboard!$B$6))/$I$4</f>
        <v>2218518872061.1348</v>
      </c>
      <c r="H6" s="25">
        <f>(H3*(1+Dashboard!$B$6))/$I$4</f>
        <v>2291415498573.7212</v>
      </c>
      <c r="I6" s="25">
        <f>I5</f>
        <v>2291415498573.7212</v>
      </c>
    </row>
    <row r="7" spans="1:9" ht="14.75" customHeight="1" x14ac:dyDescent="0.2">
      <c r="A7" s="16" t="s">
        <v>15</v>
      </c>
      <c r="B7" s="14"/>
      <c r="C7" s="14"/>
      <c r="D7" s="17">
        <f>D5+D6</f>
        <v>2003598547300.4563</v>
      </c>
      <c r="E7" s="17">
        <f>SUM($D5:E5,E6)</f>
        <v>1834142071846.8591</v>
      </c>
      <c r="F7" s="17">
        <f>SUM($D5:F5,F6)</f>
        <v>2123048138233.9497</v>
      </c>
      <c r="G7" s="17">
        <f>SUM($D5:G5,G6)</f>
        <v>2541816444449.208</v>
      </c>
      <c r="H7" s="17">
        <f>SUM($D5:H5,H6)</f>
        <v>2696715166939.2627</v>
      </c>
      <c r="I7" s="17">
        <f>SUM($D5:I5)</f>
        <v>2696715166939.2627</v>
      </c>
    </row>
    <row r="8" spans="1:9" ht="14.75" customHeight="1" x14ac:dyDescent="0.2">
      <c r="A8" s="16" t="s">
        <v>16</v>
      </c>
      <c r="B8" s="14"/>
      <c r="C8" s="14"/>
      <c r="D8" s="17">
        <f>-Financials!E37</f>
        <v>-63200309484.279938</v>
      </c>
      <c r="E8" s="17">
        <f>-Financials!F37</f>
        <v>-57067578152.210724</v>
      </c>
      <c r="F8" s="17">
        <f>-Financials!G37</f>
        <v>-49250393275.85199</v>
      </c>
      <c r="G8" s="17">
        <f>-Financials!H37</f>
        <v>-38187150648.05809</v>
      </c>
      <c r="H8" s="17">
        <f>-Financials!I37</f>
        <v>-26518116890.691559</v>
      </c>
      <c r="I8" s="17">
        <f>H8</f>
        <v>-26518116890.691559</v>
      </c>
    </row>
    <row r="9" spans="1:9" ht="14.75" customHeight="1" x14ac:dyDescent="0.2">
      <c r="A9" s="16" t="s">
        <v>17</v>
      </c>
      <c r="B9" s="14"/>
      <c r="C9" s="14"/>
      <c r="D9" s="17">
        <f t="shared" ref="D9:I9" si="0">D7-D8</f>
        <v>2066798856784.7363</v>
      </c>
      <c r="E9" s="17">
        <f t="shared" si="0"/>
        <v>1891209649999.0698</v>
      </c>
      <c r="F9" s="17">
        <f t="shared" si="0"/>
        <v>2172298531509.8018</v>
      </c>
      <c r="G9" s="17">
        <f t="shared" si="0"/>
        <v>2580003595097.2661</v>
      </c>
      <c r="H9" s="17">
        <f t="shared" si="0"/>
        <v>2723233283829.9541</v>
      </c>
      <c r="I9" s="17">
        <f t="shared" si="0"/>
        <v>2723233283829.9541</v>
      </c>
    </row>
    <row r="10" spans="1:9" ht="14.75" customHeight="1" x14ac:dyDescent="0.2">
      <c r="A10" s="26"/>
      <c r="B10" s="17"/>
      <c r="C10" s="14"/>
      <c r="D10" s="27">
        <f t="shared" ref="D10:I10" si="1">D9/D20</f>
        <v>122.82581644535284</v>
      </c>
      <c r="E10" s="27">
        <f t="shared" si="1"/>
        <v>117.07384695818526</v>
      </c>
      <c r="F10" s="27">
        <f t="shared" si="1"/>
        <v>140.07753462710704</v>
      </c>
      <c r="G10" s="27">
        <f t="shared" si="1"/>
        <v>173.29979900326069</v>
      </c>
      <c r="H10" s="27">
        <f t="shared" si="1"/>
        <v>190.54228161716986</v>
      </c>
      <c r="I10" s="27">
        <f t="shared" si="1"/>
        <v>190.54228161716986</v>
      </c>
    </row>
    <row r="11" spans="1:9" ht="14.75" customHeight="1" x14ac:dyDescent="0.2">
      <c r="A11" s="16" t="s">
        <v>18</v>
      </c>
      <c r="B11" s="17">
        <f>SUM(D5:I5)</f>
        <v>2696715166939.2627</v>
      </c>
      <c r="C11" s="14"/>
      <c r="D11" s="14"/>
      <c r="E11" s="14"/>
      <c r="F11" s="14"/>
      <c r="G11" s="14"/>
      <c r="H11" s="14"/>
      <c r="I11" s="14"/>
    </row>
    <row r="12" spans="1:9" ht="14.75" customHeight="1" x14ac:dyDescent="0.2">
      <c r="A12" s="20" t="s">
        <v>16</v>
      </c>
      <c r="B12" s="22">
        <f>Financials!I37</f>
        <v>26518116890.691559</v>
      </c>
      <c r="C12" s="14"/>
      <c r="D12" s="14"/>
      <c r="E12" s="14"/>
      <c r="F12" s="14"/>
      <c r="G12" s="14"/>
      <c r="H12" s="14"/>
      <c r="I12" s="14"/>
    </row>
    <row r="13" spans="1:9" ht="15.75" customHeight="1" x14ac:dyDescent="0.2">
      <c r="A13" s="28" t="s">
        <v>17</v>
      </c>
      <c r="B13" s="29">
        <f>B11-B12</f>
        <v>2670197050048.5713</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6.7380327129735726E-2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19</v>
      </c>
      <c r="B20" s="34">
        <f>Financials!C39*1000000</f>
        <v>18595700000</v>
      </c>
      <c r="C20" s="34">
        <f>Financials!D39*1000000</f>
        <v>17528200000</v>
      </c>
      <c r="D20" s="34">
        <f>Financials!E39</f>
        <v>16827072000</v>
      </c>
      <c r="E20" s="34">
        <f>Financials!F39</f>
        <v>16153989120</v>
      </c>
      <c r="F20" s="34">
        <f>Financials!G39</f>
        <v>15507829555.199999</v>
      </c>
      <c r="G20" s="34">
        <f>Financials!H39</f>
        <v>14887516372.991999</v>
      </c>
      <c r="H20" s="34">
        <f>Financials!I39</f>
        <v>14292015718.072319</v>
      </c>
      <c r="I20" s="34">
        <f>H20</f>
        <v>14292015718.072319</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B30" sqref="B30:I30"/>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20</v>
      </c>
      <c r="C1" s="41"/>
      <c r="D1" s="41"/>
      <c r="E1" s="42" t="s">
        <v>21</v>
      </c>
      <c r="F1" s="43"/>
      <c r="G1" s="44"/>
      <c r="H1" s="44"/>
      <c r="I1" s="44"/>
      <c r="J1" s="40" t="s">
        <v>22</v>
      </c>
    </row>
    <row r="2" spans="1:10" ht="15.75" customHeight="1" x14ac:dyDescent="0.2">
      <c r="A2" s="39"/>
      <c r="B2" s="45">
        <v>2018</v>
      </c>
      <c r="C2" s="45">
        <v>2019</v>
      </c>
      <c r="D2" s="45">
        <v>2020</v>
      </c>
      <c r="E2" s="46">
        <v>2021</v>
      </c>
      <c r="F2" s="46">
        <v>2022</v>
      </c>
      <c r="G2" s="46">
        <v>2023</v>
      </c>
      <c r="H2" s="46">
        <v>2024</v>
      </c>
      <c r="I2" s="46">
        <v>2025</v>
      </c>
      <c r="J2" s="47"/>
    </row>
    <row r="3" spans="1:10" ht="9" hidden="1" customHeight="1" x14ac:dyDescent="0.2">
      <c r="A3" s="48" t="s">
        <v>23</v>
      </c>
      <c r="B3" s="49">
        <v>265595</v>
      </c>
      <c r="C3" s="50">
        <v>260174</v>
      </c>
      <c r="D3" s="50">
        <v>274515</v>
      </c>
      <c r="E3" s="51">
        <v>358624.99791904603</v>
      </c>
      <c r="F3" s="52"/>
      <c r="G3" s="52"/>
      <c r="H3" s="52"/>
      <c r="I3" s="52"/>
      <c r="J3" s="53" t="s">
        <v>24</v>
      </c>
    </row>
    <row r="4" spans="1:10" ht="15.75" customHeight="1" x14ac:dyDescent="0.2">
      <c r="A4" s="13" t="s">
        <v>25</v>
      </c>
      <c r="B4" s="54">
        <f>B3*1000000</f>
        <v>265595000000</v>
      </c>
      <c r="C4" s="54">
        <f>C3*1000000</f>
        <v>260174000000</v>
      </c>
      <c r="D4" s="54">
        <f>D3*1000000</f>
        <v>274515000000</v>
      </c>
      <c r="E4" s="55">
        <f>'Revenue Model'!B11*1000000</f>
        <v>344130637234.27875</v>
      </c>
      <c r="F4" s="55">
        <f>'Revenue Model'!C11*1000000</f>
        <v>334913568977.05585</v>
      </c>
      <c r="G4" s="55">
        <f>'Revenue Model'!D11*1000000</f>
        <v>357652787401.2677</v>
      </c>
      <c r="H4" s="55">
        <f>'Revenue Model'!E11*1000000</f>
        <v>430075790746.36652</v>
      </c>
      <c r="I4" s="55">
        <f>'Revenue Model'!F11*1000000</f>
        <v>431225231259.77533</v>
      </c>
      <c r="J4" s="14"/>
    </row>
    <row r="5" spans="1:10" ht="9" hidden="1" customHeight="1" x14ac:dyDescent="0.2">
      <c r="A5" s="56" t="s">
        <v>26</v>
      </c>
      <c r="B5" s="57">
        <v>163756</v>
      </c>
      <c r="C5" s="57">
        <v>161782</v>
      </c>
      <c r="D5" s="57">
        <v>169559</v>
      </c>
      <c r="E5" s="58"/>
      <c r="F5" s="59"/>
      <c r="G5" s="59"/>
      <c r="H5" s="59"/>
      <c r="I5" s="59"/>
      <c r="J5" s="14"/>
    </row>
    <row r="6" spans="1:10" ht="15.75" customHeight="1" x14ac:dyDescent="0.2">
      <c r="A6" s="13" t="s">
        <v>27</v>
      </c>
      <c r="B6" s="54">
        <f>B5*1000000</f>
        <v>163756000000</v>
      </c>
      <c r="C6" s="54">
        <f>C5*1000000</f>
        <v>161782000000</v>
      </c>
      <c r="D6" s="54">
        <f>D5*1000000</f>
        <v>169559000000</v>
      </c>
      <c r="E6" s="55">
        <f>('Revenue Model'!B11-'Revenue Model'!B12)*1000000</f>
        <v>206478382340.56723</v>
      </c>
      <c r="F6" s="55">
        <f>('Revenue Model'!C11-'Revenue Model'!C12)*1000000</f>
        <v>208688507765.17719</v>
      </c>
      <c r="G6" s="55">
        <f>('Revenue Model'!D11-'Revenue Model'!D12)*1000000</f>
        <v>220505374878.87775</v>
      </c>
      <c r="H6" s="55">
        <f>('Revenue Model'!E11-'Revenue Model'!E12)*1000000</f>
        <v>266954041587.15729</v>
      </c>
      <c r="I6" s="55">
        <f>('Revenue Model'!F11-'Revenue Model'!F12)*1000000</f>
        <v>262059057167.88977</v>
      </c>
      <c r="J6" s="14"/>
    </row>
    <row r="7" spans="1:10" ht="15.75" customHeight="1" x14ac:dyDescent="0.2">
      <c r="A7" s="60"/>
      <c r="B7" s="19"/>
      <c r="C7" s="19"/>
      <c r="D7" s="19"/>
      <c r="E7" s="61"/>
      <c r="F7" s="62"/>
      <c r="G7" s="62"/>
      <c r="H7" s="62"/>
      <c r="I7" s="62"/>
      <c r="J7" s="14"/>
    </row>
    <row r="8" spans="1:10" ht="15.75" customHeight="1" x14ac:dyDescent="0.2">
      <c r="A8" s="13" t="s">
        <v>28</v>
      </c>
      <c r="B8" s="63">
        <f t="shared" ref="B8:I8" si="0">B4-B6</f>
        <v>101839000000</v>
      </c>
      <c r="C8" s="63">
        <f t="shared" si="0"/>
        <v>98392000000</v>
      </c>
      <c r="D8" s="63">
        <f t="shared" si="0"/>
        <v>104956000000</v>
      </c>
      <c r="E8" s="64">
        <f t="shared" si="0"/>
        <v>137652254893.71152</v>
      </c>
      <c r="F8" s="64">
        <f t="shared" si="0"/>
        <v>126225061211.87866</v>
      </c>
      <c r="G8" s="64">
        <f t="shared" si="0"/>
        <v>137147412522.38995</v>
      </c>
      <c r="H8" s="64">
        <f t="shared" si="0"/>
        <v>163121749159.20923</v>
      </c>
      <c r="I8" s="64">
        <f t="shared" si="0"/>
        <v>169166174091.88556</v>
      </c>
      <c r="J8" s="14"/>
    </row>
    <row r="9" spans="1:10" ht="15.75" customHeight="1" x14ac:dyDescent="0.2">
      <c r="A9" s="13" t="s">
        <v>29</v>
      </c>
      <c r="B9" s="65">
        <f t="shared" ref="B9:I9" si="1">B8/B4</f>
        <v>0.38343718820007905</v>
      </c>
      <c r="C9" s="66">
        <f t="shared" si="1"/>
        <v>0.37817768109034722</v>
      </c>
      <c r="D9" s="66">
        <f t="shared" si="1"/>
        <v>0.38233247727810865</v>
      </c>
      <c r="E9" s="62">
        <f t="shared" si="1"/>
        <v>0.40000000000000008</v>
      </c>
      <c r="F9" s="62">
        <f t="shared" si="1"/>
        <v>0.37688846587319386</v>
      </c>
      <c r="G9" s="62">
        <f t="shared" si="1"/>
        <v>0.38346524157944767</v>
      </c>
      <c r="H9" s="62">
        <f t="shared" si="1"/>
        <v>0.3792860529910852</v>
      </c>
      <c r="I9" s="62">
        <f t="shared" si="1"/>
        <v>0.39229192039084976</v>
      </c>
      <c r="J9" s="14"/>
    </row>
    <row r="10" spans="1:10" ht="15.75" customHeight="1" x14ac:dyDescent="0.2">
      <c r="A10" s="60"/>
      <c r="B10" s="19"/>
      <c r="C10" s="19"/>
      <c r="D10" s="19"/>
      <c r="E10" s="61"/>
      <c r="F10" s="62"/>
      <c r="G10" s="62"/>
      <c r="H10" s="62"/>
      <c r="I10" s="62"/>
      <c r="J10" s="14"/>
    </row>
    <row r="11" spans="1:10" ht="9" hidden="1" customHeight="1" x14ac:dyDescent="0.2">
      <c r="A11" s="13" t="s">
        <v>30</v>
      </c>
      <c r="B11" s="18">
        <v>16705</v>
      </c>
      <c r="C11" s="18">
        <v>18245</v>
      </c>
      <c r="D11" s="18">
        <v>19916</v>
      </c>
      <c r="E11" s="18">
        <f>'Revenue Model'!B11*Assumptions!$B$17</f>
        <v>23745.013969165233</v>
      </c>
      <c r="F11" s="18">
        <f>'Revenue Model'!C11*Assumptions!$B$17</f>
        <v>23109.036259416855</v>
      </c>
      <c r="G11" s="18">
        <f>'Revenue Model'!D11*Assumptions!$B$17</f>
        <v>24678.042330687473</v>
      </c>
      <c r="H11" s="18">
        <f>'Revenue Model'!E11*Assumptions!$B$17</f>
        <v>29675.229561499291</v>
      </c>
      <c r="I11" s="18">
        <f>'Revenue Model'!F11*Assumptions!$B$17</f>
        <v>29754.540956924502</v>
      </c>
      <c r="J11" s="14"/>
    </row>
    <row r="12" spans="1:10" ht="15.75" customHeight="1" x14ac:dyDescent="0.2">
      <c r="A12" s="13" t="s">
        <v>31</v>
      </c>
      <c r="B12" s="54">
        <f t="shared" ref="B12:I12" si="2">B11*1000000</f>
        <v>16705000000</v>
      </c>
      <c r="C12" s="54">
        <f t="shared" si="2"/>
        <v>18245000000</v>
      </c>
      <c r="D12" s="54">
        <f t="shared" si="2"/>
        <v>19916000000</v>
      </c>
      <c r="E12" s="55">
        <f t="shared" si="2"/>
        <v>23745013969.165234</v>
      </c>
      <c r="F12" s="55">
        <f t="shared" si="2"/>
        <v>23109036259.416855</v>
      </c>
      <c r="G12" s="55">
        <f t="shared" si="2"/>
        <v>24678042330.687473</v>
      </c>
      <c r="H12" s="55">
        <f t="shared" si="2"/>
        <v>29675229561.49929</v>
      </c>
      <c r="I12" s="55">
        <f t="shared" si="2"/>
        <v>29754540956.924503</v>
      </c>
      <c r="J12" s="14"/>
    </row>
    <row r="13" spans="1:10" ht="9" hidden="1" customHeight="1" x14ac:dyDescent="0.2">
      <c r="A13" s="13" t="s">
        <v>32</v>
      </c>
      <c r="B13" s="67">
        <f t="shared" ref="B13:I13" si="3">B12/B4</f>
        <v>6.2896515371147807E-2</v>
      </c>
      <c r="C13" s="67">
        <f t="shared" si="3"/>
        <v>7.0126146348213125E-2</v>
      </c>
      <c r="D13" s="67">
        <f t="shared" si="3"/>
        <v>7.2549769593646979E-2</v>
      </c>
      <c r="E13" s="67">
        <f t="shared" si="3"/>
        <v>6.9000000000000006E-2</v>
      </c>
      <c r="F13" s="68">
        <f t="shared" si="3"/>
        <v>6.9000000000000006E-2</v>
      </c>
      <c r="G13" s="68">
        <f t="shared" si="3"/>
        <v>6.9000000000000006E-2</v>
      </c>
      <c r="H13" s="68">
        <f t="shared" si="3"/>
        <v>6.9000000000000006E-2</v>
      </c>
      <c r="I13" s="68">
        <f t="shared" si="3"/>
        <v>6.900000000000002E-2</v>
      </c>
      <c r="J13" s="14"/>
    </row>
    <row r="14" spans="1:10" ht="9" hidden="1" customHeight="1" x14ac:dyDescent="0.2">
      <c r="A14" s="60"/>
      <c r="B14" s="69">
        <v>14236</v>
      </c>
      <c r="C14" s="69">
        <v>16217</v>
      </c>
      <c r="D14" s="69">
        <v>18752</v>
      </c>
      <c r="E14" s="69">
        <f>'Revenue Model'!B11*Assumptions!$B$18</f>
        <v>20991.968871291003</v>
      </c>
      <c r="F14" s="69">
        <f>'Revenue Model'!C11*Assumptions!$B$18</f>
        <v>20429.727707600407</v>
      </c>
      <c r="G14" s="69">
        <f>'Revenue Model'!D11*Assumptions!$B$18</f>
        <v>21816.820031477328</v>
      </c>
      <c r="H14" s="69">
        <f>'Revenue Model'!E11*Assumptions!$B$18</f>
        <v>26234.623235528354</v>
      </c>
      <c r="I14" s="69">
        <f>'Revenue Model'!F11*Assumptions!$B$18</f>
        <v>26304.739106846297</v>
      </c>
      <c r="J14" s="14"/>
    </row>
    <row r="15" spans="1:10" ht="15.75" customHeight="1" x14ac:dyDescent="0.2">
      <c r="A15" s="13" t="s">
        <v>33</v>
      </c>
      <c r="B15" s="54">
        <f t="shared" ref="B15:I15" si="4">B14*1000000</f>
        <v>14236000000</v>
      </c>
      <c r="C15" s="54">
        <f t="shared" si="4"/>
        <v>16217000000</v>
      </c>
      <c r="D15" s="54">
        <f t="shared" si="4"/>
        <v>18752000000</v>
      </c>
      <c r="E15" s="55">
        <f t="shared" si="4"/>
        <v>20991968871.291004</v>
      </c>
      <c r="F15" s="55">
        <f t="shared" si="4"/>
        <v>20429727707.600407</v>
      </c>
      <c r="G15" s="55">
        <f t="shared" si="4"/>
        <v>21816820031.477329</v>
      </c>
      <c r="H15" s="55">
        <f t="shared" si="4"/>
        <v>26234623235.528355</v>
      </c>
      <c r="I15" s="55">
        <f t="shared" si="4"/>
        <v>26304739106.846298</v>
      </c>
      <c r="J15" s="14"/>
    </row>
    <row r="16" spans="1:10" ht="9" hidden="1" customHeight="1" x14ac:dyDescent="0.2">
      <c r="A16" s="60"/>
      <c r="B16" s="69">
        <v>10903</v>
      </c>
      <c r="C16" s="69">
        <v>12547</v>
      </c>
      <c r="D16" s="69">
        <v>11056</v>
      </c>
      <c r="E16" s="69"/>
      <c r="F16" s="69"/>
      <c r="G16" s="69"/>
      <c r="H16" s="69"/>
      <c r="I16" s="69"/>
      <c r="J16" s="14"/>
    </row>
    <row r="17" spans="1:10" ht="15.75" customHeight="1" x14ac:dyDescent="0.2">
      <c r="A17" s="13" t="s">
        <v>34</v>
      </c>
      <c r="B17" s="54">
        <f>B16*1000000</f>
        <v>10903000000</v>
      </c>
      <c r="C17" s="54">
        <f>C16*1000000</f>
        <v>12547000000</v>
      </c>
      <c r="D17" s="54">
        <f>D16*1000000</f>
        <v>11056000000</v>
      </c>
      <c r="E17" s="55">
        <f>AVERAGE($B17:$D17)</f>
        <v>11502000000</v>
      </c>
      <c r="F17" s="55">
        <f>AVERAGE($B17:$D17)</f>
        <v>11502000000</v>
      </c>
      <c r="G17" s="55">
        <f>AVERAGE($B17:$D17)</f>
        <v>11502000000</v>
      </c>
      <c r="H17" s="55">
        <f>AVERAGE($B17:$D17)</f>
        <v>11502000000</v>
      </c>
      <c r="I17" s="55">
        <f>AVERAGE($B17:$D17)</f>
        <v>11502000000</v>
      </c>
      <c r="J17" s="70" t="s">
        <v>35</v>
      </c>
    </row>
    <row r="18" spans="1:10" ht="15.75" customHeight="1" x14ac:dyDescent="0.2">
      <c r="A18" s="13" t="s">
        <v>32</v>
      </c>
      <c r="B18" s="19">
        <f t="shared" ref="B18:I18" si="5">B17/B4</f>
        <v>4.1051224608897006E-2</v>
      </c>
      <c r="C18" s="19">
        <f t="shared" si="5"/>
        <v>4.8225418373857493E-2</v>
      </c>
      <c r="D18" s="19">
        <f t="shared" si="5"/>
        <v>4.0274666229532081E-2</v>
      </c>
      <c r="E18" s="61">
        <f t="shared" si="5"/>
        <v>3.3423353678822904E-2</v>
      </c>
      <c r="F18" s="61">
        <f t="shared" si="5"/>
        <v>3.4343189005841608E-2</v>
      </c>
      <c r="G18" s="61">
        <f t="shared" si="5"/>
        <v>3.2159682253770215E-2</v>
      </c>
      <c r="H18" s="61">
        <f t="shared" si="5"/>
        <v>2.6744123355651062E-2</v>
      </c>
      <c r="I18" s="61">
        <f t="shared" si="5"/>
        <v>2.6672836295775687E-2</v>
      </c>
      <c r="J18" s="14"/>
    </row>
    <row r="19" spans="1:10" ht="15.75" customHeight="1" x14ac:dyDescent="0.2">
      <c r="A19" s="60"/>
      <c r="B19" s="14"/>
      <c r="C19" s="14"/>
      <c r="D19" s="14"/>
      <c r="E19" s="71"/>
      <c r="F19" s="71"/>
      <c r="G19" s="71"/>
      <c r="H19" s="71"/>
      <c r="I19" s="71"/>
      <c r="J19" s="14"/>
    </row>
    <row r="20" spans="1:10" ht="15.75" customHeight="1" x14ac:dyDescent="0.2">
      <c r="A20" s="13" t="s">
        <v>36</v>
      </c>
      <c r="B20" s="63">
        <f t="shared" ref="B20:I20" si="6">B8-B12-B15+B17</f>
        <v>81801000000</v>
      </c>
      <c r="C20" s="63">
        <f t="shared" si="6"/>
        <v>76477000000</v>
      </c>
      <c r="D20" s="63">
        <f t="shared" si="6"/>
        <v>77344000000</v>
      </c>
      <c r="E20" s="64">
        <f t="shared" si="6"/>
        <v>104417272053.25528</v>
      </c>
      <c r="F20" s="64">
        <f t="shared" si="6"/>
        <v>94188297244.861404</v>
      </c>
      <c r="G20" s="64">
        <f t="shared" si="6"/>
        <v>102154550160.22516</v>
      </c>
      <c r="H20" s="64">
        <f t="shared" si="6"/>
        <v>118713896362.18158</v>
      </c>
      <c r="I20" s="64">
        <f t="shared" si="6"/>
        <v>124608894028.11476</v>
      </c>
      <c r="J20" s="14"/>
    </row>
    <row r="21" spans="1:10" ht="15.75" customHeight="1" x14ac:dyDescent="0.2">
      <c r="A21" s="60"/>
      <c r="B21" s="14"/>
      <c r="C21" s="14"/>
      <c r="D21" s="14"/>
      <c r="E21" s="71"/>
      <c r="F21" s="71"/>
      <c r="G21" s="71"/>
      <c r="H21" s="71"/>
      <c r="I21" s="72"/>
      <c r="J21" s="14"/>
    </row>
    <row r="22" spans="1:10" ht="15.75" customHeight="1" x14ac:dyDescent="0.2">
      <c r="A22" s="13" t="s">
        <v>37</v>
      </c>
      <c r="B22" s="63">
        <f t="shared" ref="B22:I22" si="7">B20-B17</f>
        <v>70898000000</v>
      </c>
      <c r="C22" s="63">
        <f t="shared" si="7"/>
        <v>63930000000</v>
      </c>
      <c r="D22" s="63">
        <f t="shared" si="7"/>
        <v>66288000000</v>
      </c>
      <c r="E22" s="64">
        <f t="shared" si="7"/>
        <v>92915272053.25528</v>
      </c>
      <c r="F22" s="64">
        <f t="shared" si="7"/>
        <v>82686297244.861404</v>
      </c>
      <c r="G22" s="64">
        <f t="shared" si="7"/>
        <v>90652550160.225159</v>
      </c>
      <c r="H22" s="64">
        <f t="shared" si="7"/>
        <v>107211896362.18158</v>
      </c>
      <c r="I22" s="64">
        <f t="shared" si="7"/>
        <v>113106894028.11476</v>
      </c>
      <c r="J22" s="14"/>
    </row>
    <row r="23" spans="1:10" ht="15.75" customHeight="1" x14ac:dyDescent="0.2">
      <c r="A23" s="60"/>
      <c r="B23" s="14"/>
      <c r="C23" s="14"/>
      <c r="D23" s="14"/>
      <c r="E23" s="71"/>
      <c r="F23" s="71"/>
      <c r="G23" s="71"/>
      <c r="H23" s="71"/>
      <c r="I23" s="71"/>
      <c r="J23" s="14"/>
    </row>
    <row r="24" spans="1:10" ht="15.75" hidden="1" customHeight="1" x14ac:dyDescent="0.2">
      <c r="A24" s="13" t="s">
        <v>38</v>
      </c>
      <c r="B24" s="18">
        <v>2005</v>
      </c>
      <c r="C24" s="18">
        <v>1838</v>
      </c>
      <c r="D24" s="18">
        <v>721</v>
      </c>
      <c r="E24" s="73">
        <v>0</v>
      </c>
      <c r="F24" s="73">
        <v>0</v>
      </c>
      <c r="G24" s="73">
        <v>0</v>
      </c>
      <c r="H24" s="73">
        <v>0</v>
      </c>
      <c r="I24" s="73">
        <v>0</v>
      </c>
      <c r="J24" s="14"/>
    </row>
    <row r="25" spans="1:10" ht="15.75" customHeight="1" x14ac:dyDescent="0.2">
      <c r="A25" s="13" t="s">
        <v>39</v>
      </c>
      <c r="B25" s="54">
        <f t="shared" ref="B25:I25" si="8">B24*1000000</f>
        <v>2005000000</v>
      </c>
      <c r="C25" s="54">
        <f t="shared" si="8"/>
        <v>1838000000</v>
      </c>
      <c r="D25" s="54">
        <f t="shared" si="8"/>
        <v>721000000</v>
      </c>
      <c r="E25" s="55">
        <f t="shared" si="8"/>
        <v>0</v>
      </c>
      <c r="F25" s="55">
        <f t="shared" si="8"/>
        <v>0</v>
      </c>
      <c r="G25" s="55">
        <f t="shared" si="8"/>
        <v>0</v>
      </c>
      <c r="H25" s="55">
        <f t="shared" si="8"/>
        <v>0</v>
      </c>
      <c r="I25" s="55">
        <f t="shared" si="8"/>
        <v>0</v>
      </c>
      <c r="J25" s="70" t="s">
        <v>40</v>
      </c>
    </row>
    <row r="26" spans="1:10" ht="15.75" customHeight="1" x14ac:dyDescent="0.2">
      <c r="A26" s="60"/>
      <c r="B26" s="14"/>
      <c r="C26" s="14"/>
      <c r="D26" s="14"/>
      <c r="E26" s="71"/>
      <c r="F26" s="73"/>
      <c r="G26" s="73"/>
      <c r="H26" s="73"/>
      <c r="I26" s="73"/>
      <c r="J26" s="14"/>
    </row>
    <row r="27" spans="1:10" ht="15.75" customHeight="1" x14ac:dyDescent="0.2">
      <c r="A27" s="13" t="s">
        <v>41</v>
      </c>
      <c r="B27" s="63">
        <f t="shared" ref="B27:I27" si="9">B22+B25</f>
        <v>72903000000</v>
      </c>
      <c r="C27" s="63">
        <f t="shared" si="9"/>
        <v>65768000000</v>
      </c>
      <c r="D27" s="63">
        <f t="shared" si="9"/>
        <v>67009000000</v>
      </c>
      <c r="E27" s="64">
        <f t="shared" si="9"/>
        <v>92915272053.25528</v>
      </c>
      <c r="F27" s="64">
        <f t="shared" si="9"/>
        <v>82686297244.861404</v>
      </c>
      <c r="G27" s="64">
        <f t="shared" si="9"/>
        <v>90652550160.225159</v>
      </c>
      <c r="H27" s="64">
        <f t="shared" si="9"/>
        <v>107211896362.18158</v>
      </c>
      <c r="I27" s="64">
        <f t="shared" si="9"/>
        <v>113106894028.11476</v>
      </c>
      <c r="J27" s="14"/>
    </row>
    <row r="28" spans="1:10" ht="15.75" hidden="1" customHeight="1" x14ac:dyDescent="0.2">
      <c r="A28" s="60"/>
      <c r="B28" s="74">
        <v>13372</v>
      </c>
      <c r="C28" s="74">
        <v>10481</v>
      </c>
      <c r="D28" s="74">
        <v>9680</v>
      </c>
      <c r="E28" s="75">
        <f>E27*0.15/1000000</f>
        <v>13937.290807988291</v>
      </c>
      <c r="F28" s="76">
        <f>F27*Assumptions!$B$19/1000000</f>
        <v>14056.67053162644</v>
      </c>
      <c r="G28" s="76">
        <f>G27*Assumptions!$B$19/1000000</f>
        <v>15410.933527238278</v>
      </c>
      <c r="H28" s="76">
        <f>H27*Assumptions!$B$19/1000000</f>
        <v>18226.02238157087</v>
      </c>
      <c r="I28" s="76">
        <f>I27*Assumptions!$B$19/1000000</f>
        <v>19228.17198477951</v>
      </c>
      <c r="J28" s="14"/>
    </row>
    <row r="29" spans="1:10" ht="15.75" customHeight="1" x14ac:dyDescent="0.2">
      <c r="A29" s="13" t="s">
        <v>42</v>
      </c>
      <c r="B29" s="54">
        <f t="shared" ref="B29:I29" si="10">B28*1000000</f>
        <v>13372000000</v>
      </c>
      <c r="C29" s="54">
        <f t="shared" si="10"/>
        <v>10481000000</v>
      </c>
      <c r="D29" s="54">
        <f t="shared" si="10"/>
        <v>9680000000</v>
      </c>
      <c r="E29" s="55">
        <f t="shared" si="10"/>
        <v>13937290807.988291</v>
      </c>
      <c r="F29" s="55">
        <f t="shared" si="10"/>
        <v>14056670531.62644</v>
      </c>
      <c r="G29" s="55">
        <f t="shared" si="10"/>
        <v>15410933527.238277</v>
      </c>
      <c r="H29" s="55">
        <f t="shared" si="10"/>
        <v>18226022381.570869</v>
      </c>
      <c r="I29" s="55">
        <f t="shared" si="10"/>
        <v>19228171984.77951</v>
      </c>
      <c r="J29" s="14"/>
    </row>
    <row r="30" spans="1:10" ht="15.75" customHeight="1" x14ac:dyDescent="0.2">
      <c r="A30" s="13" t="s">
        <v>43</v>
      </c>
      <c r="B30" s="82">
        <f t="shared" ref="B30:I30" si="11">IF(B27&gt;0,B29/B27,0)</f>
        <v>0.18342180705869443</v>
      </c>
      <c r="C30" s="82">
        <f t="shared" si="11"/>
        <v>0.1593632161537526</v>
      </c>
      <c r="D30" s="82">
        <f t="shared" si="11"/>
        <v>0.14445820710650809</v>
      </c>
      <c r="E30" s="154">
        <f t="shared" si="11"/>
        <v>0.15</v>
      </c>
      <c r="F30" s="154">
        <f t="shared" si="11"/>
        <v>0.17</v>
      </c>
      <c r="G30" s="154">
        <f t="shared" si="11"/>
        <v>0.17</v>
      </c>
      <c r="H30" s="154">
        <f t="shared" si="11"/>
        <v>0.17</v>
      </c>
      <c r="I30" s="154">
        <f t="shared" si="11"/>
        <v>0.17</v>
      </c>
      <c r="J30" s="70" t="s">
        <v>44</v>
      </c>
    </row>
    <row r="31" spans="1:10" ht="15.75" customHeight="1" x14ac:dyDescent="0.2">
      <c r="A31" s="60"/>
      <c r="B31" s="14"/>
      <c r="C31" s="14"/>
      <c r="D31" s="14"/>
      <c r="E31" s="71"/>
      <c r="F31" s="71"/>
      <c r="G31" s="71"/>
      <c r="H31" s="71"/>
      <c r="I31" s="71"/>
      <c r="J31" s="14"/>
    </row>
    <row r="32" spans="1:10" ht="15.75" customHeight="1" x14ac:dyDescent="0.2">
      <c r="A32" s="60"/>
      <c r="B32" s="14"/>
      <c r="C32" s="14"/>
      <c r="D32" s="14"/>
      <c r="E32" s="71"/>
      <c r="F32" s="71"/>
      <c r="G32" s="71"/>
      <c r="H32" s="71"/>
      <c r="I32" s="71"/>
      <c r="J32" s="14"/>
    </row>
    <row r="33" spans="1:10" ht="15.75" customHeight="1" x14ac:dyDescent="0.2">
      <c r="A33" s="13" t="s">
        <v>45</v>
      </c>
      <c r="B33" s="63">
        <f t="shared" ref="B33:I33" si="12">B27-B29</f>
        <v>59531000000</v>
      </c>
      <c r="C33" s="63">
        <f t="shared" si="12"/>
        <v>55287000000</v>
      </c>
      <c r="D33" s="63">
        <f t="shared" si="12"/>
        <v>57329000000</v>
      </c>
      <c r="E33" s="64">
        <f t="shared" si="12"/>
        <v>78977981245.266983</v>
      </c>
      <c r="F33" s="64">
        <f t="shared" si="12"/>
        <v>68629626713.234962</v>
      </c>
      <c r="G33" s="64">
        <f t="shared" si="12"/>
        <v>75241616632.986877</v>
      </c>
      <c r="H33" s="64">
        <f t="shared" si="12"/>
        <v>88985873980.610718</v>
      </c>
      <c r="I33" s="64">
        <f t="shared" si="12"/>
        <v>93878722043.335251</v>
      </c>
      <c r="J33" s="14"/>
    </row>
    <row r="34" spans="1:10" ht="15.75" customHeight="1" x14ac:dyDescent="0.2">
      <c r="A34" s="13" t="s">
        <v>46</v>
      </c>
      <c r="B34" s="17">
        <v>75265000000</v>
      </c>
      <c r="C34" s="17">
        <v>69714000000</v>
      </c>
      <c r="D34" s="17">
        <v>75992000000</v>
      </c>
      <c r="E34" s="72">
        <f>FCF!D10*1.2</f>
        <v>106726143094.32037</v>
      </c>
      <c r="F34" s="72">
        <f>FCF!E10*1.2</f>
        <v>93223387992.415283</v>
      </c>
      <c r="G34" s="72">
        <f>FCF!F10*1.2</f>
        <v>105044609258.15244</v>
      </c>
      <c r="H34" s="72">
        <f>FCF!G10*1.2</f>
        <v>123663705766.7634</v>
      </c>
      <c r="I34" s="72">
        <f>FCF!H10*1.2</f>
        <v>127727077544.19925</v>
      </c>
      <c r="J34" s="77"/>
    </row>
    <row r="35" spans="1:10" ht="15.75" customHeight="1" x14ac:dyDescent="0.2">
      <c r="A35" s="13" t="s">
        <v>47</v>
      </c>
      <c r="B35" s="17"/>
      <c r="C35" s="17"/>
      <c r="D35" s="17"/>
      <c r="E35" s="72">
        <f>FCF!D10+FCF!D8-E34</f>
        <v>-7811690515.7200623</v>
      </c>
      <c r="F35" s="72">
        <f>FCF!E10+FCF!E8-F34</f>
        <v>-6132731332.0692139</v>
      </c>
      <c r="G35" s="72">
        <f>FCF!F10+FCF!F8-G34</f>
        <v>-7817184876.3587341</v>
      </c>
      <c r="H35" s="72">
        <f>FCF!G10+FCF!G8-H34</f>
        <v>-11063242627.7939</v>
      </c>
      <c r="I35" s="72">
        <f>FCF!H10+FCF!H8-I34</f>
        <v>-11669033757.366531</v>
      </c>
      <c r="J35" s="77"/>
    </row>
    <row r="36" spans="1:10" ht="9" hidden="1" customHeight="1" x14ac:dyDescent="0.2">
      <c r="A36" s="13" t="s">
        <v>48</v>
      </c>
      <c r="B36" s="78">
        <v>122617</v>
      </c>
      <c r="C36" s="78">
        <v>97851</v>
      </c>
      <c r="D36" s="78">
        <v>71012</v>
      </c>
      <c r="E36" s="79"/>
      <c r="F36" s="79"/>
      <c r="G36" s="79"/>
      <c r="H36" s="79"/>
      <c r="I36" s="79"/>
      <c r="J36" s="77"/>
    </row>
    <row r="37" spans="1:10" ht="15.75" customHeight="1" x14ac:dyDescent="0.2">
      <c r="A37" s="13" t="s">
        <v>49</v>
      </c>
      <c r="B37" s="17">
        <f>B36*1000000</f>
        <v>122617000000</v>
      </c>
      <c r="C37" s="17">
        <f>C36*1000000</f>
        <v>97851000000</v>
      </c>
      <c r="D37" s="17">
        <f>D36*1000000</f>
        <v>71012000000</v>
      </c>
      <c r="E37" s="72">
        <f>D37+E35</f>
        <v>63200309484.279938</v>
      </c>
      <c r="F37" s="72">
        <f>E37+F35</f>
        <v>57067578152.210724</v>
      </c>
      <c r="G37" s="72">
        <f>F37+G35</f>
        <v>49250393275.85199</v>
      </c>
      <c r="H37" s="72">
        <f>G37+H35</f>
        <v>38187150648.05809</v>
      </c>
      <c r="I37" s="72">
        <f>H37+I35</f>
        <v>26518116890.691559</v>
      </c>
      <c r="J37" s="77"/>
    </row>
    <row r="38" spans="1:10" ht="15.75" customHeight="1" x14ac:dyDescent="0.2">
      <c r="A38" s="60"/>
      <c r="B38" s="80"/>
      <c r="C38" s="80"/>
      <c r="D38" s="80"/>
      <c r="E38" s="81"/>
      <c r="F38" s="81"/>
      <c r="G38" s="81"/>
      <c r="H38" s="81"/>
      <c r="I38" s="81"/>
      <c r="J38" s="14"/>
    </row>
    <row r="39" spans="1:10" ht="15.75" customHeight="1" x14ac:dyDescent="0.2">
      <c r="A39" s="13" t="s">
        <v>50</v>
      </c>
      <c r="B39" s="80">
        <v>20000.400000000001</v>
      </c>
      <c r="C39" s="80">
        <v>18595.7</v>
      </c>
      <c r="D39" s="80">
        <v>17528.2</v>
      </c>
      <c r="E39" s="81">
        <f>D39*(1-Assumptions!$B$20)*1000000</f>
        <v>16827072000</v>
      </c>
      <c r="F39" s="81">
        <f>E39*(1-Assumptions!$B$20)</f>
        <v>16153989120</v>
      </c>
      <c r="G39" s="81">
        <f>F39*(1-Assumptions!$B$20)</f>
        <v>15507829555.199999</v>
      </c>
      <c r="H39" s="81">
        <f>G39*(1-Assumptions!$B$20)</f>
        <v>14887516372.991999</v>
      </c>
      <c r="I39" s="81">
        <f>H39*(1-Assumptions!$B$20)</f>
        <v>14292015718.072319</v>
      </c>
      <c r="J39" s="14"/>
    </row>
    <row r="40" spans="1:10" ht="15.75" customHeight="1" x14ac:dyDescent="0.2">
      <c r="A40" s="60"/>
      <c r="B40" s="82"/>
      <c r="C40" s="82"/>
      <c r="D40" s="82"/>
      <c r="E40" s="81"/>
      <c r="F40" s="81"/>
      <c r="G40" s="81"/>
      <c r="H40" s="81"/>
      <c r="I40" s="81"/>
      <c r="J40" s="14"/>
    </row>
    <row r="41" spans="1:10" ht="15.75" customHeight="1" x14ac:dyDescent="0.2">
      <c r="A41" s="13" t="s">
        <v>51</v>
      </c>
      <c r="B41" s="27">
        <f>B33/B39/1000000</f>
        <v>2.9764904701905959</v>
      </c>
      <c r="C41" s="27">
        <f>C33/C39/1000000</f>
        <v>2.9731066859542796</v>
      </c>
      <c r="D41" s="27">
        <f>D33/D39/1000000</f>
        <v>3.2706724021861913</v>
      </c>
      <c r="E41" s="76">
        <f>E33/E39</f>
        <v>4.6935070608402327</v>
      </c>
      <c r="F41" s="76">
        <f>F33/F39</f>
        <v>4.2484631011832059</v>
      </c>
      <c r="G41" s="76">
        <f>G33/G39</f>
        <v>4.8518470212201477</v>
      </c>
      <c r="H41" s="76">
        <f>H33/H39</f>
        <v>5.9772141807375823</v>
      </c>
      <c r="I41" s="76">
        <f>I33/I39</f>
        <v>6.5686131260424787</v>
      </c>
      <c r="J41"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E37" sqref="E37"/>
    </sheetView>
  </sheetViews>
  <sheetFormatPr baseColWidth="10" defaultColWidth="16.33203125" defaultRowHeight="15.5" customHeight="1" x14ac:dyDescent="0.2"/>
  <cols>
    <col min="1" max="7" width="16.33203125" style="83" customWidth="1"/>
    <col min="8" max="16384" width="16.33203125" style="83"/>
  </cols>
  <sheetData>
    <row r="1" spans="1:6" ht="18" customHeight="1" x14ac:dyDescent="0.2">
      <c r="A1" s="158" t="s">
        <v>52</v>
      </c>
      <c r="B1" s="158"/>
      <c r="C1" s="158"/>
      <c r="D1" s="158"/>
      <c r="E1" s="158"/>
      <c r="F1" s="158"/>
    </row>
    <row r="2" spans="1:6" ht="17.25" customHeight="1" x14ac:dyDescent="0.2">
      <c r="A2" s="84"/>
      <c r="B2" s="85">
        <v>2021</v>
      </c>
      <c r="C2" s="85">
        <v>2022</v>
      </c>
      <c r="D2" s="85">
        <v>2023</v>
      </c>
      <c r="E2" s="85">
        <v>2024</v>
      </c>
      <c r="F2" s="85">
        <v>2025</v>
      </c>
    </row>
    <row r="3" spans="1:6" ht="17.25" customHeight="1" x14ac:dyDescent="0.2">
      <c r="A3" s="86" t="s">
        <v>53</v>
      </c>
      <c r="B3" s="87">
        <v>189264.19990917601</v>
      </c>
      <c r="C3" s="88">
        <f>$B3*Assumptions!C3</f>
        <v>160874.56992279959</v>
      </c>
      <c r="D3" s="88">
        <f>$B3*Assumptions!D3</f>
        <v>160874.56992279959</v>
      </c>
      <c r="E3" s="88">
        <f>$B3*Assumptions!E3</f>
        <v>206297.97790100187</v>
      </c>
      <c r="F3" s="88">
        <f>IF(Assumptions!G24=FALSE,E3*Assumptions!C3,(E3*Assumptions!C3)*0.85)</f>
        <v>175353.28121585157</v>
      </c>
    </row>
    <row r="4" spans="1:6" ht="17" customHeight="1" x14ac:dyDescent="0.2">
      <c r="A4" s="89" t="s">
        <v>54</v>
      </c>
      <c r="B4" s="90">
        <v>39380.229492070903</v>
      </c>
      <c r="C4" s="91">
        <f>B4*(1+Assumptions!$B$6)</f>
        <v>48370.009301465747</v>
      </c>
      <c r="D4" s="91">
        <f>C4*(1+Assumptions!$B$6)</f>
        <v>59411.989975705103</v>
      </c>
      <c r="E4" s="91">
        <f>D4*(1+Assumptions!$B$6)</f>
        <v>72974.651108167585</v>
      </c>
      <c r="F4" s="91">
        <f>IF(Assumptions!G26=FALSE,IF(Assumptions!G24=FALSE,E4*(1+Assumptions!$B$6),0.85*E4*(1+Assumptions!$B$6)),IF(Assumptions!G24=FALSE,E4*(1+Assumptions!$B$6+0.015),0.85*E4*(1+Assumptions!$B$6+0.015)))</f>
        <v>89633.417539732618</v>
      </c>
    </row>
    <row r="5" spans="1:6" ht="17" customHeight="1" x14ac:dyDescent="0.2">
      <c r="A5" s="89" t="s">
        <v>55</v>
      </c>
      <c r="B5" s="90">
        <v>25740</v>
      </c>
      <c r="C5" s="91">
        <v>25740</v>
      </c>
      <c r="D5" s="91">
        <v>25740</v>
      </c>
      <c r="E5" s="91">
        <v>25740</v>
      </c>
      <c r="F5" s="91">
        <f>IF(Assumptions!G24=FALSE,E5,E5*0.85)</f>
        <v>25740</v>
      </c>
    </row>
    <row r="6" spans="1:6" ht="17" customHeight="1" x14ac:dyDescent="0.2">
      <c r="A6" s="89" t="s">
        <v>56</v>
      </c>
      <c r="B6" s="90">
        <v>21280</v>
      </c>
      <c r="C6" s="91">
        <v>21280</v>
      </c>
      <c r="D6" s="91">
        <v>21280</v>
      </c>
      <c r="E6" s="91">
        <v>21280</v>
      </c>
      <c r="F6" s="91">
        <f>IF(Assumptions!G24=FALSE,E6,E6*0.85)</f>
        <v>21280</v>
      </c>
    </row>
    <row r="7" spans="1:6" ht="17" customHeight="1" x14ac:dyDescent="0.2">
      <c r="A7" s="92"/>
      <c r="B7" s="93"/>
      <c r="C7" s="94"/>
      <c r="D7" s="94"/>
      <c r="E7" s="94"/>
      <c r="F7" s="94"/>
    </row>
    <row r="8" spans="1:6" ht="17" customHeight="1" x14ac:dyDescent="0.2">
      <c r="A8" s="89" t="s">
        <v>57</v>
      </c>
      <c r="B8" s="90">
        <f>SUM(B3:B6)</f>
        <v>275664.42940124695</v>
      </c>
      <c r="C8" s="91">
        <f>SUM(C3:C6)</f>
        <v>256264.57922426536</v>
      </c>
      <c r="D8" s="91">
        <f>SUM(D3:D6)</f>
        <v>267306.5598985047</v>
      </c>
      <c r="E8" s="91">
        <f>SUM(E3:E6)</f>
        <v>326292.62900916947</v>
      </c>
      <c r="F8" s="91">
        <f>SUM(F3:F6)</f>
        <v>312006.69875558419</v>
      </c>
    </row>
    <row r="9" spans="1:6" ht="17" customHeight="1" x14ac:dyDescent="0.2">
      <c r="A9" s="89" t="s">
        <v>58</v>
      </c>
      <c r="B9" s="90">
        <v>68466.207833031804</v>
      </c>
      <c r="C9" s="91">
        <f>B9*(1+Assumptions!$B$8)</f>
        <v>78648.989752790498</v>
      </c>
      <c r="D9" s="91">
        <f>C9*(1+Assumptions!$B$8)</f>
        <v>90346.227502762995</v>
      </c>
      <c r="E9" s="91">
        <f>IF(Assumptions!G25=FALSE,D9*(1+Assumptions!$B$8),0.75*D9*(1+Assumptions!$B$8))</f>
        <v>103783.16173719704</v>
      </c>
      <c r="F9" s="91">
        <f>IF(Assumptions!G24=FALSE,E9*(1+Assumptions!$B$8),0.85*E9*(1+Assumptions!$B$8))</f>
        <v>119218.53250419114</v>
      </c>
    </row>
    <row r="10" spans="1:6" ht="17" customHeight="1" x14ac:dyDescent="0.2">
      <c r="A10" s="92"/>
      <c r="B10" s="93"/>
      <c r="C10" s="94"/>
      <c r="D10" s="94"/>
      <c r="E10" s="94"/>
      <c r="F10" s="94"/>
    </row>
    <row r="11" spans="1:6" ht="17" customHeight="1" x14ac:dyDescent="0.2">
      <c r="A11" s="89" t="s">
        <v>59</v>
      </c>
      <c r="B11" s="90">
        <f>SUM(B8:B9)</f>
        <v>344130.63723427872</v>
      </c>
      <c r="C11" s="91">
        <f>SUM(C8:C9)</f>
        <v>334913.56897705584</v>
      </c>
      <c r="D11" s="91">
        <f>SUM(D8:D9)</f>
        <v>357652.78740126768</v>
      </c>
      <c r="E11" s="91">
        <f>SUM(E8:E9)</f>
        <v>430075.79074636649</v>
      </c>
      <c r="F11" s="91">
        <f>SUM(F8:F9)</f>
        <v>431225.23125977535</v>
      </c>
    </row>
    <row r="12" spans="1:6" ht="17" customHeight="1" x14ac:dyDescent="0.2">
      <c r="A12" s="89" t="s">
        <v>28</v>
      </c>
      <c r="B12" s="90">
        <f>B11*0.4</f>
        <v>137652.25489371151</v>
      </c>
      <c r="C12" s="91">
        <f>C8*Assumptions!$B$11+C9*Assumptions!$B$12</f>
        <v>126225.06121187868</v>
      </c>
      <c r="D12" s="91">
        <f>D8*Assumptions!$B$11+D9*Assumptions!$B$12</f>
        <v>137147.41252238993</v>
      </c>
      <c r="E12" s="91">
        <f>E8*Assumptions!$B$11+E9*Assumptions!$B$12</f>
        <v>163121.7491592092</v>
      </c>
      <c r="F12" s="91">
        <f>IF(Assumptions!G24=FALSE,F8*Assumptions!$B$11+F9*Assumptions!$B$12,F8*Assumptions!$C$11+F9*Assumptions!$C$12)</f>
        <v>169166.17409188556</v>
      </c>
    </row>
    <row r="13" spans="1:6" ht="17" customHeight="1" x14ac:dyDescent="0.2">
      <c r="A13" s="89" t="s">
        <v>60</v>
      </c>
      <c r="B13" s="95">
        <f>B12/B11</f>
        <v>0.40000000000000008</v>
      </c>
      <c r="C13" s="96">
        <f>C12/C11</f>
        <v>0.37688846587319391</v>
      </c>
      <c r="D13" s="96">
        <f>D12/D11</f>
        <v>0.38346524157944761</v>
      </c>
      <c r="E13" s="96">
        <f>E12/E11</f>
        <v>0.37928605299108514</v>
      </c>
      <c r="F13" s="96">
        <f>F12/F11</f>
        <v>0.39229192039084976</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3" customWidth="1"/>
    <col min="2" max="2" width="10" style="113" customWidth="1"/>
    <col min="3" max="3" width="9.5" style="113" customWidth="1"/>
    <col min="4" max="5" width="9.1640625" style="113" customWidth="1"/>
    <col min="6" max="6" width="9.5" style="113" customWidth="1"/>
    <col min="7" max="9" width="9.1640625" style="113" customWidth="1"/>
    <col min="10" max="10" width="22.83203125" style="113" customWidth="1"/>
    <col min="11" max="11" width="8.83203125" style="113" customWidth="1"/>
    <col min="12" max="16384" width="8.83203125" style="113"/>
  </cols>
  <sheetData>
    <row r="1" spans="1:10" ht="17.75" customHeight="1" x14ac:dyDescent="0.2">
      <c r="A1" s="114"/>
      <c r="B1" s="115" t="s">
        <v>92</v>
      </c>
      <c r="C1" s="116"/>
      <c r="D1" s="116"/>
      <c r="E1" s="117" t="s">
        <v>21</v>
      </c>
      <c r="F1" s="118"/>
      <c r="G1" s="119"/>
      <c r="H1" s="119"/>
      <c r="I1" s="119"/>
      <c r="J1" s="116"/>
    </row>
    <row r="2" spans="1:10" ht="17.75" customHeight="1" x14ac:dyDescent="0.2">
      <c r="A2" s="120"/>
      <c r="B2" s="121">
        <f>Financials!B2</f>
        <v>2018</v>
      </c>
      <c r="C2" s="121">
        <f>Financials!C2</f>
        <v>2019</v>
      </c>
      <c r="D2" s="121">
        <f>Financials!D2</f>
        <v>2020</v>
      </c>
      <c r="E2" s="122">
        <f>Financials!E2</f>
        <v>2021</v>
      </c>
      <c r="F2" s="122">
        <f>Financials!F2</f>
        <v>2022</v>
      </c>
      <c r="G2" s="122">
        <f>Financials!G2</f>
        <v>2023</v>
      </c>
      <c r="H2" s="122">
        <f>Financials!H2</f>
        <v>2024</v>
      </c>
      <c r="I2" s="122">
        <f>Financials!I2</f>
        <v>2025</v>
      </c>
      <c r="J2" s="123" t="s">
        <v>22</v>
      </c>
    </row>
    <row r="3" spans="1:10" ht="16.75" customHeight="1" x14ac:dyDescent="0.2">
      <c r="A3" s="124"/>
      <c r="B3" s="125"/>
      <c r="C3" s="125"/>
      <c r="D3" s="125"/>
      <c r="E3" s="126"/>
      <c r="F3" s="126"/>
      <c r="G3" s="126"/>
      <c r="H3" s="126"/>
      <c r="I3" s="126"/>
      <c r="J3" s="125"/>
    </row>
    <row r="4" spans="1:10" ht="16.75" customHeight="1" x14ac:dyDescent="0.2">
      <c r="A4" s="127" t="s">
        <v>93</v>
      </c>
      <c r="B4" s="128">
        <v>48995</v>
      </c>
      <c r="C4" s="128">
        <v>45804</v>
      </c>
      <c r="D4" s="128">
        <v>37445</v>
      </c>
      <c r="E4" s="129">
        <f>AVERAGE(B4:D4)</f>
        <v>44081.333333333336</v>
      </c>
      <c r="F4" s="129">
        <f>AVERAGE(C4:E4)</f>
        <v>42443.444444444445</v>
      </c>
      <c r="G4" s="129">
        <f>AVERAGE(D4:F4)</f>
        <v>41323.259259259263</v>
      </c>
      <c r="H4" s="129">
        <f>AVERAGE(E4:G4)</f>
        <v>42616.012345679017</v>
      </c>
      <c r="I4" s="129">
        <f>AVERAGE(F4:H4)</f>
        <v>42127.572016460908</v>
      </c>
      <c r="J4" s="130" t="s">
        <v>94</v>
      </c>
    </row>
    <row r="5" spans="1:10" ht="16.75" customHeight="1" x14ac:dyDescent="0.2">
      <c r="A5" s="127" t="s">
        <v>95</v>
      </c>
      <c r="B5" s="128">
        <v>3956</v>
      </c>
      <c r="C5" s="128">
        <v>4106</v>
      </c>
      <c r="D5" s="128">
        <v>4061</v>
      </c>
      <c r="E5" s="129">
        <f t="shared" ref="E5:I6" si="0">AVERAGE(A5:D5)</f>
        <v>4041</v>
      </c>
      <c r="F5" s="129">
        <f t="shared" si="0"/>
        <v>4041</v>
      </c>
      <c r="G5" s="129">
        <f t="shared" si="0"/>
        <v>4062.25</v>
      </c>
      <c r="H5" s="129">
        <f t="shared" si="0"/>
        <v>4051.3125</v>
      </c>
      <c r="I5" s="129">
        <f t="shared" si="0"/>
        <v>4048.890625</v>
      </c>
      <c r="J5" s="130" t="s">
        <v>94</v>
      </c>
    </row>
    <row r="6" spans="1:10" ht="16.75" customHeight="1" x14ac:dyDescent="0.2">
      <c r="A6" s="127" t="s">
        <v>96</v>
      </c>
      <c r="B6" s="128">
        <v>55888</v>
      </c>
      <c r="C6" s="128">
        <v>46236</v>
      </c>
      <c r="D6" s="128">
        <v>42296</v>
      </c>
      <c r="E6" s="129">
        <f t="shared" si="0"/>
        <v>48140</v>
      </c>
      <c r="F6" s="129">
        <f t="shared" si="0"/>
        <v>48140</v>
      </c>
      <c r="G6" s="129">
        <f t="shared" si="0"/>
        <v>46203</v>
      </c>
      <c r="H6" s="129">
        <f t="shared" si="0"/>
        <v>46194.75</v>
      </c>
      <c r="I6" s="129">
        <f t="shared" si="0"/>
        <v>47169.4375</v>
      </c>
      <c r="J6" s="130" t="s">
        <v>94</v>
      </c>
    </row>
    <row r="7" spans="1:10" ht="17.75" customHeight="1" x14ac:dyDescent="0.2">
      <c r="A7" s="131" t="s">
        <v>97</v>
      </c>
      <c r="B7" s="128">
        <f t="shared" ref="B7:I7" si="1">SUM(B4:B5)-B6</f>
        <v>-2937</v>
      </c>
      <c r="C7" s="128">
        <f t="shared" si="1"/>
        <v>3674</v>
      </c>
      <c r="D7" s="128">
        <f t="shared" si="1"/>
        <v>-790</v>
      </c>
      <c r="E7" s="129">
        <f t="shared" si="1"/>
        <v>-17.666666666664241</v>
      </c>
      <c r="F7" s="129">
        <f t="shared" si="1"/>
        <v>-1655.5555555555547</v>
      </c>
      <c r="G7" s="129">
        <f t="shared" si="1"/>
        <v>-817.49074074073724</v>
      </c>
      <c r="H7" s="129">
        <f t="shared" si="1"/>
        <v>472.57484567901702</v>
      </c>
      <c r="I7" s="129">
        <f t="shared" si="1"/>
        <v>-992.97485853909166</v>
      </c>
      <c r="J7" s="132"/>
    </row>
    <row r="8" spans="1:10" ht="17.75" customHeight="1" x14ac:dyDescent="0.2">
      <c r="A8" s="133"/>
      <c r="B8" s="134"/>
      <c r="C8" s="134"/>
      <c r="D8" s="134"/>
      <c r="E8" s="135"/>
      <c r="F8" s="135"/>
      <c r="G8" s="135"/>
      <c r="H8" s="135"/>
      <c r="I8" s="135"/>
      <c r="J8" s="132"/>
    </row>
    <row r="9" spans="1:10" ht="17.75" customHeight="1" x14ac:dyDescent="0.2">
      <c r="A9" s="131" t="s">
        <v>98</v>
      </c>
      <c r="B9" s="134"/>
      <c r="C9" s="136">
        <f t="shared" ref="C9:I9" si="2">(B$7-C$7)*1000000</f>
        <v>-6611000000</v>
      </c>
      <c r="D9" s="136">
        <f t="shared" si="2"/>
        <v>4464000000</v>
      </c>
      <c r="E9" s="137">
        <f t="shared" si="2"/>
        <v>-772333333.33333576</v>
      </c>
      <c r="F9" s="137">
        <f t="shared" si="2"/>
        <v>1637888888.8888905</v>
      </c>
      <c r="G9" s="137">
        <f t="shared" si="2"/>
        <v>-838064814.81481755</v>
      </c>
      <c r="H9" s="137">
        <f t="shared" si="2"/>
        <v>-1290065586.4197543</v>
      </c>
      <c r="I9" s="137">
        <f t="shared" si="2"/>
        <v>1465549704.2181087</v>
      </c>
      <c r="J9"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8" customWidth="1"/>
    <col min="2" max="8" width="9.1640625" style="138" customWidth="1"/>
    <col min="9" max="9" width="35.5" style="138" customWidth="1"/>
    <col min="10" max="10" width="8.83203125" style="138" customWidth="1"/>
    <col min="11" max="16384" width="8.83203125" style="138"/>
  </cols>
  <sheetData>
    <row r="1" spans="1:9" ht="17.75" customHeight="1" x14ac:dyDescent="0.2">
      <c r="A1" s="139"/>
      <c r="B1" s="115" t="s">
        <v>92</v>
      </c>
      <c r="C1" s="140"/>
      <c r="D1" s="117" t="s">
        <v>21</v>
      </c>
      <c r="E1" s="141"/>
      <c r="F1" s="140"/>
      <c r="G1" s="140"/>
      <c r="H1" s="140"/>
      <c r="I1" s="140"/>
    </row>
    <row r="2" spans="1:9" ht="17.75" customHeight="1" x14ac:dyDescent="0.2">
      <c r="A2" s="120"/>
      <c r="B2" s="142">
        <f>Financials!C2</f>
        <v>2019</v>
      </c>
      <c r="C2" s="142">
        <f>Financials!D2</f>
        <v>2020</v>
      </c>
      <c r="D2" s="143">
        <f>Financials!E2</f>
        <v>2021</v>
      </c>
      <c r="E2" s="143">
        <f>Financials!F2</f>
        <v>2022</v>
      </c>
      <c r="F2" s="143">
        <f>Financials!G2</f>
        <v>2023</v>
      </c>
      <c r="G2" s="143">
        <f>Financials!H2</f>
        <v>2024</v>
      </c>
      <c r="H2" s="143">
        <f>Financials!I2</f>
        <v>2025</v>
      </c>
      <c r="I2" s="144" t="s">
        <v>22</v>
      </c>
    </row>
    <row r="3" spans="1:9" ht="17.75" customHeight="1" x14ac:dyDescent="0.2">
      <c r="A3" s="145"/>
      <c r="B3" s="125"/>
      <c r="C3" s="125"/>
      <c r="D3" s="126"/>
      <c r="E3" s="126"/>
      <c r="F3" s="126"/>
      <c r="G3" s="126"/>
      <c r="H3" s="126"/>
      <c r="I3" s="125"/>
    </row>
    <row r="4" spans="1:9" ht="17.75" customHeight="1" x14ac:dyDescent="0.2">
      <c r="A4" s="146" t="s">
        <v>99</v>
      </c>
      <c r="B4" s="136">
        <f>Financials!C33</f>
        <v>55287000000</v>
      </c>
      <c r="C4" s="136">
        <f>Financials!D33</f>
        <v>57329000000</v>
      </c>
      <c r="D4" s="137">
        <f>Financials!E33</f>
        <v>78977981245.266983</v>
      </c>
      <c r="E4" s="137">
        <f>Financials!F33</f>
        <v>68629626713.234962</v>
      </c>
      <c r="F4" s="137">
        <f>Financials!G33</f>
        <v>75241616632.986877</v>
      </c>
      <c r="G4" s="137">
        <f>Financials!H33</f>
        <v>88985873980.610718</v>
      </c>
      <c r="H4" s="137">
        <f>Financials!I33</f>
        <v>93878722043.335251</v>
      </c>
      <c r="I4" s="132"/>
    </row>
    <row r="5" spans="1:9" ht="17.75" customHeight="1" x14ac:dyDescent="0.2">
      <c r="A5" s="146" t="s">
        <v>34</v>
      </c>
      <c r="B5" s="136">
        <f>Financials!C17</f>
        <v>12547000000</v>
      </c>
      <c r="C5" s="136">
        <f>Financials!D17</f>
        <v>11056000000</v>
      </c>
      <c r="D5" s="137">
        <f>Financials!E17</f>
        <v>11502000000</v>
      </c>
      <c r="E5" s="137">
        <f>Financials!F17</f>
        <v>11502000000</v>
      </c>
      <c r="F5" s="137">
        <f>Financials!G17</f>
        <v>11502000000</v>
      </c>
      <c r="G5" s="137">
        <f>Financials!H17</f>
        <v>11502000000</v>
      </c>
      <c r="H5" s="137">
        <f>Financials!I17</f>
        <v>11502000000</v>
      </c>
      <c r="I5" s="130" t="s">
        <v>35</v>
      </c>
    </row>
    <row r="6" spans="1:9" ht="17.75" customHeight="1" x14ac:dyDescent="0.2">
      <c r="A6" s="146" t="s">
        <v>100</v>
      </c>
      <c r="B6" s="128">
        <v>6068</v>
      </c>
      <c r="C6" s="128">
        <v>6829</v>
      </c>
      <c r="D6" s="137">
        <f>C6*(1+Assumptions!$B$21)*1000000</f>
        <v>7662137999.999999</v>
      </c>
      <c r="E6" s="137">
        <f>D6*(1+Assumptions!$B$21)</f>
        <v>8596918835.9999981</v>
      </c>
      <c r="F6" s="137">
        <f>E6*(1+Assumptions!$B$21)</f>
        <v>9645742933.9919968</v>
      </c>
      <c r="G6" s="137">
        <f>F6*(1+Assumptions!$B$21)</f>
        <v>10822523571.93902</v>
      </c>
      <c r="H6" s="137">
        <f>G6*(1+Assumptions!$B$21)</f>
        <v>12142871447.71558</v>
      </c>
      <c r="I6" s="132"/>
    </row>
    <row r="7" spans="1:9" ht="17.75" customHeight="1" x14ac:dyDescent="0.2">
      <c r="A7" s="146" t="s">
        <v>101</v>
      </c>
      <c r="B7" s="136">
        <f>'NonCash Working Cap'!C9</f>
        <v>-6611000000</v>
      </c>
      <c r="C7" s="136">
        <f>'NonCash Working Cap'!D9</f>
        <v>4464000000</v>
      </c>
      <c r="D7" s="137">
        <f>'NonCash Working Cap'!E9</f>
        <v>-772333333.33333576</v>
      </c>
      <c r="E7" s="137">
        <f>'NonCash Working Cap'!F9</f>
        <v>1637888888.8888905</v>
      </c>
      <c r="F7" s="137">
        <f>'NonCash Working Cap'!G9</f>
        <v>-838064814.81481755</v>
      </c>
      <c r="G7" s="137">
        <f>'NonCash Working Cap'!H9</f>
        <v>-1290065586.4197543</v>
      </c>
      <c r="H7" s="137">
        <f>'NonCash Working Cap'!I9</f>
        <v>1465549704.2181087</v>
      </c>
      <c r="I7" s="132"/>
    </row>
    <row r="8" spans="1:9" ht="17.75" customHeight="1" x14ac:dyDescent="0.2">
      <c r="A8" s="146" t="s">
        <v>102</v>
      </c>
      <c r="B8" s="136">
        <v>11119000000</v>
      </c>
      <c r="C8" s="136">
        <v>8833000000</v>
      </c>
      <c r="D8" s="137">
        <f>AVERAGE(B8:C8)</f>
        <v>9976000000</v>
      </c>
      <c r="E8" s="137">
        <f>AVERAGE(C8:D8)</f>
        <v>9404500000</v>
      </c>
      <c r="F8" s="137">
        <f>AVERAGE(D8:E8)</f>
        <v>9690250000</v>
      </c>
      <c r="G8" s="137">
        <f>AVERAGE(E8:F8)</f>
        <v>9547375000</v>
      </c>
      <c r="H8" s="137">
        <f>AVERAGE(F8:G8)</f>
        <v>9618812500</v>
      </c>
      <c r="I8" s="130" t="s">
        <v>35</v>
      </c>
    </row>
    <row r="9" spans="1:9" ht="17.75" customHeight="1" x14ac:dyDescent="0.2">
      <c r="A9" s="133"/>
      <c r="B9" s="132"/>
      <c r="C9" s="132"/>
      <c r="D9" s="147"/>
      <c r="E9" s="147"/>
      <c r="F9" s="147"/>
      <c r="G9" s="147"/>
      <c r="H9" s="147"/>
      <c r="I9" s="132"/>
    </row>
    <row r="10" spans="1:9" ht="17.75" customHeight="1" x14ac:dyDescent="0.2">
      <c r="A10" s="146" t="s">
        <v>11</v>
      </c>
      <c r="B10" s="136">
        <f>B4+B5-B7-B8+B6*1000000</f>
        <v>69394000000</v>
      </c>
      <c r="C10" s="136">
        <f>C4+C5-C7-C8+C6*1000000</f>
        <v>61917000000</v>
      </c>
      <c r="D10" s="137">
        <f>D4+D5+D6-D7-D8</f>
        <v>88938452578.600311</v>
      </c>
      <c r="E10" s="137">
        <f>E4+E5+E6-E7-E8</f>
        <v>77686156660.346069</v>
      </c>
      <c r="F10" s="137">
        <f>F4+F5+F6-F7-F8</f>
        <v>87537174381.793701</v>
      </c>
      <c r="G10" s="137">
        <f>G4+G5+G6-G7-G8</f>
        <v>103053088138.9695</v>
      </c>
      <c r="H10" s="137">
        <f>H4+H5+H6-H7-H8</f>
        <v>106439231286.83272</v>
      </c>
      <c r="I10" s="132"/>
    </row>
    <row r="11" spans="1:9" ht="17.75" customHeight="1" x14ac:dyDescent="0.2">
      <c r="A11" s="133"/>
      <c r="B11" s="136"/>
      <c r="C11" s="136"/>
      <c r="D11" s="137"/>
      <c r="E11" s="137"/>
      <c r="F11" s="137"/>
      <c r="G11" s="137"/>
      <c r="H11" s="137"/>
      <c r="I11" s="132"/>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2BBA-87D1-8147-8FCB-F2D9661B31A3}">
  <sheetPr>
    <pageSetUpPr fitToPage="1"/>
  </sheetPr>
  <dimension ref="A1:V41"/>
  <sheetViews>
    <sheetView showGridLines="0" workbookViewId="0">
      <pane xSplit="1" ySplit="2" topLeftCell="B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6" customWidth="1"/>
    <col min="11" max="11" width="16.33203125" style="166" hidden="1" customWidth="1"/>
    <col min="12" max="13" width="16.33203125" style="166" customWidth="1"/>
    <col min="14" max="16" width="16.33203125" style="166" hidden="1" customWidth="1"/>
    <col min="17" max="23" width="16.33203125" style="166" customWidth="1"/>
    <col min="24" max="16384" width="16.33203125" style="166"/>
  </cols>
  <sheetData>
    <row r="1" spans="1:22" ht="8.25" hidden="1" customHeight="1" x14ac:dyDescent="0.2">
      <c r="A1" s="159" t="s">
        <v>110</v>
      </c>
      <c r="B1" s="160"/>
      <c r="C1" s="161"/>
      <c r="D1" s="161"/>
      <c r="E1" s="161"/>
      <c r="F1" s="162">
        <f>AVERAGE(F15:F40)</f>
        <v>0.97276993505983878</v>
      </c>
      <c r="G1" s="162"/>
      <c r="H1" s="162"/>
      <c r="I1" s="162"/>
      <c r="J1" s="162"/>
      <c r="K1" s="163"/>
      <c r="L1" s="164"/>
      <c r="M1" s="163"/>
      <c r="N1" s="163"/>
      <c r="O1" s="163"/>
      <c r="P1" s="163"/>
      <c r="Q1" s="163"/>
      <c r="R1" s="163"/>
      <c r="S1" s="163"/>
      <c r="T1" s="163"/>
      <c r="U1" s="163"/>
      <c r="V1" s="165">
        <f>AVERAGE(V15:V40)</f>
        <v>6.7380327129735726E-2</v>
      </c>
    </row>
    <row r="2" spans="1:22" ht="32" customHeight="1" x14ac:dyDescent="0.2">
      <c r="A2" s="161"/>
      <c r="B2" s="159" t="s">
        <v>1</v>
      </c>
      <c r="C2" s="159" t="s">
        <v>111</v>
      </c>
      <c r="D2" s="159" t="s">
        <v>1</v>
      </c>
      <c r="E2" s="159" t="s">
        <v>111</v>
      </c>
      <c r="F2" s="159" t="s">
        <v>112</v>
      </c>
      <c r="G2" s="159" t="s">
        <v>113</v>
      </c>
      <c r="H2" s="159" t="s">
        <v>114</v>
      </c>
      <c r="I2" s="159" t="s">
        <v>115</v>
      </c>
      <c r="J2" s="159" t="s">
        <v>116</v>
      </c>
      <c r="K2" s="161"/>
      <c r="L2" s="159" t="s">
        <v>19</v>
      </c>
      <c r="M2" s="159" t="s">
        <v>117</v>
      </c>
      <c r="N2" s="159" t="s">
        <v>118</v>
      </c>
      <c r="O2" s="159" t="s">
        <v>119</v>
      </c>
      <c r="P2" s="159" t="s">
        <v>120</v>
      </c>
      <c r="Q2" s="159" t="s">
        <v>121</v>
      </c>
      <c r="R2" s="159" t="s">
        <v>122</v>
      </c>
      <c r="S2" s="159" t="s">
        <v>123</v>
      </c>
      <c r="T2" s="159" t="s">
        <v>124</v>
      </c>
      <c r="U2" s="159" t="s">
        <v>125</v>
      </c>
      <c r="V2" s="159" t="s">
        <v>6</v>
      </c>
    </row>
    <row r="3" spans="1:22" ht="8.25" hidden="1" customHeight="1" x14ac:dyDescent="0.2">
      <c r="A3" s="167">
        <v>40909</v>
      </c>
      <c r="B3" s="168">
        <v>16.302855999999998</v>
      </c>
      <c r="C3" s="169">
        <v>1312.41</v>
      </c>
      <c r="D3" s="170"/>
      <c r="E3" s="170"/>
      <c r="F3" s="171"/>
      <c r="G3" s="171"/>
      <c r="H3" s="171"/>
      <c r="I3" s="171"/>
      <c r="J3" s="171"/>
      <c r="K3" s="172"/>
      <c r="L3" s="173"/>
      <c r="M3" s="172"/>
      <c r="N3" s="172"/>
      <c r="O3" s="172"/>
      <c r="P3" s="172"/>
      <c r="Q3" s="172"/>
      <c r="R3" s="172"/>
      <c r="S3" s="172"/>
      <c r="T3" s="172"/>
      <c r="U3" s="172"/>
      <c r="V3" s="172"/>
    </row>
    <row r="4" spans="1:22" ht="8.25" hidden="1" customHeight="1" x14ac:dyDescent="0.2">
      <c r="A4" s="167">
        <v>41000</v>
      </c>
      <c r="B4" s="168">
        <v>20.856428000000001</v>
      </c>
      <c r="C4" s="169">
        <v>1397.91</v>
      </c>
      <c r="D4" s="174">
        <f t="shared" ref="D4:E40" si="0">B4/B3-1</f>
        <v>0.27931130594541242</v>
      </c>
      <c r="E4" s="174">
        <f t="shared" si="0"/>
        <v>6.5147324387958117E-2</v>
      </c>
      <c r="F4" s="171"/>
      <c r="G4" s="171"/>
      <c r="H4" s="171"/>
      <c r="I4" s="171"/>
      <c r="J4" s="171"/>
      <c r="K4" s="172"/>
      <c r="L4" s="173"/>
      <c r="M4" s="172"/>
      <c r="N4" s="172"/>
      <c r="O4" s="172"/>
      <c r="P4" s="172"/>
      <c r="Q4" s="172"/>
      <c r="R4" s="172"/>
      <c r="S4" s="172"/>
      <c r="T4" s="172"/>
      <c r="U4" s="172"/>
      <c r="V4" s="172"/>
    </row>
    <row r="5" spans="1:22" ht="8.25" hidden="1" customHeight="1" x14ac:dyDescent="0.2">
      <c r="A5" s="167">
        <v>41091</v>
      </c>
      <c r="B5" s="168">
        <v>21.812857000000001</v>
      </c>
      <c r="C5" s="169">
        <v>1379.32</v>
      </c>
      <c r="D5" s="174">
        <f t="shared" si="0"/>
        <v>4.5857756659002158E-2</v>
      </c>
      <c r="E5" s="174">
        <f t="shared" si="0"/>
        <v>-1.3298424075942061E-2</v>
      </c>
      <c r="F5" s="171"/>
      <c r="G5" s="171"/>
      <c r="H5" s="171"/>
      <c r="I5" s="171"/>
      <c r="J5" s="171"/>
      <c r="K5" s="172"/>
      <c r="L5" s="173"/>
      <c r="M5" s="172"/>
      <c r="N5" s="172"/>
      <c r="O5" s="172"/>
      <c r="P5" s="172"/>
      <c r="Q5" s="172"/>
      <c r="R5" s="172"/>
      <c r="S5" s="172"/>
      <c r="T5" s="172"/>
      <c r="U5" s="172"/>
      <c r="V5" s="172"/>
    </row>
    <row r="6" spans="1:22" ht="8.25" hidden="1" customHeight="1" x14ac:dyDescent="0.2">
      <c r="A6" s="167">
        <v>41183</v>
      </c>
      <c r="B6" s="168">
        <v>21.261429</v>
      </c>
      <c r="C6" s="169">
        <v>1412.16</v>
      </c>
      <c r="D6" s="174">
        <f t="shared" si="0"/>
        <v>-2.5279953011198897E-2</v>
      </c>
      <c r="E6" s="174">
        <f t="shared" si="0"/>
        <v>2.3808833338166746E-2</v>
      </c>
      <c r="F6" s="171"/>
      <c r="G6" s="171"/>
      <c r="H6" s="171"/>
      <c r="I6" s="171"/>
      <c r="J6" s="171"/>
      <c r="K6" s="172"/>
      <c r="L6" s="173"/>
      <c r="M6" s="172"/>
      <c r="N6" s="172"/>
      <c r="O6" s="172"/>
      <c r="P6" s="172"/>
      <c r="Q6" s="172"/>
      <c r="R6" s="172"/>
      <c r="S6" s="172"/>
      <c r="T6" s="172"/>
      <c r="U6" s="172"/>
      <c r="V6" s="172"/>
    </row>
    <row r="7" spans="1:22" ht="8.25" hidden="1" customHeight="1" x14ac:dyDescent="0.2">
      <c r="A7" s="167">
        <v>41275</v>
      </c>
      <c r="B7" s="168">
        <v>16.267499999999998</v>
      </c>
      <c r="C7" s="169">
        <v>1498.11</v>
      </c>
      <c r="D7" s="174">
        <f t="shared" si="0"/>
        <v>-0.23488209564841578</v>
      </c>
      <c r="E7" s="174">
        <f t="shared" si="0"/>
        <v>6.0864208021753852E-2</v>
      </c>
      <c r="F7" s="171"/>
      <c r="G7" s="171"/>
      <c r="H7" s="171"/>
      <c r="I7" s="171"/>
      <c r="J7" s="171"/>
      <c r="K7" s="172"/>
      <c r="L7" s="173"/>
      <c r="M7" s="172"/>
      <c r="N7" s="172"/>
      <c r="O7" s="172"/>
      <c r="P7" s="172"/>
      <c r="Q7" s="172"/>
      <c r="R7" s="172"/>
      <c r="S7" s="172"/>
      <c r="T7" s="172"/>
      <c r="U7" s="172"/>
      <c r="V7" s="172"/>
    </row>
    <row r="8" spans="1:22" ht="8.25" hidden="1" customHeight="1" x14ac:dyDescent="0.2">
      <c r="A8" s="167">
        <v>41365</v>
      </c>
      <c r="B8" s="168">
        <v>15.813571</v>
      </c>
      <c r="C8" s="169">
        <v>1597.57</v>
      </c>
      <c r="D8" s="174">
        <f t="shared" si="0"/>
        <v>-2.7904041801137147E-2</v>
      </c>
      <c r="E8" s="174">
        <f t="shared" si="0"/>
        <v>6.6390318467936194E-2</v>
      </c>
      <c r="F8" s="171"/>
      <c r="G8" s="171"/>
      <c r="H8" s="171"/>
      <c r="I8" s="171"/>
      <c r="J8" s="171"/>
      <c r="K8" s="172"/>
      <c r="L8" s="173"/>
      <c r="M8" s="172"/>
      <c r="N8" s="172"/>
      <c r="O8" s="172"/>
      <c r="P8" s="172"/>
      <c r="Q8" s="172"/>
      <c r="R8" s="172"/>
      <c r="S8" s="172"/>
      <c r="T8" s="172"/>
      <c r="U8" s="172"/>
      <c r="V8" s="172"/>
    </row>
    <row r="9" spans="1:22" ht="8.25" hidden="1" customHeight="1" x14ac:dyDescent="0.2">
      <c r="A9" s="167">
        <v>41456</v>
      </c>
      <c r="B9" s="168">
        <v>16.161784999999998</v>
      </c>
      <c r="C9" s="169">
        <v>1685.73</v>
      </c>
      <c r="D9" s="174">
        <f t="shared" si="0"/>
        <v>2.2019947297166276E-2</v>
      </c>
      <c r="E9" s="174">
        <f t="shared" si="0"/>
        <v>5.5183810412063439E-2</v>
      </c>
      <c r="F9" s="171"/>
      <c r="G9" s="171"/>
      <c r="H9" s="171"/>
      <c r="I9" s="171"/>
      <c r="J9" s="171"/>
      <c r="K9" s="172"/>
      <c r="L9" s="173"/>
      <c r="M9" s="172"/>
      <c r="N9" s="172"/>
      <c r="O9" s="172"/>
      <c r="P9" s="172"/>
      <c r="Q9" s="172"/>
      <c r="R9" s="172"/>
      <c r="S9" s="172"/>
      <c r="T9" s="172"/>
      <c r="U9" s="172"/>
      <c r="V9" s="172"/>
    </row>
    <row r="10" spans="1:22" ht="8.25" hidden="1" customHeight="1" x14ac:dyDescent="0.2">
      <c r="A10" s="167">
        <v>41548</v>
      </c>
      <c r="B10" s="168">
        <v>18.667856</v>
      </c>
      <c r="C10" s="169">
        <v>1756.54</v>
      </c>
      <c r="D10" s="174">
        <f t="shared" si="0"/>
        <v>0.1550615232166499</v>
      </c>
      <c r="E10" s="174">
        <f t="shared" si="0"/>
        <v>4.2005540626316229E-2</v>
      </c>
      <c r="F10" s="171"/>
      <c r="G10" s="171"/>
      <c r="H10" s="171"/>
      <c r="I10" s="171"/>
      <c r="J10" s="171"/>
      <c r="K10" s="172"/>
      <c r="L10" s="173"/>
      <c r="M10" s="172"/>
      <c r="N10" s="172"/>
      <c r="O10" s="172"/>
      <c r="P10" s="172"/>
      <c r="Q10" s="172"/>
      <c r="R10" s="172"/>
      <c r="S10" s="172"/>
      <c r="T10" s="172"/>
      <c r="U10" s="172"/>
      <c r="V10" s="172"/>
    </row>
    <row r="11" spans="1:22" ht="8.25" hidden="1" customHeight="1" x14ac:dyDescent="0.2">
      <c r="A11" s="167">
        <v>41640</v>
      </c>
      <c r="B11" s="168">
        <v>17.878571000000001</v>
      </c>
      <c r="C11" s="169">
        <v>1782.59</v>
      </c>
      <c r="D11" s="174">
        <f t="shared" si="0"/>
        <v>-4.228043113253066E-2</v>
      </c>
      <c r="E11" s="174">
        <f t="shared" si="0"/>
        <v>1.4830291368258086E-2</v>
      </c>
      <c r="F11" s="171"/>
      <c r="G11" s="171"/>
      <c r="H11" s="171"/>
      <c r="I11" s="171"/>
      <c r="J11" s="171"/>
      <c r="K11" s="172"/>
      <c r="L11" s="173"/>
      <c r="M11" s="172"/>
      <c r="N11" s="172"/>
      <c r="O11" s="172"/>
      <c r="P11" s="172"/>
      <c r="Q11" s="172"/>
      <c r="R11" s="172">
        <v>84</v>
      </c>
      <c r="S11" s="172"/>
      <c r="T11" s="172"/>
      <c r="U11" s="172"/>
      <c r="V11" s="172"/>
    </row>
    <row r="12" spans="1:22" ht="8.25" hidden="1" customHeight="1" x14ac:dyDescent="0.2">
      <c r="A12" s="167">
        <v>41730</v>
      </c>
      <c r="B12" s="168">
        <v>21.074642000000001</v>
      </c>
      <c r="C12" s="169">
        <v>1883.95</v>
      </c>
      <c r="D12" s="174">
        <f t="shared" si="0"/>
        <v>0.17876546173628749</v>
      </c>
      <c r="E12" s="174">
        <f t="shared" si="0"/>
        <v>5.6861084152833863E-2</v>
      </c>
      <c r="F12" s="171"/>
      <c r="G12" s="171"/>
      <c r="H12" s="171"/>
      <c r="I12" s="171"/>
      <c r="J12" s="171"/>
      <c r="K12" s="172"/>
      <c r="L12" s="173"/>
      <c r="M12" s="172"/>
      <c r="N12" s="172"/>
      <c r="O12" s="172"/>
      <c r="P12" s="172"/>
      <c r="Q12" s="172"/>
      <c r="R12" s="172">
        <v>85</v>
      </c>
      <c r="S12" s="172"/>
      <c r="T12" s="172"/>
      <c r="U12" s="172"/>
      <c r="V12" s="172"/>
    </row>
    <row r="13" spans="1:22" ht="8.25" hidden="1" customHeight="1" x14ac:dyDescent="0.2">
      <c r="A13" s="167">
        <v>41821</v>
      </c>
      <c r="B13" s="168">
        <v>23.9</v>
      </c>
      <c r="C13" s="169">
        <v>1930.67</v>
      </c>
      <c r="D13" s="174">
        <f t="shared" si="0"/>
        <v>0.13406434140138646</v>
      </c>
      <c r="E13" s="174">
        <f t="shared" si="0"/>
        <v>2.4798959632686746E-2</v>
      </c>
      <c r="F13" s="171"/>
      <c r="G13" s="171"/>
      <c r="H13" s="171"/>
      <c r="I13" s="171"/>
      <c r="J13" s="171"/>
      <c r="K13" s="172"/>
      <c r="L13" s="173"/>
      <c r="M13" s="172"/>
      <c r="N13" s="172"/>
      <c r="O13" s="172"/>
      <c r="P13" s="172"/>
      <c r="Q13" s="172"/>
      <c r="R13" s="172">
        <v>100</v>
      </c>
      <c r="S13" s="172"/>
      <c r="T13" s="172"/>
      <c r="U13" s="172"/>
      <c r="V13" s="172"/>
    </row>
    <row r="14" spans="1:22" ht="8.25" hidden="1" customHeight="1" x14ac:dyDescent="0.2">
      <c r="A14" s="167">
        <v>41913</v>
      </c>
      <c r="B14" s="168">
        <v>27</v>
      </c>
      <c r="C14" s="169">
        <v>2018.05</v>
      </c>
      <c r="D14" s="174">
        <f t="shared" si="0"/>
        <v>0.12970711297071147</v>
      </c>
      <c r="E14" s="174">
        <f t="shared" si="0"/>
        <v>4.5258899760186821E-2</v>
      </c>
      <c r="F14" s="171"/>
      <c r="G14" s="171"/>
      <c r="H14" s="171"/>
      <c r="I14" s="171"/>
      <c r="J14" s="171"/>
      <c r="K14" s="172"/>
      <c r="L14" s="173"/>
      <c r="M14" s="172"/>
      <c r="N14" s="172">
        <v>28987</v>
      </c>
      <c r="O14" s="172">
        <v>0</v>
      </c>
      <c r="P14" s="172">
        <v>6308</v>
      </c>
      <c r="Q14" s="172"/>
      <c r="R14" s="172">
        <v>115</v>
      </c>
      <c r="S14" s="170"/>
      <c r="T14" s="170"/>
      <c r="U14" s="170"/>
      <c r="V14" s="170"/>
    </row>
    <row r="15" spans="1:22" ht="20" customHeight="1" x14ac:dyDescent="0.2">
      <c r="A15" s="175">
        <v>42005</v>
      </c>
      <c r="B15" s="168">
        <v>29.290001</v>
      </c>
      <c r="C15" s="169">
        <v>1994.99</v>
      </c>
      <c r="D15" s="174">
        <f t="shared" si="0"/>
        <v>8.4814851851851891E-2</v>
      </c>
      <c r="E15" s="174">
        <f t="shared" si="0"/>
        <v>-1.1426872475904903E-2</v>
      </c>
      <c r="F15" s="172">
        <f>_xlfn.COVARIANCE.P(D4:D15,E4:E15)/VARP(E4:E15)</f>
        <v>0.14304398217391678</v>
      </c>
      <c r="G15" s="174">
        <v>5.7799999999999997E-2</v>
      </c>
      <c r="H15" s="174">
        <v>5.5800000000000002E-2</v>
      </c>
      <c r="I15" s="174">
        <v>2.27596774193548E-2</v>
      </c>
      <c r="J15" s="174">
        <f t="shared" ref="J15:J40" si="1">I15+F15*G15</f>
        <v>3.102761958900719E-2</v>
      </c>
      <c r="K15" s="172">
        <v>5824748000</v>
      </c>
      <c r="L15" s="173">
        <f t="shared" ref="L15:L37" si="2">K15*4</f>
        <v>23298992000</v>
      </c>
      <c r="M15" s="176">
        <f t="shared" ref="M15:M40" si="3">L15*B15</f>
        <v>682427498978.99194</v>
      </c>
      <c r="N15" s="172">
        <v>32504</v>
      </c>
      <c r="O15" s="172">
        <v>0</v>
      </c>
      <c r="P15" s="172">
        <v>3899</v>
      </c>
      <c r="Q15" s="176">
        <f t="shared" ref="Q15:Q40" si="4">SUM(N15:P15)*1000000</f>
        <v>36403000000</v>
      </c>
      <c r="R15" s="172">
        <v>131</v>
      </c>
      <c r="S15" s="177">
        <f t="shared" ref="S15:S40" si="5">SUM(R12:R15)/SUM(N15:P15)</f>
        <v>1.1839683542565173E-2</v>
      </c>
      <c r="T15" s="177">
        <f t="shared" ref="T15:T40" si="6">M15/(M15+Q15)</f>
        <v>0.94935801965594691</v>
      </c>
      <c r="U15" s="177">
        <f t="shared" ref="U15:U40" si="7">1-T15</f>
        <v>5.0641980344053095E-2</v>
      </c>
      <c r="V15" s="177">
        <f t="shared" ref="V15:V40" si="8">(T15*J15)+(U15*S15)</f>
        <v>3.0055904508900323E-2</v>
      </c>
    </row>
    <row r="16" spans="1:22" ht="20" customHeight="1" x14ac:dyDescent="0.2">
      <c r="A16" s="175">
        <v>42095</v>
      </c>
      <c r="B16" s="168">
        <v>31.287500000000001</v>
      </c>
      <c r="C16" s="169">
        <v>2085.5100000000002</v>
      </c>
      <c r="D16" s="174">
        <f t="shared" si="0"/>
        <v>6.8197300505384195E-2</v>
      </c>
      <c r="E16" s="174">
        <f t="shared" si="0"/>
        <v>4.537366102085727E-2</v>
      </c>
      <c r="F16" s="172">
        <f t="shared" ref="F16:F40" si="9">_xlfn.COVARIANCE.P(D5:D16,E5:E16)/VARP(E5:E16)</f>
        <v>-0.69181960234540973</v>
      </c>
      <c r="G16" s="174">
        <v>5.8599999999999999E-2</v>
      </c>
      <c r="H16" s="174">
        <v>5.4800000000000001E-2</v>
      </c>
      <c r="I16" s="174">
        <v>1.9688524590163899E-2</v>
      </c>
      <c r="J16" s="174">
        <f t="shared" si="1"/>
        <v>-2.0852104107277111E-2</v>
      </c>
      <c r="K16" s="172">
        <v>5761030000</v>
      </c>
      <c r="L16" s="173">
        <f t="shared" si="2"/>
        <v>23044120000</v>
      </c>
      <c r="M16" s="176">
        <f t="shared" si="3"/>
        <v>720992904500</v>
      </c>
      <c r="N16" s="172">
        <v>40072</v>
      </c>
      <c r="O16" s="172">
        <v>0</v>
      </c>
      <c r="P16" s="172">
        <v>3799</v>
      </c>
      <c r="Q16" s="176">
        <f t="shared" si="4"/>
        <v>43871000000</v>
      </c>
      <c r="R16" s="172">
        <v>163</v>
      </c>
      <c r="S16" s="177">
        <f t="shared" si="5"/>
        <v>1.1602197351325477E-2</v>
      </c>
      <c r="T16" s="177">
        <f t="shared" si="6"/>
        <v>0.94264208345839129</v>
      </c>
      <c r="U16" s="177">
        <f t="shared" si="7"/>
        <v>5.7357916541608711E-2</v>
      </c>
      <c r="V16" s="177">
        <f t="shared" si="8"/>
        <v>-1.8990592992798375E-2</v>
      </c>
    </row>
    <row r="17" spans="1:22" ht="20" customHeight="1" x14ac:dyDescent="0.2">
      <c r="A17" s="175">
        <v>42186</v>
      </c>
      <c r="B17" s="168">
        <v>30.325001</v>
      </c>
      <c r="C17" s="169">
        <v>2103.84</v>
      </c>
      <c r="D17" s="174">
        <f t="shared" si="0"/>
        <v>-3.0763052337195451E-2</v>
      </c>
      <c r="E17" s="174">
        <f t="shared" si="0"/>
        <v>8.789217026051066E-3</v>
      </c>
      <c r="F17" s="172">
        <f t="shared" si="9"/>
        <v>-0.52248409260401285</v>
      </c>
      <c r="G17" s="174">
        <v>5.8099999999999999E-2</v>
      </c>
      <c r="H17" s="174">
        <v>5.6500000000000002E-2</v>
      </c>
      <c r="I17" s="174">
        <v>2.164375E-2</v>
      </c>
      <c r="J17" s="174">
        <f t="shared" si="1"/>
        <v>-8.7125757802931462E-3</v>
      </c>
      <c r="K17" s="172">
        <v>5702722000</v>
      </c>
      <c r="L17" s="173">
        <f t="shared" si="2"/>
        <v>22810888000</v>
      </c>
      <c r="M17" s="176">
        <f t="shared" si="3"/>
        <v>691740201410.88806</v>
      </c>
      <c r="N17" s="172">
        <v>47419</v>
      </c>
      <c r="O17" s="172">
        <v>2500</v>
      </c>
      <c r="P17" s="172">
        <v>4499</v>
      </c>
      <c r="Q17" s="176">
        <f t="shared" si="4"/>
        <v>54418000000</v>
      </c>
      <c r="R17" s="172">
        <v>201</v>
      </c>
      <c r="S17" s="177">
        <f t="shared" si="5"/>
        <v>1.1209526259693485E-2</v>
      </c>
      <c r="T17" s="177">
        <f t="shared" si="6"/>
        <v>0.92706908548736366</v>
      </c>
      <c r="U17" s="177">
        <f t="shared" si="7"/>
        <v>7.2930914512636336E-2</v>
      </c>
      <c r="V17" s="177">
        <f t="shared" si="8"/>
        <v>-7.2596386595028635E-3</v>
      </c>
    </row>
    <row r="18" spans="1:22" ht="20" customHeight="1" x14ac:dyDescent="0.2">
      <c r="A18" s="175">
        <v>42278</v>
      </c>
      <c r="B18" s="168">
        <v>29.875</v>
      </c>
      <c r="C18" s="169">
        <v>2079.36</v>
      </c>
      <c r="D18" s="174">
        <f t="shared" si="0"/>
        <v>-1.4839274036627437E-2</v>
      </c>
      <c r="E18" s="174">
        <f t="shared" si="0"/>
        <v>-1.1635865845311399E-2</v>
      </c>
      <c r="F18" s="172">
        <f t="shared" si="9"/>
        <v>-0.19667283185881096</v>
      </c>
      <c r="G18" s="174">
        <v>6.6299999999999998E-2</v>
      </c>
      <c r="H18" s="174">
        <v>6.25E-2</v>
      </c>
      <c r="I18" s="174">
        <v>2.2231250000000001E-2</v>
      </c>
      <c r="J18" s="174">
        <f t="shared" si="1"/>
        <v>9.1918412477608354E-3</v>
      </c>
      <c r="K18" s="172">
        <v>5575331000</v>
      </c>
      <c r="L18" s="173">
        <f t="shared" si="2"/>
        <v>22301324000</v>
      </c>
      <c r="M18" s="176">
        <f t="shared" si="3"/>
        <v>666252054500</v>
      </c>
      <c r="N18" s="172">
        <v>53463</v>
      </c>
      <c r="O18" s="172">
        <v>2500</v>
      </c>
      <c r="P18" s="172">
        <v>8499</v>
      </c>
      <c r="Q18" s="176">
        <f t="shared" si="4"/>
        <v>64462000000</v>
      </c>
      <c r="R18" s="172">
        <v>238</v>
      </c>
      <c r="S18" s="177">
        <f t="shared" si="5"/>
        <v>1.1371040302814061E-2</v>
      </c>
      <c r="T18" s="177">
        <f t="shared" si="6"/>
        <v>0.91178218127457678</v>
      </c>
      <c r="U18" s="177">
        <f t="shared" si="7"/>
        <v>8.8217818725423225E-2</v>
      </c>
      <c r="V18" s="177">
        <f t="shared" si="8"/>
        <v>9.3840854349661346E-3</v>
      </c>
    </row>
    <row r="19" spans="1:22" ht="20" customHeight="1" x14ac:dyDescent="0.2">
      <c r="A19" s="175">
        <v>42370</v>
      </c>
      <c r="B19" s="168">
        <v>24.334999</v>
      </c>
      <c r="C19" s="169">
        <v>1940.24</v>
      </c>
      <c r="D19" s="174">
        <f t="shared" si="0"/>
        <v>-0.18543936401673644</v>
      </c>
      <c r="E19" s="174">
        <f t="shared" si="0"/>
        <v>-6.6905201600492514E-2</v>
      </c>
      <c r="F19" s="172">
        <f t="shared" si="9"/>
        <v>1.7610033475811113</v>
      </c>
      <c r="G19" s="174">
        <v>6.1199999999999997E-2</v>
      </c>
      <c r="H19" s="174">
        <v>5.5500000000000001E-2</v>
      </c>
      <c r="I19" s="174">
        <v>2.19048387096774E-2</v>
      </c>
      <c r="J19" s="174">
        <f t="shared" si="1"/>
        <v>0.1296782435816414</v>
      </c>
      <c r="K19" s="172">
        <v>5544583000</v>
      </c>
      <c r="L19" s="173">
        <f t="shared" si="2"/>
        <v>22178332000</v>
      </c>
      <c r="M19" s="176">
        <f t="shared" si="3"/>
        <v>539709687041.66797</v>
      </c>
      <c r="N19" s="172">
        <v>53204</v>
      </c>
      <c r="O19" s="172">
        <v>2500</v>
      </c>
      <c r="P19" s="172">
        <v>7259</v>
      </c>
      <c r="Q19" s="176">
        <f t="shared" si="4"/>
        <v>62963000000</v>
      </c>
      <c r="R19" s="172">
        <v>276</v>
      </c>
      <c r="S19" s="177">
        <f t="shared" si="5"/>
        <v>1.3944697679589601E-2</v>
      </c>
      <c r="T19" s="177">
        <f t="shared" si="6"/>
        <v>0.89552703921416166</v>
      </c>
      <c r="U19" s="177">
        <f t="shared" si="7"/>
        <v>0.10447296078583834</v>
      </c>
      <c r="V19" s="177">
        <f t="shared" si="8"/>
        <v>0.11758721737901032</v>
      </c>
    </row>
    <row r="20" spans="1:22" ht="20" customHeight="1" x14ac:dyDescent="0.2">
      <c r="A20" s="175">
        <v>42461</v>
      </c>
      <c r="B20" s="168">
        <v>23.434999000000001</v>
      </c>
      <c r="C20" s="178">
        <v>2065.3000000000002</v>
      </c>
      <c r="D20" s="174">
        <f t="shared" si="0"/>
        <v>-3.6983769754829199E-2</v>
      </c>
      <c r="E20" s="174">
        <f t="shared" si="0"/>
        <v>6.4455943594607046E-2</v>
      </c>
      <c r="F20" s="172">
        <f t="shared" si="9"/>
        <v>1.7635323202262723</v>
      </c>
      <c r="G20" s="174">
        <v>6.2399999999999997E-2</v>
      </c>
      <c r="H20" s="174">
        <v>5.3199999999999997E-2</v>
      </c>
      <c r="I20" s="174">
        <v>1.9142622950819699E-2</v>
      </c>
      <c r="J20" s="174">
        <f t="shared" si="1"/>
        <v>0.1291870397329391</v>
      </c>
      <c r="K20" s="172">
        <v>5477425000</v>
      </c>
      <c r="L20" s="173">
        <f t="shared" si="2"/>
        <v>21909700000</v>
      </c>
      <c r="M20" s="176">
        <f t="shared" si="3"/>
        <v>513453797590.30005</v>
      </c>
      <c r="N20" s="172">
        <v>69374</v>
      </c>
      <c r="O20" s="172">
        <v>2500</v>
      </c>
      <c r="P20" s="172">
        <v>7998</v>
      </c>
      <c r="Q20" s="176">
        <f t="shared" si="4"/>
        <v>79872000000</v>
      </c>
      <c r="R20" s="172">
        <v>321</v>
      </c>
      <c r="S20" s="177">
        <f t="shared" si="5"/>
        <v>1.2970753205128206E-2</v>
      </c>
      <c r="T20" s="177">
        <f t="shared" si="6"/>
        <v>0.86538255992847835</v>
      </c>
      <c r="U20" s="177">
        <f t="shared" si="7"/>
        <v>0.13461744007152165</v>
      </c>
      <c r="V20" s="177">
        <f t="shared" si="8"/>
        <v>0.11354230074594673</v>
      </c>
    </row>
    <row r="21" spans="1:22" ht="20" customHeight="1" x14ac:dyDescent="0.2">
      <c r="A21" s="175">
        <v>42552</v>
      </c>
      <c r="B21" s="168">
        <v>26.052499999999998</v>
      </c>
      <c r="C21" s="178">
        <v>2173.6</v>
      </c>
      <c r="D21" s="174">
        <f t="shared" si="0"/>
        <v>0.11169196124138936</v>
      </c>
      <c r="E21" s="174">
        <f t="shared" si="0"/>
        <v>5.2437902483900567E-2</v>
      </c>
      <c r="F21" s="172">
        <f t="shared" si="9"/>
        <v>1.9579108946583634</v>
      </c>
      <c r="G21" s="174">
        <v>6.2700000000000006E-2</v>
      </c>
      <c r="H21" s="174">
        <v>5.1499999999999997E-2</v>
      </c>
      <c r="I21" s="174">
        <v>1.7501562500000001E-2</v>
      </c>
      <c r="J21" s="174">
        <f t="shared" si="1"/>
        <v>0.1402625755950794</v>
      </c>
      <c r="K21" s="172">
        <v>5388443000</v>
      </c>
      <c r="L21" s="173">
        <f t="shared" si="2"/>
        <v>21553772000</v>
      </c>
      <c r="M21" s="176">
        <f t="shared" si="3"/>
        <v>561529645030</v>
      </c>
      <c r="N21" s="172">
        <v>68939</v>
      </c>
      <c r="O21" s="172">
        <v>3500</v>
      </c>
      <c r="P21" s="172">
        <v>12496</v>
      </c>
      <c r="Q21" s="176">
        <f t="shared" si="4"/>
        <v>84935000000</v>
      </c>
      <c r="R21" s="172">
        <v>409</v>
      </c>
      <c r="S21" s="177">
        <f t="shared" si="5"/>
        <v>1.4646494378053806E-2</v>
      </c>
      <c r="T21" s="177">
        <f t="shared" si="6"/>
        <v>0.86861617158343052</v>
      </c>
      <c r="U21" s="177">
        <f t="shared" si="7"/>
        <v>0.13138382841656948</v>
      </c>
      <c r="V21" s="177">
        <f t="shared" si="8"/>
        <v>0.12375865393409985</v>
      </c>
    </row>
    <row r="22" spans="1:22" ht="20" customHeight="1" x14ac:dyDescent="0.2">
      <c r="A22" s="175">
        <v>42644</v>
      </c>
      <c r="B22" s="168">
        <v>28.385000000000002</v>
      </c>
      <c r="C22" s="169">
        <v>2126.15</v>
      </c>
      <c r="D22" s="174">
        <f t="shared" si="0"/>
        <v>8.9530755205834422E-2</v>
      </c>
      <c r="E22" s="174">
        <f t="shared" si="0"/>
        <v>-2.1830143540669811E-2</v>
      </c>
      <c r="F22" s="172">
        <f t="shared" si="9"/>
        <v>1.5602175386937238</v>
      </c>
      <c r="G22" s="174">
        <v>6.1600000000000002E-2</v>
      </c>
      <c r="H22" s="174">
        <v>5.21E-2</v>
      </c>
      <c r="I22" s="174">
        <v>1.5643750000000001E-2</v>
      </c>
      <c r="J22" s="174">
        <f t="shared" si="1"/>
        <v>0.11175315038353338</v>
      </c>
      <c r="K22" s="172">
        <v>5332313000</v>
      </c>
      <c r="L22" s="173">
        <f t="shared" si="2"/>
        <v>21329252000</v>
      </c>
      <c r="M22" s="176">
        <f t="shared" si="3"/>
        <v>605430818020</v>
      </c>
      <c r="N22" s="172">
        <v>75427</v>
      </c>
      <c r="O22" s="172">
        <v>3500</v>
      </c>
      <c r="P22" s="172">
        <v>8105</v>
      </c>
      <c r="Q22" s="176">
        <f t="shared" si="4"/>
        <v>87032000000</v>
      </c>
      <c r="R22" s="172">
        <v>450</v>
      </c>
      <c r="S22" s="177">
        <f t="shared" si="5"/>
        <v>1.6729478812390845E-2</v>
      </c>
      <c r="T22" s="177">
        <f t="shared" si="6"/>
        <v>0.87431527334730297</v>
      </c>
      <c r="U22" s="177">
        <f t="shared" si="7"/>
        <v>0.12568472665269703</v>
      </c>
      <c r="V22" s="177">
        <f t="shared" si="8"/>
        <v>9.9810126196578683E-2</v>
      </c>
    </row>
    <row r="23" spans="1:22" ht="20" customHeight="1" x14ac:dyDescent="0.2">
      <c r="A23" s="175">
        <v>42736</v>
      </c>
      <c r="B23" s="168">
        <v>30.337499999999999</v>
      </c>
      <c r="C23" s="169">
        <v>2278.87</v>
      </c>
      <c r="D23" s="174">
        <f t="shared" si="0"/>
        <v>6.8786330808525475E-2</v>
      </c>
      <c r="E23" s="174">
        <f t="shared" si="0"/>
        <v>7.1829362933000906E-2</v>
      </c>
      <c r="F23" s="172">
        <f t="shared" si="9"/>
        <v>1.3864114460700145</v>
      </c>
      <c r="G23" s="174">
        <v>5.6899999999999999E-2</v>
      </c>
      <c r="H23" s="174">
        <v>5.5399999999999998E-2</v>
      </c>
      <c r="I23" s="174">
        <v>2.1386885245901599E-2</v>
      </c>
      <c r="J23" s="174">
        <f t="shared" si="1"/>
        <v>0.10027369652728542</v>
      </c>
      <c r="K23" s="172">
        <v>5246540000</v>
      </c>
      <c r="L23" s="173">
        <f t="shared" si="2"/>
        <v>20986160000</v>
      </c>
      <c r="M23" s="176">
        <f t="shared" si="3"/>
        <v>636667629000</v>
      </c>
      <c r="N23" s="172">
        <v>73557</v>
      </c>
      <c r="O23" s="172">
        <v>3499</v>
      </c>
      <c r="P23" s="172">
        <v>10493</v>
      </c>
      <c r="Q23" s="176">
        <f t="shared" si="4"/>
        <v>87549000000</v>
      </c>
      <c r="R23" s="172">
        <v>525</v>
      </c>
      <c r="S23" s="177">
        <f t="shared" si="5"/>
        <v>1.9474808393014197E-2</v>
      </c>
      <c r="T23" s="177">
        <f t="shared" si="6"/>
        <v>0.87911213786835041</v>
      </c>
      <c r="U23" s="177">
        <f t="shared" si="7"/>
        <v>0.12088786213164959</v>
      </c>
      <c r="V23" s="177">
        <f t="shared" si="8"/>
        <v>9.0506091678119072E-2</v>
      </c>
    </row>
    <row r="24" spans="1:22" ht="20" customHeight="1" x14ac:dyDescent="0.2">
      <c r="A24" s="175">
        <v>42826</v>
      </c>
      <c r="B24" s="168">
        <v>35.912497999999999</v>
      </c>
      <c r="C24" s="178">
        <v>2384.1999999999998</v>
      </c>
      <c r="D24" s="174">
        <f t="shared" si="0"/>
        <v>0.18376590028842199</v>
      </c>
      <c r="E24" s="174">
        <f t="shared" si="0"/>
        <v>4.6220275838463776E-2</v>
      </c>
      <c r="F24" s="172">
        <f t="shared" si="9"/>
        <v>1.3683721117351479</v>
      </c>
      <c r="G24" s="174">
        <v>5.3800000000000001E-2</v>
      </c>
      <c r="H24" s="174">
        <v>5.5100000000000003E-2</v>
      </c>
      <c r="I24" s="174">
        <v>2.4466129032258099E-2</v>
      </c>
      <c r="J24" s="174">
        <f t="shared" si="1"/>
        <v>9.8084548643609062E-2</v>
      </c>
      <c r="K24" s="172">
        <v>5213840000</v>
      </c>
      <c r="L24" s="173">
        <f t="shared" si="2"/>
        <v>20855360000</v>
      </c>
      <c r="M24" s="176">
        <f t="shared" si="3"/>
        <v>748968074289.28003</v>
      </c>
      <c r="N24" s="172">
        <v>84531</v>
      </c>
      <c r="O24" s="172">
        <v>3999</v>
      </c>
      <c r="P24" s="172">
        <v>9992</v>
      </c>
      <c r="Q24" s="176">
        <f t="shared" si="4"/>
        <v>98522000000</v>
      </c>
      <c r="R24" s="172">
        <v>530</v>
      </c>
      <c r="S24" s="177">
        <f t="shared" si="5"/>
        <v>1.9427133026126146E-2</v>
      </c>
      <c r="T24" s="177">
        <f t="shared" si="6"/>
        <v>0.88374849099840813</v>
      </c>
      <c r="U24" s="177">
        <f t="shared" si="7"/>
        <v>0.11625150900159187</v>
      </c>
      <c r="V24" s="177">
        <f t="shared" si="8"/>
        <v>8.8940505383911295E-2</v>
      </c>
    </row>
    <row r="25" spans="1:22" ht="20" customHeight="1" x14ac:dyDescent="0.2">
      <c r="A25" s="175">
        <v>42917</v>
      </c>
      <c r="B25" s="168">
        <v>37.182499</v>
      </c>
      <c r="C25" s="178">
        <v>2470.3000000000002</v>
      </c>
      <c r="D25" s="174">
        <f t="shared" si="0"/>
        <v>3.5363761106230962E-2</v>
      </c>
      <c r="E25" s="174">
        <f t="shared" si="0"/>
        <v>3.6112742219612581E-2</v>
      </c>
      <c r="F25" s="172">
        <f t="shared" si="9"/>
        <v>1.3281190628928796</v>
      </c>
      <c r="G25" s="174">
        <v>5.1299999999999998E-2</v>
      </c>
      <c r="H25" s="174">
        <v>5.4600000000000003E-2</v>
      </c>
      <c r="I25" s="174">
        <v>2.2609523809523802E-2</v>
      </c>
      <c r="J25" s="174">
        <f t="shared" si="1"/>
        <v>9.0742031735928527E-2</v>
      </c>
      <c r="K25" s="172">
        <v>5165228000</v>
      </c>
      <c r="L25" s="173">
        <f t="shared" si="2"/>
        <v>20660912000</v>
      </c>
      <c r="M25" s="176">
        <f t="shared" si="3"/>
        <v>768224339779.08801</v>
      </c>
      <c r="N25" s="172">
        <v>89864</v>
      </c>
      <c r="O25" s="172">
        <v>6495</v>
      </c>
      <c r="P25" s="172">
        <v>11980</v>
      </c>
      <c r="Q25" s="176">
        <f t="shared" si="4"/>
        <v>108339000000</v>
      </c>
      <c r="R25" s="172">
        <v>602</v>
      </c>
      <c r="S25" s="177">
        <f t="shared" si="5"/>
        <v>1.9448213478064226E-2</v>
      </c>
      <c r="T25" s="177">
        <f t="shared" si="6"/>
        <v>0.87640482429107325</v>
      </c>
      <c r="U25" s="177">
        <f t="shared" si="7"/>
        <v>0.12359517570892675</v>
      </c>
      <c r="V25" s="177">
        <f t="shared" si="8"/>
        <v>8.1930459741387504E-2</v>
      </c>
    </row>
    <row r="26" spans="1:22" ht="20" customHeight="1" x14ac:dyDescent="0.2">
      <c r="A26" s="175">
        <v>43009</v>
      </c>
      <c r="B26" s="168">
        <v>42.259998000000003</v>
      </c>
      <c r="C26" s="169">
        <v>2575.2600000000002</v>
      </c>
      <c r="D26" s="174">
        <f t="shared" si="0"/>
        <v>0.1365561523984713</v>
      </c>
      <c r="E26" s="174">
        <f t="shared" si="0"/>
        <v>4.2488766546573409E-2</v>
      </c>
      <c r="F26" s="172">
        <f t="shared" si="9"/>
        <v>1.3316078611431306</v>
      </c>
      <c r="G26" s="174">
        <v>4.9200000000000001E-2</v>
      </c>
      <c r="H26" s="174">
        <v>5.4800000000000001E-2</v>
      </c>
      <c r="I26" s="174">
        <v>2.2414285714285699E-2</v>
      </c>
      <c r="J26" s="174">
        <f t="shared" si="1"/>
        <v>8.7929392482527735E-2</v>
      </c>
      <c r="K26" s="172">
        <v>5134312000</v>
      </c>
      <c r="L26" s="173">
        <f t="shared" si="2"/>
        <v>20537248000</v>
      </c>
      <c r="M26" s="176">
        <f t="shared" si="3"/>
        <v>867904059405.50403</v>
      </c>
      <c r="N26" s="172">
        <v>97207</v>
      </c>
      <c r="O26" s="172">
        <v>6496</v>
      </c>
      <c r="P26" s="172">
        <v>11977</v>
      </c>
      <c r="Q26" s="176">
        <f t="shared" si="4"/>
        <v>115680000000</v>
      </c>
      <c r="R26" s="172">
        <v>666</v>
      </c>
      <c r="S26" s="177">
        <f t="shared" si="5"/>
        <v>2.0081258644536654E-2</v>
      </c>
      <c r="T26" s="177">
        <f t="shared" si="6"/>
        <v>0.88238930989800801</v>
      </c>
      <c r="U26" s="177">
        <f t="shared" si="7"/>
        <v>0.11761069010199199</v>
      </c>
      <c r="V26" s="177">
        <f t="shared" si="8"/>
        <v>7.9949726639709284E-2</v>
      </c>
    </row>
    <row r="27" spans="1:22" ht="20" customHeight="1" x14ac:dyDescent="0.2">
      <c r="A27" s="175">
        <v>43101</v>
      </c>
      <c r="B27" s="168">
        <v>41.857498</v>
      </c>
      <c r="C27" s="169">
        <v>2823.81</v>
      </c>
      <c r="D27" s="174">
        <f t="shared" si="0"/>
        <v>-9.5243733802354846E-3</v>
      </c>
      <c r="E27" s="174">
        <f t="shared" si="0"/>
        <v>9.6514526688567193E-2</v>
      </c>
      <c r="F27" s="172">
        <f t="shared" si="9"/>
        <v>1.0471688625326183</v>
      </c>
      <c r="G27" s="174">
        <v>5.0799999999999998E-2</v>
      </c>
      <c r="H27" s="174">
        <v>7.0499999999999993E-2</v>
      </c>
      <c r="I27" s="174">
        <v>2.37145161290323E-2</v>
      </c>
      <c r="J27" s="174">
        <f t="shared" si="1"/>
        <v>7.6910694345689312E-2</v>
      </c>
      <c r="K27" s="172">
        <v>5074013000</v>
      </c>
      <c r="L27" s="173">
        <f t="shared" si="2"/>
        <v>20296052000</v>
      </c>
      <c r="M27" s="176">
        <f t="shared" si="3"/>
        <v>849541955997.896</v>
      </c>
      <c r="N27" s="172">
        <v>103922</v>
      </c>
      <c r="O27" s="172">
        <v>6498</v>
      </c>
      <c r="P27" s="172">
        <v>11980</v>
      </c>
      <c r="Q27" s="176">
        <f t="shared" si="4"/>
        <v>122400000000</v>
      </c>
      <c r="R27" s="172">
        <v>734</v>
      </c>
      <c r="S27" s="177">
        <f t="shared" si="5"/>
        <v>2.0686274509803922E-2</v>
      </c>
      <c r="T27" s="177">
        <f t="shared" si="6"/>
        <v>0.87406655382591081</v>
      </c>
      <c r="U27" s="177">
        <f t="shared" si="7"/>
        <v>0.12593344617408919</v>
      </c>
      <c r="V27" s="177">
        <f t="shared" si="8"/>
        <v>6.983015939661745E-2</v>
      </c>
    </row>
    <row r="28" spans="1:22" ht="20" customHeight="1" x14ac:dyDescent="0.2">
      <c r="A28" s="175">
        <v>43191</v>
      </c>
      <c r="B28" s="168">
        <v>41.314999</v>
      </c>
      <c r="C28" s="169">
        <v>2648.05</v>
      </c>
      <c r="D28" s="174">
        <f t="shared" si="0"/>
        <v>-1.2960616996266716E-2</v>
      </c>
      <c r="E28" s="174">
        <f t="shared" si="0"/>
        <v>-6.2242148019873822E-2</v>
      </c>
      <c r="F28" s="172">
        <f t="shared" si="9"/>
        <v>0.89663199979520269</v>
      </c>
      <c r="G28" s="174">
        <v>5.1900000000000002E-2</v>
      </c>
      <c r="H28" s="174">
        <v>7.17E-2</v>
      </c>
      <c r="I28" s="174">
        <v>2.7585245901639299E-2</v>
      </c>
      <c r="J28" s="174">
        <f t="shared" si="1"/>
        <v>7.4120446691010311E-2</v>
      </c>
      <c r="K28" s="172">
        <v>4915138000</v>
      </c>
      <c r="L28" s="173">
        <f t="shared" si="2"/>
        <v>19660552000</v>
      </c>
      <c r="M28" s="176">
        <f t="shared" si="3"/>
        <v>812275686219.448</v>
      </c>
      <c r="N28" s="172">
        <v>101362</v>
      </c>
      <c r="O28" s="172">
        <v>8498</v>
      </c>
      <c r="P28" s="172">
        <v>11980</v>
      </c>
      <c r="Q28" s="176">
        <f t="shared" si="4"/>
        <v>121840000000</v>
      </c>
      <c r="R28" s="172">
        <v>792</v>
      </c>
      <c r="S28" s="177">
        <f t="shared" si="5"/>
        <v>2.29317137229153E-2</v>
      </c>
      <c r="T28" s="177">
        <f t="shared" si="6"/>
        <v>0.86956647683210342</v>
      </c>
      <c r="U28" s="177">
        <f t="shared" si="7"/>
        <v>0.13043352316789658</v>
      </c>
      <c r="V28" s="177">
        <f t="shared" si="8"/>
        <v>6.7443719903481025E-2</v>
      </c>
    </row>
    <row r="29" spans="1:22" ht="20" customHeight="1" x14ac:dyDescent="0.2">
      <c r="A29" s="175">
        <v>43282</v>
      </c>
      <c r="B29" s="168">
        <v>47.572498000000003</v>
      </c>
      <c r="C29" s="169">
        <v>2816.29</v>
      </c>
      <c r="D29" s="174">
        <f t="shared" si="0"/>
        <v>0.1514582875821926</v>
      </c>
      <c r="E29" s="174">
        <f t="shared" si="0"/>
        <v>6.3533543550914784E-2</v>
      </c>
      <c r="F29" s="172">
        <f t="shared" si="9"/>
        <v>0.9730426226273915</v>
      </c>
      <c r="G29" s="174">
        <v>5.3699999999999998E-2</v>
      </c>
      <c r="H29" s="174">
        <v>7.2099999999999997E-2</v>
      </c>
      <c r="I29" s="174">
        <v>2.920625E-2</v>
      </c>
      <c r="J29" s="174">
        <f t="shared" si="1"/>
        <v>8.1458638835090927E-2</v>
      </c>
      <c r="K29" s="172">
        <v>4829926000</v>
      </c>
      <c r="L29" s="173">
        <f t="shared" si="2"/>
        <v>19319704000</v>
      </c>
      <c r="M29" s="176">
        <f t="shared" si="3"/>
        <v>919086579900.59204</v>
      </c>
      <c r="N29" s="172">
        <v>97128</v>
      </c>
      <c r="O29" s="172">
        <v>5498</v>
      </c>
      <c r="P29" s="172">
        <v>11974</v>
      </c>
      <c r="Q29" s="176">
        <f t="shared" si="4"/>
        <v>114600000000</v>
      </c>
      <c r="R29" s="172">
        <v>846</v>
      </c>
      <c r="S29" s="177">
        <f t="shared" si="5"/>
        <v>2.6509598603839443E-2</v>
      </c>
      <c r="T29" s="177">
        <f t="shared" si="6"/>
        <v>0.88913467367350274</v>
      </c>
      <c r="U29" s="177">
        <f t="shared" si="7"/>
        <v>0.11086532632649726</v>
      </c>
      <c r="V29" s="177">
        <f t="shared" si="8"/>
        <v>7.5366695558525418E-2</v>
      </c>
    </row>
    <row r="30" spans="1:22" ht="20" customHeight="1" x14ac:dyDescent="0.2">
      <c r="A30" s="175">
        <v>43374</v>
      </c>
      <c r="B30" s="168">
        <v>54.715000000000003</v>
      </c>
      <c r="C30" s="169">
        <v>2711.74</v>
      </c>
      <c r="D30" s="174">
        <f t="shared" si="0"/>
        <v>0.15013930948086851</v>
      </c>
      <c r="E30" s="174">
        <f t="shared" si="0"/>
        <v>-3.7123307613917689E-2</v>
      </c>
      <c r="F30" s="172">
        <f t="shared" si="9"/>
        <v>0.64979404186815926</v>
      </c>
      <c r="G30" s="174">
        <v>5.3800000000000001E-2</v>
      </c>
      <c r="H30" s="174">
        <v>7.2800000000000004E-2</v>
      </c>
      <c r="I30" s="174">
        <v>2.9238095238095198E-2</v>
      </c>
      <c r="J30" s="174">
        <f t="shared" si="1"/>
        <v>6.4197014690602169E-2</v>
      </c>
      <c r="K30" s="172">
        <v>4745398000</v>
      </c>
      <c r="L30" s="173">
        <f t="shared" si="2"/>
        <v>18981592000</v>
      </c>
      <c r="M30" s="176">
        <f t="shared" si="3"/>
        <v>1038577806280.0001</v>
      </c>
      <c r="N30" s="172">
        <v>93735</v>
      </c>
      <c r="O30" s="172">
        <v>8784</v>
      </c>
      <c r="P30" s="172">
        <v>11964</v>
      </c>
      <c r="Q30" s="176">
        <f t="shared" si="4"/>
        <v>114483000000</v>
      </c>
      <c r="R30" s="172">
        <v>868</v>
      </c>
      <c r="S30" s="177">
        <f t="shared" si="5"/>
        <v>2.8301145148187941E-2</v>
      </c>
      <c r="T30" s="177">
        <f t="shared" si="6"/>
        <v>0.90071382239645759</v>
      </c>
      <c r="U30" s="177">
        <f t="shared" si="7"/>
        <v>9.9286177603542414E-2</v>
      </c>
      <c r="V30" s="177">
        <f t="shared" si="8"/>
        <v>6.0633051011980438E-2</v>
      </c>
    </row>
    <row r="31" spans="1:22" ht="20" customHeight="1" x14ac:dyDescent="0.2">
      <c r="A31" s="175">
        <v>43466</v>
      </c>
      <c r="B31" s="168">
        <v>41.610000999999997</v>
      </c>
      <c r="C31" s="178">
        <v>2704.1</v>
      </c>
      <c r="D31" s="174">
        <f t="shared" si="0"/>
        <v>-0.23951382619025874</v>
      </c>
      <c r="E31" s="174">
        <f t="shared" si="0"/>
        <v>-2.8173792472728776E-3</v>
      </c>
      <c r="F31" s="172">
        <f t="shared" si="9"/>
        <v>0.31814865601587111</v>
      </c>
      <c r="G31" s="174">
        <v>5.96E-2</v>
      </c>
      <c r="H31" s="174">
        <v>4.1200000000000001E-2</v>
      </c>
      <c r="I31" s="174">
        <v>3.0411475409836099E-2</v>
      </c>
      <c r="J31" s="174">
        <f t="shared" si="1"/>
        <v>4.9373135308382013E-2</v>
      </c>
      <c r="K31" s="172">
        <v>4715280000</v>
      </c>
      <c r="L31" s="173">
        <f t="shared" si="2"/>
        <v>18861120000</v>
      </c>
      <c r="M31" s="176">
        <f t="shared" si="3"/>
        <v>784811222061.12</v>
      </c>
      <c r="N31" s="172">
        <v>92989</v>
      </c>
      <c r="O31" s="172">
        <v>9772</v>
      </c>
      <c r="P31" s="172">
        <v>11969</v>
      </c>
      <c r="Q31" s="176">
        <f t="shared" si="4"/>
        <v>114730000000</v>
      </c>
      <c r="R31" s="172">
        <v>890</v>
      </c>
      <c r="S31" s="177">
        <f t="shared" si="5"/>
        <v>2.9599930271071211E-2</v>
      </c>
      <c r="T31" s="177">
        <f t="shared" si="6"/>
        <v>0.87245720686694161</v>
      </c>
      <c r="U31" s="177">
        <f t="shared" si="7"/>
        <v>0.12754279313305839</v>
      </c>
      <c r="V31" s="177">
        <f t="shared" si="8"/>
        <v>4.6851205508730731E-2</v>
      </c>
    </row>
    <row r="32" spans="1:22" ht="20" customHeight="1" x14ac:dyDescent="0.2">
      <c r="A32" s="175">
        <v>43556</v>
      </c>
      <c r="B32" s="168">
        <v>50.167499999999997</v>
      </c>
      <c r="C32" s="169">
        <v>2945.83</v>
      </c>
      <c r="D32" s="174">
        <f t="shared" si="0"/>
        <v>0.20565966821293746</v>
      </c>
      <c r="E32" s="174">
        <f t="shared" si="0"/>
        <v>8.9393883362301807E-2</v>
      </c>
      <c r="F32" s="172">
        <f t="shared" si="9"/>
        <v>0.70868048367508629</v>
      </c>
      <c r="G32" s="174">
        <v>5.7500000000000002E-2</v>
      </c>
      <c r="H32" s="174">
        <v>4.07E-2</v>
      </c>
      <c r="I32" s="174">
        <v>2.6529508196721299E-2</v>
      </c>
      <c r="J32" s="174">
        <f t="shared" si="1"/>
        <v>6.7278636008038767E-2</v>
      </c>
      <c r="K32" s="172">
        <v>4601075000</v>
      </c>
      <c r="L32" s="173">
        <f t="shared" si="2"/>
        <v>18404300000</v>
      </c>
      <c r="M32" s="176">
        <f t="shared" si="3"/>
        <v>923297720250</v>
      </c>
      <c r="N32" s="172">
        <v>90201</v>
      </c>
      <c r="O32" s="172">
        <v>10505</v>
      </c>
      <c r="P32" s="172">
        <v>11924</v>
      </c>
      <c r="Q32" s="176">
        <f t="shared" si="4"/>
        <v>112630000000</v>
      </c>
      <c r="R32" s="172">
        <v>1010</v>
      </c>
      <c r="S32" s="177">
        <f t="shared" si="5"/>
        <v>3.2087365710734263E-2</v>
      </c>
      <c r="T32" s="177">
        <f t="shared" si="6"/>
        <v>0.89127619833088445</v>
      </c>
      <c r="U32" s="177">
        <f t="shared" si="7"/>
        <v>0.10872380166911555</v>
      </c>
      <c r="V32" s="177">
        <f t="shared" si="8"/>
        <v>6.3452507315750403E-2</v>
      </c>
    </row>
    <row r="33" spans="1:22" ht="20" customHeight="1" x14ac:dyDescent="0.2">
      <c r="A33" s="175">
        <v>43647</v>
      </c>
      <c r="B33" s="168">
        <v>53.259998000000003</v>
      </c>
      <c r="C33" s="169">
        <v>2980.38</v>
      </c>
      <c r="D33" s="174">
        <f t="shared" si="0"/>
        <v>6.1643454427667388E-2</v>
      </c>
      <c r="E33" s="174">
        <f t="shared" si="0"/>
        <v>1.172844325707878E-2</v>
      </c>
      <c r="F33" s="172">
        <f t="shared" si="9"/>
        <v>0.6861386894003062</v>
      </c>
      <c r="G33" s="174">
        <v>5.67E-2</v>
      </c>
      <c r="H33" s="174">
        <v>3.44E-2</v>
      </c>
      <c r="I33" s="174">
        <v>2.33888888888889E-2</v>
      </c>
      <c r="J33" s="174">
        <f t="shared" si="1"/>
        <v>6.2292952577886265E-2</v>
      </c>
      <c r="K33" s="172">
        <v>4519180000</v>
      </c>
      <c r="L33" s="173">
        <f t="shared" si="2"/>
        <v>18076720000</v>
      </c>
      <c r="M33" s="176">
        <f t="shared" si="3"/>
        <v>962766071046.56006</v>
      </c>
      <c r="N33" s="172">
        <v>84936</v>
      </c>
      <c r="O33" s="172">
        <v>13529</v>
      </c>
      <c r="P33" s="172">
        <v>9953</v>
      </c>
      <c r="Q33" s="176">
        <f t="shared" si="4"/>
        <v>108418000000</v>
      </c>
      <c r="R33" s="172">
        <v>866</v>
      </c>
      <c r="S33" s="177">
        <f t="shared" si="5"/>
        <v>3.3518419450644724E-2</v>
      </c>
      <c r="T33" s="177">
        <f t="shared" si="6"/>
        <v>0.89878676977144156</v>
      </c>
      <c r="U33" s="177">
        <f t="shared" si="7"/>
        <v>0.10121323022855844</v>
      </c>
      <c r="V33" s="177">
        <f t="shared" si="8"/>
        <v>5.938058913175949E-2</v>
      </c>
    </row>
    <row r="34" spans="1:22" ht="20" customHeight="1" x14ac:dyDescent="0.2">
      <c r="A34" s="175">
        <v>43739</v>
      </c>
      <c r="B34" s="168">
        <v>62.189999</v>
      </c>
      <c r="C34" s="169">
        <v>3037.56</v>
      </c>
      <c r="D34" s="174">
        <f t="shared" si="0"/>
        <v>0.16766806863192141</v>
      </c>
      <c r="E34" s="174">
        <f t="shared" si="0"/>
        <v>1.9185472993376695E-2</v>
      </c>
      <c r="F34" s="172">
        <f t="shared" si="9"/>
        <v>0.75050730932405396</v>
      </c>
      <c r="G34" s="174">
        <v>5.5500000000000001E-2</v>
      </c>
      <c r="H34" s="174">
        <v>3.3099999999999997E-2</v>
      </c>
      <c r="I34" s="174">
        <v>1.7979687500000001E-2</v>
      </c>
      <c r="J34" s="174">
        <f t="shared" si="1"/>
        <v>5.9632843167484996E-2</v>
      </c>
      <c r="K34" s="172">
        <v>4443265000</v>
      </c>
      <c r="L34" s="173">
        <f t="shared" si="2"/>
        <v>17773060000</v>
      </c>
      <c r="M34" s="176">
        <f t="shared" si="3"/>
        <v>1105306583626.9399</v>
      </c>
      <c r="N34" s="172">
        <v>91807</v>
      </c>
      <c r="O34" s="172">
        <v>10260</v>
      </c>
      <c r="P34" s="172">
        <v>5980</v>
      </c>
      <c r="Q34" s="176">
        <f t="shared" si="4"/>
        <v>108047000000</v>
      </c>
      <c r="R34" s="172">
        <v>810</v>
      </c>
      <c r="S34" s="177">
        <f t="shared" si="5"/>
        <v>3.3096707914148475E-2</v>
      </c>
      <c r="T34" s="177">
        <f t="shared" si="6"/>
        <v>0.91095176092279107</v>
      </c>
      <c r="U34" s="177">
        <f t="shared" si="7"/>
        <v>8.9048239077208935E-2</v>
      </c>
      <c r="V34" s="177">
        <f t="shared" si="8"/>
        <v>5.7269847051260737E-2</v>
      </c>
    </row>
    <row r="35" spans="1:22" ht="20" customHeight="1" x14ac:dyDescent="0.2">
      <c r="A35" s="175">
        <v>43831</v>
      </c>
      <c r="B35" s="168">
        <v>77.377502000000007</v>
      </c>
      <c r="C35" s="169">
        <v>3225.52</v>
      </c>
      <c r="D35" s="174">
        <f t="shared" si="0"/>
        <v>0.24421134015454804</v>
      </c>
      <c r="E35" s="174">
        <f t="shared" si="0"/>
        <v>6.187861309735454E-2</v>
      </c>
      <c r="F35" s="172">
        <f t="shared" si="9"/>
        <v>0.99445134004580671</v>
      </c>
      <c r="G35" s="174">
        <v>5.1999999999999998E-2</v>
      </c>
      <c r="H35" s="174">
        <v>3.9600000000000003E-2</v>
      </c>
      <c r="I35" s="174">
        <v>1.7919354838709701E-2</v>
      </c>
      <c r="J35" s="174">
        <f t="shared" si="1"/>
        <v>6.963082452109165E-2</v>
      </c>
      <c r="K35" s="172">
        <v>4375480000</v>
      </c>
      <c r="L35" s="173">
        <f t="shared" si="2"/>
        <v>17501920000</v>
      </c>
      <c r="M35" s="176">
        <f t="shared" si="3"/>
        <v>1354254849803.8401</v>
      </c>
      <c r="N35" s="172">
        <v>93078</v>
      </c>
      <c r="O35" s="172">
        <v>10224</v>
      </c>
      <c r="P35" s="172">
        <v>4990</v>
      </c>
      <c r="Q35" s="176">
        <f t="shared" si="4"/>
        <v>108292000000</v>
      </c>
      <c r="R35" s="172">
        <v>785</v>
      </c>
      <c r="S35" s="177">
        <f t="shared" si="5"/>
        <v>3.2052229158201898E-2</v>
      </c>
      <c r="T35" s="177">
        <f t="shared" si="6"/>
        <v>0.92595655994573822</v>
      </c>
      <c r="U35" s="177">
        <f t="shared" si="7"/>
        <v>7.4043440054261778E-2</v>
      </c>
      <c r="V35" s="177">
        <f t="shared" si="8"/>
        <v>6.6848376048016162E-2</v>
      </c>
    </row>
    <row r="36" spans="1:22" ht="20" customHeight="1" x14ac:dyDescent="0.2">
      <c r="A36" s="175">
        <v>43922</v>
      </c>
      <c r="B36" s="168">
        <v>73.449996999999996</v>
      </c>
      <c r="C36" s="169">
        <v>2912.43</v>
      </c>
      <c r="D36" s="174">
        <f t="shared" si="0"/>
        <v>-5.0757712493742835E-2</v>
      </c>
      <c r="E36" s="174">
        <f t="shared" si="0"/>
        <v>-9.7066519506932236E-2</v>
      </c>
      <c r="F36" s="172">
        <f t="shared" si="9"/>
        <v>0.97882143898777374</v>
      </c>
      <c r="G36" s="174">
        <v>6.1600000000000002E-2</v>
      </c>
      <c r="H36" s="174">
        <v>3.1800000000000002E-2</v>
      </c>
      <c r="I36" s="174">
        <v>1.3650000000000001E-2</v>
      </c>
      <c r="J36" s="174">
        <f t="shared" si="1"/>
        <v>7.3945400641646869E-2</v>
      </c>
      <c r="K36" s="172">
        <v>4334335000</v>
      </c>
      <c r="L36" s="173">
        <f t="shared" si="2"/>
        <v>17337340000</v>
      </c>
      <c r="M36" s="176">
        <f t="shared" si="3"/>
        <v>1273427570987.98</v>
      </c>
      <c r="N36" s="179">
        <v>89086</v>
      </c>
      <c r="O36" s="172">
        <v>10392</v>
      </c>
      <c r="P36" s="172">
        <v>10029</v>
      </c>
      <c r="Q36" s="176">
        <f t="shared" si="4"/>
        <v>109507000000</v>
      </c>
      <c r="R36" s="172">
        <v>757</v>
      </c>
      <c r="S36" s="177">
        <f t="shared" si="5"/>
        <v>2.9386249280867891E-2</v>
      </c>
      <c r="T36" s="177">
        <f t="shared" si="6"/>
        <v>0.92081548737206897</v>
      </c>
      <c r="U36" s="177">
        <f t="shared" si="7"/>
        <v>7.9184512627931025E-2</v>
      </c>
      <c r="V36" s="177">
        <f t="shared" si="8"/>
        <v>7.0417005958029369E-2</v>
      </c>
    </row>
    <row r="37" spans="1:22" ht="20" customHeight="1" x14ac:dyDescent="0.2">
      <c r="A37" s="175">
        <v>44013</v>
      </c>
      <c r="B37" s="168">
        <v>106.260002</v>
      </c>
      <c r="C37" s="169">
        <v>3271.12</v>
      </c>
      <c r="D37" s="174">
        <f t="shared" si="0"/>
        <v>0.44669852062757753</v>
      </c>
      <c r="E37" s="174">
        <f t="shared" si="0"/>
        <v>0.123158324835275</v>
      </c>
      <c r="F37" s="172">
        <f t="shared" si="9"/>
        <v>1.5306983567165311</v>
      </c>
      <c r="G37" s="174">
        <v>5.3699999999999998E-2</v>
      </c>
      <c r="H37" s="174">
        <v>3.3300000000000003E-2</v>
      </c>
      <c r="I37" s="174">
        <v>6.8761904761904802E-3</v>
      </c>
      <c r="J37" s="174">
        <f t="shared" si="1"/>
        <v>8.9074692231868202E-2</v>
      </c>
      <c r="K37" s="172">
        <v>4275634000</v>
      </c>
      <c r="L37" s="173">
        <f t="shared" si="2"/>
        <v>17102536000</v>
      </c>
      <c r="M37" s="176">
        <f t="shared" si="3"/>
        <v>1817315509565.072</v>
      </c>
      <c r="N37" s="179">
        <v>94048</v>
      </c>
      <c r="O37" s="179">
        <v>7509</v>
      </c>
      <c r="P37" s="179">
        <v>11166</v>
      </c>
      <c r="Q37" s="176">
        <f t="shared" si="4"/>
        <v>112723000000</v>
      </c>
      <c r="R37" s="172">
        <v>697</v>
      </c>
      <c r="S37" s="177">
        <f t="shared" si="5"/>
        <v>2.7048605874577504E-2</v>
      </c>
      <c r="T37" s="177">
        <f t="shared" si="6"/>
        <v>0.94159546587212828</v>
      </c>
      <c r="U37" s="177">
        <f t="shared" si="7"/>
        <v>5.8404534127871721E-2</v>
      </c>
      <c r="V37" s="177">
        <f t="shared" si="8"/>
        <v>8.5452087554395498E-2</v>
      </c>
    </row>
    <row r="38" spans="1:22" ht="20" customHeight="1" x14ac:dyDescent="0.2">
      <c r="A38" s="175">
        <v>44105</v>
      </c>
      <c r="B38" s="168">
        <v>108.860001</v>
      </c>
      <c r="C38" s="169">
        <v>3269.96</v>
      </c>
      <c r="D38" s="174">
        <f t="shared" si="0"/>
        <v>2.4468275466435596E-2</v>
      </c>
      <c r="E38" s="174">
        <f t="shared" si="0"/>
        <v>-3.5461860157981473E-4</v>
      </c>
      <c r="F38" s="172">
        <f t="shared" si="9"/>
        <v>1.5460733405424141</v>
      </c>
      <c r="G38" s="174">
        <v>4.7399999999999998E-2</v>
      </c>
      <c r="H38" s="174">
        <v>3.8100000000000002E-2</v>
      </c>
      <c r="I38" s="174">
        <v>6.5062499999999999E-3</v>
      </c>
      <c r="J38" s="174">
        <f t="shared" si="1"/>
        <v>7.9790126341710427E-2</v>
      </c>
      <c r="K38" s="172">
        <v>17001802000</v>
      </c>
      <c r="L38" s="173">
        <f>K38</f>
        <v>17001802000</v>
      </c>
      <c r="M38" s="176">
        <f t="shared" si="3"/>
        <v>1850816182721.802</v>
      </c>
      <c r="N38" s="172">
        <v>98667</v>
      </c>
      <c r="O38" s="172">
        <v>8773</v>
      </c>
      <c r="P38" s="172">
        <v>4996</v>
      </c>
      <c r="Q38" s="176">
        <f t="shared" si="4"/>
        <v>112436000000</v>
      </c>
      <c r="R38" s="172">
        <v>634</v>
      </c>
      <c r="S38" s="177">
        <f t="shared" si="5"/>
        <v>2.5552314205414636E-2</v>
      </c>
      <c r="T38" s="177">
        <f t="shared" si="6"/>
        <v>0.94272972112827524</v>
      </c>
      <c r="U38" s="177">
        <f t="shared" si="7"/>
        <v>5.7270278871724756E-2</v>
      </c>
      <c r="V38" s="177">
        <f t="shared" si="8"/>
        <v>7.6683911715272543E-2</v>
      </c>
    </row>
    <row r="39" spans="1:22" ht="20" customHeight="1" x14ac:dyDescent="0.2">
      <c r="A39" s="175">
        <v>44197</v>
      </c>
      <c r="B39" s="168">
        <v>131.96000699999999</v>
      </c>
      <c r="C39" s="169">
        <v>3714.24</v>
      </c>
      <c r="D39" s="174">
        <f t="shared" si="0"/>
        <v>0.21219920804520287</v>
      </c>
      <c r="E39" s="174">
        <f t="shared" si="0"/>
        <v>0.13586710540801716</v>
      </c>
      <c r="F39" s="172">
        <f t="shared" si="9"/>
        <v>1.7065346606132785</v>
      </c>
      <c r="G39" s="174">
        <v>4.2000000000000003E-2</v>
      </c>
      <c r="H39" s="174">
        <v>5.4199999999999998E-2</v>
      </c>
      <c r="I39" s="174">
        <v>8.6451612903225804E-3</v>
      </c>
      <c r="J39" s="174">
        <f t="shared" si="1"/>
        <v>8.0319617036080287E-2</v>
      </c>
      <c r="K39" s="172">
        <v>16788096000</v>
      </c>
      <c r="L39" s="173">
        <f>K39</f>
        <v>16788096000</v>
      </c>
      <c r="M39" s="176">
        <f t="shared" si="3"/>
        <v>2215357265676.6719</v>
      </c>
      <c r="N39" s="179">
        <v>99281</v>
      </c>
      <c r="O39" s="179">
        <v>7762</v>
      </c>
      <c r="P39" s="179">
        <v>5000</v>
      </c>
      <c r="Q39" s="176">
        <f t="shared" si="4"/>
        <v>112043000000</v>
      </c>
      <c r="R39" s="172">
        <v>638</v>
      </c>
      <c r="S39" s="177">
        <f t="shared" si="5"/>
        <v>2.4329944753353622E-2</v>
      </c>
      <c r="T39" s="177">
        <f t="shared" si="6"/>
        <v>0.9518591616352573</v>
      </c>
      <c r="U39" s="177">
        <f t="shared" si="7"/>
        <v>4.81408383647427E-2</v>
      </c>
      <c r="V39" s="177">
        <f t="shared" si="8"/>
        <v>7.7624227272622637E-2</v>
      </c>
    </row>
    <row r="40" spans="1:22" ht="20.25" customHeight="1" x14ac:dyDescent="0.2">
      <c r="A40" s="180">
        <v>44287</v>
      </c>
      <c r="B40" s="181">
        <v>131.46000699999999</v>
      </c>
      <c r="C40" s="182">
        <v>4181.17</v>
      </c>
      <c r="D40" s="183">
        <f t="shared" si="0"/>
        <v>-3.7890267768779795E-3</v>
      </c>
      <c r="E40" s="183">
        <f t="shared" si="0"/>
        <v>0.12571347031963476</v>
      </c>
      <c r="F40" s="172">
        <f t="shared" si="9"/>
        <v>1.3160844710449926</v>
      </c>
      <c r="G40" s="183">
        <v>4.1399999999999999E-2</v>
      </c>
      <c r="H40" s="183">
        <v>8.7599999999999997E-2</v>
      </c>
      <c r="I40" s="183">
        <v>1.3359016393442599E-2</v>
      </c>
      <c r="J40" s="183">
        <f t="shared" si="1"/>
        <v>6.7844913494705283E-2</v>
      </c>
      <c r="K40" s="184">
        <v>16687631000</v>
      </c>
      <c r="L40" s="185">
        <f>K40</f>
        <v>16687631000</v>
      </c>
      <c r="M40" s="186">
        <f t="shared" si="3"/>
        <v>2193756088073.4167</v>
      </c>
      <c r="N40" s="184">
        <v>108642</v>
      </c>
      <c r="O40" s="184">
        <v>8003</v>
      </c>
      <c r="P40" s="184">
        <v>5000</v>
      </c>
      <c r="Q40" s="186">
        <f t="shared" si="4"/>
        <v>121645000000</v>
      </c>
      <c r="R40" s="184">
        <v>670</v>
      </c>
      <c r="S40" s="187">
        <f t="shared" si="5"/>
        <v>2.1694274322824614E-2</v>
      </c>
      <c r="T40" s="187">
        <f t="shared" si="6"/>
        <v>0.9474626661330553</v>
      </c>
      <c r="U40" s="187">
        <f t="shared" si="7"/>
        <v>5.2537333866944702E-2</v>
      </c>
      <c r="V40" s="187">
        <f t="shared" si="8"/>
        <v>6.542028195635928E-2</v>
      </c>
    </row>
    <row r="41" spans="1:22" ht="20.25" customHeight="1" x14ac:dyDescent="0.2">
      <c r="A41" s="188" t="s">
        <v>126</v>
      </c>
      <c r="B41" s="189"/>
      <c r="C41" s="189"/>
      <c r="D41" s="190"/>
      <c r="E41" s="190"/>
      <c r="F41" s="190"/>
      <c r="G41" s="190"/>
      <c r="H41" s="190"/>
      <c r="I41" s="190"/>
      <c r="J41" s="190"/>
      <c r="K41" s="190"/>
      <c r="L41" s="190"/>
      <c r="M41" s="190"/>
      <c r="N41" s="190"/>
      <c r="O41" s="190"/>
      <c r="P41" s="190"/>
      <c r="Q41" s="190"/>
      <c r="R41" s="190"/>
      <c r="S41" s="190"/>
      <c r="T41" s="190"/>
      <c r="U41" s="190"/>
      <c r="V41" s="191">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2021-06-11T02:35:09Z</dcterms:created>
  <dcterms:modified xsi:type="dcterms:W3CDTF">2021-06-11T17:22:36Z</dcterms:modified>
</cp:coreProperties>
</file>