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shecky/Desktop/"/>
    </mc:Choice>
  </mc:AlternateContent>
  <xr:revisionPtr revIDLastSave="0" documentId="13_ncr:1_{6E922A81-509E-B54A-A33C-E8384E34DB87}" xr6:coauthVersionLast="47" xr6:coauthVersionMax="47" xr10:uidLastSave="{00000000-0000-0000-0000-000000000000}"/>
  <bookViews>
    <workbookView xWindow="0" yWindow="500" windowWidth="38280" windowHeight="26760" activeTab="6" xr2:uid="{00000000-000D-0000-FFFF-FFFF00000000}"/>
  </bookViews>
  <sheets>
    <sheet name="PORTFOLIO - Table 1" sheetId="1" r:id="rId1"/>
    <sheet name="Sectors" sheetId="2" r:id="rId2"/>
    <sheet name="Bill - Table 1" sheetId="5" r:id="rId3"/>
    <sheet name="Bill - Table 2" sheetId="6" r:id="rId4"/>
    <sheet name="Category Weightings" sheetId="8" r:id="rId5"/>
    <sheet name="Universe Weighting Workshhet - " sheetId="9" r:id="rId6"/>
    <sheet name="Airport" sheetId="13" r:id="rId7"/>
    <sheet name="Broadband" sheetId="14" r:id="rId8"/>
    <sheet name="Concrete_Asphalt_Steel" sheetId="15" r:id="rId9"/>
    <sheet name="Environmental" sheetId="16" r:id="rId10"/>
    <sheet name="Equip_Rental_Transpo" sheetId="17" r:id="rId11"/>
    <sheet name="EV Buses" sheetId="18" r:id="rId12"/>
    <sheet name="EV Charging" sheetId="19" r:id="rId13"/>
    <sheet name="Grid" sheetId="20" r:id="rId14"/>
    <sheet name="Mass Transit" sheetId="21" r:id="rId15"/>
    <sheet name="Ports" sheetId="22" r:id="rId16"/>
    <sheet name="Rails" sheetId="23" r:id="rId17"/>
    <sheet name="Roads and Bridges" sheetId="24" r:id="rId18"/>
    <sheet name="Water" sheetId="25"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25" l="1"/>
  <c r="B24" i="25"/>
  <c r="A24" i="25"/>
  <c r="C23" i="25"/>
  <c r="B23" i="25"/>
  <c r="A23" i="25"/>
  <c r="C22" i="25"/>
  <c r="B22" i="25"/>
  <c r="A22" i="25"/>
  <c r="C21" i="25"/>
  <c r="B21" i="25"/>
  <c r="A21" i="25"/>
  <c r="C20" i="25"/>
  <c r="B20" i="25"/>
  <c r="A20" i="25"/>
  <c r="C19" i="25"/>
  <c r="B19" i="25"/>
  <c r="A19" i="25"/>
  <c r="C18" i="25"/>
  <c r="B18" i="25"/>
  <c r="A18" i="25"/>
  <c r="C17" i="25"/>
  <c r="B17" i="25"/>
  <c r="A17" i="25"/>
  <c r="C16" i="25"/>
  <c r="B16" i="25"/>
  <c r="A16" i="25"/>
  <c r="C15" i="25"/>
  <c r="B15" i="25"/>
  <c r="A15" i="25"/>
  <c r="C14" i="25"/>
  <c r="B14" i="25"/>
  <c r="A14" i="25"/>
  <c r="C13" i="25"/>
  <c r="B13" i="25"/>
  <c r="A13" i="25"/>
  <c r="C12" i="25"/>
  <c r="B12" i="25"/>
  <c r="A12" i="25"/>
  <c r="C11" i="25"/>
  <c r="B11" i="25"/>
  <c r="A11" i="25"/>
  <c r="C10" i="25"/>
  <c r="B10" i="25"/>
  <c r="A10" i="25"/>
  <c r="C9" i="25"/>
  <c r="B9" i="25"/>
  <c r="A9" i="25"/>
  <c r="C8" i="25"/>
  <c r="B8" i="25"/>
  <c r="A8" i="25"/>
  <c r="C7" i="25"/>
  <c r="B7" i="25"/>
  <c r="A7" i="25"/>
  <c r="C6" i="25"/>
  <c r="B6" i="25"/>
  <c r="A6" i="25"/>
  <c r="C5" i="25"/>
  <c r="B5" i="25"/>
  <c r="A5" i="25"/>
  <c r="C4" i="25"/>
  <c r="B4" i="25"/>
  <c r="A4" i="25"/>
  <c r="C3" i="25"/>
  <c r="B3" i="25"/>
  <c r="A3" i="25"/>
  <c r="C2" i="25"/>
  <c r="B2" i="25"/>
  <c r="A2" i="25"/>
  <c r="C12" i="24"/>
  <c r="B12" i="24"/>
  <c r="A12" i="24"/>
  <c r="C11" i="24"/>
  <c r="B11" i="24"/>
  <c r="A11" i="24"/>
  <c r="C10" i="24"/>
  <c r="B10" i="24"/>
  <c r="A10" i="24"/>
  <c r="C9" i="24"/>
  <c r="B9" i="24"/>
  <c r="A9" i="24"/>
  <c r="C8" i="24"/>
  <c r="B8" i="24"/>
  <c r="A8" i="24"/>
  <c r="C7" i="24"/>
  <c r="B7" i="24"/>
  <c r="A7" i="24"/>
  <c r="C6" i="24"/>
  <c r="B6" i="24"/>
  <c r="A6" i="24"/>
  <c r="C5" i="24"/>
  <c r="B5" i="24"/>
  <c r="A5" i="24"/>
  <c r="C4" i="24"/>
  <c r="B4" i="24"/>
  <c r="A4" i="24"/>
  <c r="C3" i="24"/>
  <c r="B3" i="24"/>
  <c r="A3" i="24"/>
  <c r="C2" i="24"/>
  <c r="B2" i="24"/>
  <c r="A2" i="24"/>
  <c r="C9" i="23"/>
  <c r="B9" i="23"/>
  <c r="A9" i="23"/>
  <c r="C8" i="23"/>
  <c r="B8" i="23"/>
  <c r="A8" i="23"/>
  <c r="C7" i="23"/>
  <c r="B7" i="23"/>
  <c r="A7" i="23"/>
  <c r="C6" i="23"/>
  <c r="B6" i="23"/>
  <c r="A6" i="23"/>
  <c r="C5" i="23"/>
  <c r="B5" i="23"/>
  <c r="A5" i="23"/>
  <c r="C4" i="23"/>
  <c r="B4" i="23"/>
  <c r="A4" i="23"/>
  <c r="C3" i="23"/>
  <c r="B3" i="23"/>
  <c r="A3" i="23"/>
  <c r="C2" i="23"/>
  <c r="B2" i="23"/>
  <c r="A2" i="23"/>
  <c r="C9" i="22"/>
  <c r="B9" i="22"/>
  <c r="A9" i="22"/>
  <c r="C8" i="22"/>
  <c r="B8" i="22"/>
  <c r="A8" i="22"/>
  <c r="C7" i="22"/>
  <c r="B7" i="22"/>
  <c r="A7" i="22"/>
  <c r="C6" i="22"/>
  <c r="B6" i="22"/>
  <c r="A6" i="22"/>
  <c r="C5" i="22"/>
  <c r="B5" i="22"/>
  <c r="A5" i="22"/>
  <c r="C4" i="22"/>
  <c r="B4" i="22"/>
  <c r="A4" i="22"/>
  <c r="C3" i="22"/>
  <c r="B3" i="22"/>
  <c r="A3" i="22"/>
  <c r="C2" i="22"/>
  <c r="B2" i="22"/>
  <c r="A2" i="22"/>
  <c r="C9" i="21"/>
  <c r="B9" i="21"/>
  <c r="A9" i="21"/>
  <c r="C8" i="21"/>
  <c r="B8" i="21"/>
  <c r="A8" i="21"/>
  <c r="C7" i="21"/>
  <c r="B7" i="21"/>
  <c r="A7" i="21"/>
  <c r="C6" i="21"/>
  <c r="B6" i="21"/>
  <c r="A6" i="21"/>
  <c r="C5" i="21"/>
  <c r="B5" i="21"/>
  <c r="A5" i="21"/>
  <c r="C4" i="21"/>
  <c r="B4" i="21"/>
  <c r="A4" i="21"/>
  <c r="C3" i="21"/>
  <c r="B3" i="21"/>
  <c r="A3" i="21"/>
  <c r="C2" i="21"/>
  <c r="B2" i="21"/>
  <c r="A2" i="21"/>
  <c r="C12" i="20"/>
  <c r="B12" i="20"/>
  <c r="A12" i="20"/>
  <c r="C11" i="20"/>
  <c r="B11" i="20"/>
  <c r="A11" i="20"/>
  <c r="C10" i="20"/>
  <c r="B10" i="20"/>
  <c r="A10" i="20"/>
  <c r="C9" i="20"/>
  <c r="B9" i="20"/>
  <c r="A9" i="20"/>
  <c r="C8" i="20"/>
  <c r="B8" i="20"/>
  <c r="A8" i="20"/>
  <c r="C7" i="20"/>
  <c r="B7" i="20"/>
  <c r="A7" i="20"/>
  <c r="C6" i="20"/>
  <c r="B6" i="20"/>
  <c r="A6" i="20"/>
  <c r="C5" i="20"/>
  <c r="B5" i="20"/>
  <c r="A5" i="20"/>
  <c r="C4" i="20"/>
  <c r="B4" i="20"/>
  <c r="A4" i="20"/>
  <c r="C3" i="20"/>
  <c r="B3" i="20"/>
  <c r="A3" i="20"/>
  <c r="C2" i="20"/>
  <c r="B2" i="20"/>
  <c r="A2" i="20"/>
  <c r="C3" i="19"/>
  <c r="B3" i="19"/>
  <c r="A3" i="19"/>
  <c r="D2" i="19"/>
  <c r="C2" i="19"/>
  <c r="B2" i="19"/>
  <c r="A2" i="19"/>
  <c r="C4" i="18"/>
  <c r="B4" i="18"/>
  <c r="A4" i="18"/>
  <c r="C3" i="18"/>
  <c r="B3" i="18"/>
  <c r="A3" i="18"/>
  <c r="C2" i="18"/>
  <c r="B2" i="18"/>
  <c r="A2" i="18"/>
  <c r="C9" i="17"/>
  <c r="B9" i="17"/>
  <c r="A9" i="17"/>
  <c r="C8" i="17"/>
  <c r="B8" i="17"/>
  <c r="A8" i="17"/>
  <c r="C7" i="17"/>
  <c r="B7" i="17"/>
  <c r="A7" i="17"/>
  <c r="C6" i="17"/>
  <c r="B6" i="17"/>
  <c r="A6" i="17"/>
  <c r="C5" i="17"/>
  <c r="B5" i="17"/>
  <c r="A5" i="17"/>
  <c r="C4" i="17"/>
  <c r="B4" i="17"/>
  <c r="A4" i="17"/>
  <c r="C3" i="17"/>
  <c r="B3" i="17"/>
  <c r="A3" i="17"/>
  <c r="C2" i="17"/>
  <c r="B2" i="17"/>
  <c r="A2" i="17"/>
  <c r="C13" i="16"/>
  <c r="B13" i="16"/>
  <c r="A13" i="16"/>
  <c r="C12" i="16"/>
  <c r="B12" i="16"/>
  <c r="A12" i="16"/>
  <c r="C11" i="16"/>
  <c r="B11" i="16"/>
  <c r="A11" i="16"/>
  <c r="C10" i="16"/>
  <c r="B10" i="16"/>
  <c r="A10" i="16"/>
  <c r="C9" i="16"/>
  <c r="B9" i="16"/>
  <c r="A9" i="16"/>
  <c r="C8" i="16"/>
  <c r="B8" i="16"/>
  <c r="A8" i="16"/>
  <c r="C7" i="16"/>
  <c r="B7" i="16"/>
  <c r="A7" i="16"/>
  <c r="C6" i="16"/>
  <c r="B6" i="16"/>
  <c r="A6" i="16"/>
  <c r="C5" i="16"/>
  <c r="B5" i="16"/>
  <c r="A5" i="16"/>
  <c r="C4" i="16"/>
  <c r="B4" i="16"/>
  <c r="A4" i="16"/>
  <c r="C3" i="16"/>
  <c r="B3" i="16"/>
  <c r="A3" i="16"/>
  <c r="C2" i="16"/>
  <c r="B2" i="16"/>
  <c r="A2" i="16"/>
  <c r="C14" i="15"/>
  <c r="B14" i="15"/>
  <c r="A14" i="15"/>
  <c r="C13" i="15"/>
  <c r="B13" i="15"/>
  <c r="A13" i="15"/>
  <c r="C12" i="15"/>
  <c r="B12" i="15"/>
  <c r="A12" i="15"/>
  <c r="C11" i="15"/>
  <c r="B11" i="15"/>
  <c r="A11" i="15"/>
  <c r="C10" i="15"/>
  <c r="B10" i="15"/>
  <c r="A10" i="15"/>
  <c r="C9" i="15"/>
  <c r="B9" i="15"/>
  <c r="A9" i="15"/>
  <c r="C8" i="15"/>
  <c r="B8" i="15"/>
  <c r="A8" i="15"/>
  <c r="C7" i="15"/>
  <c r="B7" i="15"/>
  <c r="A7" i="15"/>
  <c r="C6" i="15"/>
  <c r="B6" i="15"/>
  <c r="A6" i="15"/>
  <c r="C5" i="15"/>
  <c r="B5" i="15"/>
  <c r="A5" i="15"/>
  <c r="C4" i="15"/>
  <c r="B4" i="15"/>
  <c r="A4" i="15"/>
  <c r="C3" i="15"/>
  <c r="B3" i="15"/>
  <c r="A3" i="15"/>
  <c r="C2" i="15"/>
  <c r="B2" i="15"/>
  <c r="A2" i="15"/>
  <c r="C12" i="14"/>
  <c r="B12" i="14"/>
  <c r="A12" i="14"/>
  <c r="C11" i="14"/>
  <c r="B11" i="14"/>
  <c r="A11" i="14"/>
  <c r="C10" i="14"/>
  <c r="B10" i="14"/>
  <c r="A10" i="14"/>
  <c r="C9" i="14"/>
  <c r="B9" i="14"/>
  <c r="A9" i="14"/>
  <c r="C8" i="14"/>
  <c r="B8" i="14"/>
  <c r="A8" i="14"/>
  <c r="C7" i="14"/>
  <c r="B7" i="14"/>
  <c r="A7" i="14"/>
  <c r="C6" i="14"/>
  <c r="B6" i="14"/>
  <c r="A6" i="14"/>
  <c r="C5" i="14"/>
  <c r="B5" i="14"/>
  <c r="A5" i="14"/>
  <c r="C4" i="14"/>
  <c r="B4" i="14"/>
  <c r="A4" i="14"/>
  <c r="C3" i="14"/>
  <c r="B3" i="14"/>
  <c r="A3" i="14"/>
  <c r="C2" i="14"/>
  <c r="B2" i="14"/>
  <c r="A2" i="14"/>
  <c r="C9" i="13"/>
  <c r="B9" i="13"/>
  <c r="A9" i="13"/>
  <c r="C8" i="13"/>
  <c r="B8" i="13"/>
  <c r="A8" i="13"/>
  <c r="C7" i="13"/>
  <c r="B7" i="13"/>
  <c r="A7" i="13"/>
  <c r="C6" i="13"/>
  <c r="B6" i="13"/>
  <c r="A6" i="13"/>
  <c r="C5" i="13"/>
  <c r="B5" i="13"/>
  <c r="A5" i="13"/>
  <c r="C4" i="13"/>
  <c r="B4" i="13"/>
  <c r="A4" i="13"/>
  <c r="C3" i="13"/>
  <c r="B3" i="13"/>
  <c r="A3" i="13"/>
  <c r="C2" i="13"/>
  <c r="B2" i="13"/>
  <c r="A2" i="13"/>
  <c r="J141" i="9"/>
  <c r="I140" i="9"/>
  <c r="K140" i="9" s="1"/>
  <c r="D24" i="25" s="1"/>
  <c r="F140" i="9"/>
  <c r="F139" i="9"/>
  <c r="H138" i="9"/>
  <c r="I138" i="9" s="1"/>
  <c r="K138" i="9" s="1"/>
  <c r="D22" i="25" s="1"/>
  <c r="F138" i="9"/>
  <c r="H137" i="9"/>
  <c r="F137" i="9"/>
  <c r="I139" i="9" s="1"/>
  <c r="K139" i="9" s="1"/>
  <c r="D23" i="25" s="1"/>
  <c r="H136" i="9"/>
  <c r="F136" i="9"/>
  <c r="H135" i="9"/>
  <c r="I134" i="9"/>
  <c r="K134" i="9" s="1"/>
  <c r="D18" i="25" s="1"/>
  <c r="H134" i="9"/>
  <c r="F134" i="9"/>
  <c r="F133" i="9"/>
  <c r="I132" i="9"/>
  <c r="K132" i="9" s="1"/>
  <c r="D16" i="25" s="1"/>
  <c r="H132" i="9"/>
  <c r="F132" i="9"/>
  <c r="I131" i="9"/>
  <c r="K131" i="9" s="1"/>
  <c r="D15" i="25" s="1"/>
  <c r="F131" i="9"/>
  <c r="I130" i="9"/>
  <c r="K130" i="9" s="1"/>
  <c r="F130" i="9"/>
  <c r="H129" i="9"/>
  <c r="I129" i="9" s="1"/>
  <c r="K129" i="9" s="1"/>
  <c r="D14" i="25" s="1"/>
  <c r="F128" i="9"/>
  <c r="F127" i="9"/>
  <c r="I127" i="9" s="1"/>
  <c r="K127" i="9" s="1"/>
  <c r="D12" i="25" s="1"/>
  <c r="H126" i="9"/>
  <c r="F126" i="9"/>
  <c r="H125" i="9"/>
  <c r="F125" i="9"/>
  <c r="I124" i="9"/>
  <c r="K124" i="9" s="1"/>
  <c r="D9" i="25" s="1"/>
  <c r="F124" i="9"/>
  <c r="H123" i="9"/>
  <c r="H122" i="9"/>
  <c r="F121" i="9"/>
  <c r="I121" i="9" s="1"/>
  <c r="K121" i="9" s="1"/>
  <c r="D6" i="25" s="1"/>
  <c r="I120" i="9"/>
  <c r="K120" i="9" s="1"/>
  <c r="F120" i="9"/>
  <c r="F119" i="9"/>
  <c r="I119" i="9" s="1"/>
  <c r="K119" i="9" s="1"/>
  <c r="K118" i="9"/>
  <c r="D5" i="25" s="1"/>
  <c r="I118" i="9"/>
  <c r="H118" i="9"/>
  <c r="I116" i="9"/>
  <c r="K116" i="9" s="1"/>
  <c r="D3" i="25" s="1"/>
  <c r="H116" i="9"/>
  <c r="H115" i="9"/>
  <c r="H114" i="9"/>
  <c r="F114" i="9"/>
  <c r="K113" i="9"/>
  <c r="D11" i="24" s="1"/>
  <c r="I113" i="9"/>
  <c r="H113" i="9"/>
  <c r="F113" i="9"/>
  <c r="G112" i="9"/>
  <c r="I112" i="9" s="1"/>
  <c r="K112" i="9" s="1"/>
  <c r="D10" i="24" s="1"/>
  <c r="F112" i="9"/>
  <c r="H111" i="9"/>
  <c r="F111" i="9"/>
  <c r="F110" i="9"/>
  <c r="F109" i="9"/>
  <c r="I108" i="9"/>
  <c r="K108" i="9" s="1"/>
  <c r="D6" i="24" s="1"/>
  <c r="F108" i="9"/>
  <c r="H107" i="9"/>
  <c r="F107" i="9"/>
  <c r="F106" i="9"/>
  <c r="H104" i="9"/>
  <c r="H103" i="9"/>
  <c r="F103" i="9"/>
  <c r="H102" i="9"/>
  <c r="F102" i="9"/>
  <c r="H101" i="9"/>
  <c r="F101" i="9"/>
  <c r="F100" i="9"/>
  <c r="H99" i="9"/>
  <c r="F99" i="9"/>
  <c r="F98" i="9"/>
  <c r="H96" i="9"/>
  <c r="H95" i="9"/>
  <c r="H94" i="9"/>
  <c r="F94" i="9"/>
  <c r="H93" i="9"/>
  <c r="F93" i="9"/>
  <c r="G92" i="9"/>
  <c r="I92" i="9" s="1"/>
  <c r="K92" i="9" s="1"/>
  <c r="D7" i="22" s="1"/>
  <c r="F92" i="9"/>
  <c r="H91" i="9"/>
  <c r="F91" i="9"/>
  <c r="H90" i="9"/>
  <c r="F90" i="9"/>
  <c r="F89" i="9"/>
  <c r="H87" i="9"/>
  <c r="G87" i="9"/>
  <c r="H86" i="9"/>
  <c r="F86" i="9"/>
  <c r="H85" i="9"/>
  <c r="F85" i="9"/>
  <c r="F84" i="9"/>
  <c r="H83" i="9"/>
  <c r="F83" i="9"/>
  <c r="F82" i="9"/>
  <c r="F81" i="9"/>
  <c r="H79" i="9"/>
  <c r="H78" i="9"/>
  <c r="H77" i="9"/>
  <c r="F77" i="9"/>
  <c r="K76" i="9"/>
  <c r="D11" i="20" s="1"/>
  <c r="H76" i="9"/>
  <c r="I76" i="9" s="1"/>
  <c r="F76" i="9"/>
  <c r="F75" i="9"/>
  <c r="F74" i="9"/>
  <c r="I74" i="9" s="1"/>
  <c r="K74" i="9" s="1"/>
  <c r="D9" i="20" s="1"/>
  <c r="F73" i="9"/>
  <c r="F72" i="9"/>
  <c r="I72" i="9" s="1"/>
  <c r="K72" i="9" s="1"/>
  <c r="D7" i="20" s="1"/>
  <c r="I71" i="9"/>
  <c r="K71" i="9" s="1"/>
  <c r="D6" i="20" s="1"/>
  <c r="H71" i="9"/>
  <c r="F71" i="9"/>
  <c r="I70" i="9"/>
  <c r="K70" i="9" s="1"/>
  <c r="H70" i="9"/>
  <c r="F70" i="9"/>
  <c r="K69" i="9"/>
  <c r="D5" i="20" s="1"/>
  <c r="F69" i="9"/>
  <c r="I69" i="9" s="1"/>
  <c r="I68" i="9"/>
  <c r="K68" i="9" s="1"/>
  <c r="D4" i="20" s="1"/>
  <c r="F68" i="9"/>
  <c r="H67" i="9"/>
  <c r="G67" i="9"/>
  <c r="I66" i="9"/>
  <c r="K66" i="9" s="1"/>
  <c r="D2" i="20" s="1"/>
  <c r="F66" i="9"/>
  <c r="H65" i="9"/>
  <c r="G65" i="9"/>
  <c r="F65" i="9"/>
  <c r="K64" i="9"/>
  <c r="F64" i="9"/>
  <c r="I64" i="9" s="1"/>
  <c r="H63" i="9"/>
  <c r="G63" i="9"/>
  <c r="I63" i="9" s="1"/>
  <c r="K63" i="9" s="1"/>
  <c r="D4" i="18" s="1"/>
  <c r="F63" i="9"/>
  <c r="I62" i="9"/>
  <c r="K62" i="9" s="1"/>
  <c r="D3" i="18" s="1"/>
  <c r="I61" i="9"/>
  <c r="K61" i="9" s="1"/>
  <c r="D2" i="18" s="1"/>
  <c r="E2" i="18" s="1"/>
  <c r="F2" i="18" s="1"/>
  <c r="F61" i="9"/>
  <c r="I60" i="9"/>
  <c r="K60" i="9" s="1"/>
  <c r="D9" i="17" s="1"/>
  <c r="H60" i="9"/>
  <c r="F59" i="9"/>
  <c r="I59" i="9" s="1"/>
  <c r="K59" i="9" s="1"/>
  <c r="I58" i="9"/>
  <c r="K58" i="9" s="1"/>
  <c r="D8" i="17" s="1"/>
  <c r="H58" i="9"/>
  <c r="H57" i="9"/>
  <c r="F57" i="9"/>
  <c r="I56" i="9"/>
  <c r="K56" i="9" s="1"/>
  <c r="D6" i="17" s="1"/>
  <c r="H56" i="9"/>
  <c r="I55" i="9"/>
  <c r="K55" i="9" s="1"/>
  <c r="D5" i="17" s="1"/>
  <c r="I54" i="9"/>
  <c r="K54" i="9" s="1"/>
  <c r="D4" i="17" s="1"/>
  <c r="K53" i="9"/>
  <c r="D3" i="17" s="1"/>
  <c r="I53" i="9"/>
  <c r="H52" i="9"/>
  <c r="F52" i="9"/>
  <c r="I52" i="9" s="1"/>
  <c r="K52" i="9" s="1"/>
  <c r="K51" i="9"/>
  <c r="D2" i="17" s="1"/>
  <c r="I51" i="9"/>
  <c r="H50" i="9"/>
  <c r="F50" i="9"/>
  <c r="H49" i="9"/>
  <c r="I49" i="9" s="1"/>
  <c r="K49" i="9" s="1"/>
  <c r="D12" i="16" s="1"/>
  <c r="F49" i="9"/>
  <c r="H48" i="9"/>
  <c r="I47" i="9"/>
  <c r="K47" i="9" s="1"/>
  <c r="D10" i="16" s="1"/>
  <c r="H47" i="9"/>
  <c r="F47" i="9"/>
  <c r="F46" i="9"/>
  <c r="F45" i="9"/>
  <c r="I44" i="9"/>
  <c r="K44" i="9" s="1"/>
  <c r="D7" i="16" s="1"/>
  <c r="H43" i="9"/>
  <c r="F43" i="9"/>
  <c r="H42" i="9"/>
  <c r="H41" i="9"/>
  <c r="K40" i="9"/>
  <c r="D3" i="16" s="1"/>
  <c r="I40" i="9"/>
  <c r="H39" i="9"/>
  <c r="G39" i="9"/>
  <c r="F38" i="9"/>
  <c r="I38" i="9" s="1"/>
  <c r="K38" i="9" s="1"/>
  <c r="D14" i="15" s="1"/>
  <c r="K37" i="9"/>
  <c r="D13" i="15" s="1"/>
  <c r="I37" i="9"/>
  <c r="I36" i="9"/>
  <c r="K36" i="9" s="1"/>
  <c r="D12" i="15" s="1"/>
  <c r="H35" i="9"/>
  <c r="I35" i="9" s="1"/>
  <c r="K35" i="9" s="1"/>
  <c r="D11" i="15" s="1"/>
  <c r="I34" i="9"/>
  <c r="K34" i="9" s="1"/>
  <c r="D10" i="15" s="1"/>
  <c r="H34" i="9"/>
  <c r="F34" i="9"/>
  <c r="I33" i="9"/>
  <c r="K33" i="9" s="1"/>
  <c r="D9" i="15" s="1"/>
  <c r="I32" i="9"/>
  <c r="K32" i="9" s="1"/>
  <c r="D8" i="15" s="1"/>
  <c r="K31" i="9"/>
  <c r="H31" i="9"/>
  <c r="I31" i="9" s="1"/>
  <c r="I30" i="9"/>
  <c r="K30" i="9" s="1"/>
  <c r="D7" i="15" s="1"/>
  <c r="E7" i="15" s="1"/>
  <c r="F7" i="15" s="1"/>
  <c r="F30" i="9"/>
  <c r="F29" i="9"/>
  <c r="I29" i="9" s="1"/>
  <c r="K29" i="9" s="1"/>
  <c r="D6" i="15" s="1"/>
  <c r="H28" i="9"/>
  <c r="I28" i="9" s="1"/>
  <c r="K28" i="9" s="1"/>
  <c r="D5" i="15" s="1"/>
  <c r="H27" i="9"/>
  <c r="I27" i="9" s="1"/>
  <c r="K27" i="9" s="1"/>
  <c r="D4" i="15" s="1"/>
  <c r="H26" i="9"/>
  <c r="I26" i="9" s="1"/>
  <c r="K26" i="9" s="1"/>
  <c r="D3" i="15" s="1"/>
  <c r="K25" i="9"/>
  <c r="D2" i="15" s="1"/>
  <c r="E2" i="15" s="1"/>
  <c r="F2" i="15" s="1"/>
  <c r="D52" i="1" s="1"/>
  <c r="F25" i="9"/>
  <c r="I25" i="9" s="1"/>
  <c r="H24" i="9"/>
  <c r="F24" i="9"/>
  <c r="I24" i="9" s="1"/>
  <c r="K24" i="9" s="1"/>
  <c r="D12" i="14" s="1"/>
  <c r="H23" i="9"/>
  <c r="I23" i="9" s="1"/>
  <c r="K23" i="9" s="1"/>
  <c r="F23" i="9"/>
  <c r="I22" i="9"/>
  <c r="K22" i="9" s="1"/>
  <c r="D11" i="14" s="1"/>
  <c r="H22" i="9"/>
  <c r="F22" i="9"/>
  <c r="K21" i="9"/>
  <c r="D10" i="14" s="1"/>
  <c r="F21" i="9"/>
  <c r="H20" i="9"/>
  <c r="I20" i="9" s="1"/>
  <c r="K20" i="9" s="1"/>
  <c r="D9" i="14" s="1"/>
  <c r="I19" i="9"/>
  <c r="K19" i="9" s="1"/>
  <c r="H19" i="9"/>
  <c r="F19" i="9"/>
  <c r="H18" i="9"/>
  <c r="F18" i="9"/>
  <c r="I18" i="9" s="1"/>
  <c r="K18" i="9" s="1"/>
  <c r="D8" i="14" s="1"/>
  <c r="K17" i="9"/>
  <c r="D7" i="14" s="1"/>
  <c r="H17" i="9"/>
  <c r="I17" i="9" s="1"/>
  <c r="H16" i="9"/>
  <c r="F16" i="9"/>
  <c r="I16" i="9" s="1"/>
  <c r="K16" i="9" s="1"/>
  <c r="I15" i="9"/>
  <c r="K15" i="9" s="1"/>
  <c r="D6" i="14" s="1"/>
  <c r="H14" i="9"/>
  <c r="I14" i="9" s="1"/>
  <c r="K14" i="9" s="1"/>
  <c r="D5" i="14" s="1"/>
  <c r="H13" i="9"/>
  <c r="I13" i="9" s="1"/>
  <c r="K13" i="9" s="1"/>
  <c r="D4" i="14" s="1"/>
  <c r="H12" i="9"/>
  <c r="I12" i="9" s="1"/>
  <c r="K12" i="9" s="1"/>
  <c r="D3" i="14" s="1"/>
  <c r="E3" i="14" s="1"/>
  <c r="F3" i="14" s="1"/>
  <c r="D60" i="1" s="1"/>
  <c r="F12" i="9"/>
  <c r="H11" i="9"/>
  <c r="F11" i="9"/>
  <c r="K10" i="9"/>
  <c r="D2" i="14" s="1"/>
  <c r="I10" i="9"/>
  <c r="H10" i="9"/>
  <c r="F10" i="9"/>
  <c r="H9" i="9"/>
  <c r="F9" i="9"/>
  <c r="H8" i="9"/>
  <c r="G8" i="9"/>
  <c r="F8" i="9"/>
  <c r="F7" i="9"/>
  <c r="H6" i="9"/>
  <c r="F6" i="9"/>
  <c r="F5" i="9"/>
  <c r="G4" i="9"/>
  <c r="I4" i="9" s="1"/>
  <c r="K4" i="9" s="1"/>
  <c r="D4" i="13" s="1"/>
  <c r="F4" i="9"/>
  <c r="F3" i="9"/>
  <c r="H2" i="9"/>
  <c r="C12" i="8"/>
  <c r="C11" i="8"/>
  <c r="C10" i="8"/>
  <c r="G46" i="9" s="1"/>
  <c r="I46" i="9" s="1"/>
  <c r="K46" i="9" s="1"/>
  <c r="D9" i="16" s="1"/>
  <c r="C9" i="8"/>
  <c r="G21" i="9" s="1"/>
  <c r="I21" i="9" s="1"/>
  <c r="C8" i="8"/>
  <c r="C7" i="8"/>
  <c r="C6" i="8"/>
  <c r="C5" i="8"/>
  <c r="C4" i="8"/>
  <c r="C3" i="8"/>
  <c r="C2" i="8"/>
  <c r="B14" i="6"/>
  <c r="B13" i="6"/>
  <c r="B12" i="6"/>
  <c r="B11" i="6"/>
  <c r="B10" i="6"/>
  <c r="B9" i="6"/>
  <c r="B8" i="6"/>
  <c r="B7" i="6"/>
  <c r="B4" i="6"/>
  <c r="B3" i="6"/>
  <c r="G27" i="5"/>
  <c r="F27" i="5"/>
  <c r="G26" i="5"/>
  <c r="F26" i="5"/>
  <c r="G25" i="5"/>
  <c r="F25" i="5"/>
  <c r="G24" i="5"/>
  <c r="F24" i="5"/>
  <c r="G23" i="5"/>
  <c r="F23" i="5"/>
  <c r="E22" i="5"/>
  <c r="D22" i="5"/>
  <c r="G21" i="5"/>
  <c r="F21" i="5"/>
  <c r="E20" i="5"/>
  <c r="H19" i="5"/>
  <c r="G19" i="5"/>
  <c r="F19" i="5"/>
  <c r="F18" i="5"/>
  <c r="E18" i="5"/>
  <c r="D18" i="5"/>
  <c r="G17" i="5"/>
  <c r="F17" i="5"/>
  <c r="F15" i="5" s="1"/>
  <c r="G16" i="5"/>
  <c r="F16" i="5"/>
  <c r="E15" i="5"/>
  <c r="D15" i="5"/>
  <c r="G14" i="5"/>
  <c r="F14" i="5"/>
  <c r="H13" i="5"/>
  <c r="G13" i="5"/>
  <c r="F13" i="5"/>
  <c r="F12" i="5"/>
  <c r="E12" i="5"/>
  <c r="D12" i="5"/>
  <c r="H11" i="5"/>
  <c r="G11" i="5"/>
  <c r="F11" i="5"/>
  <c r="F10" i="5"/>
  <c r="E10" i="5"/>
  <c r="D10" i="5"/>
  <c r="H9" i="5"/>
  <c r="G9" i="5"/>
  <c r="F9" i="5"/>
  <c r="F8" i="5"/>
  <c r="E8" i="5"/>
  <c r="D8" i="5"/>
  <c r="H7" i="5"/>
  <c r="G7" i="5"/>
  <c r="F7" i="5"/>
  <c r="F6" i="5"/>
  <c r="E6" i="5"/>
  <c r="D6" i="5"/>
  <c r="G5" i="5"/>
  <c r="F5" i="5"/>
  <c r="F3" i="5" s="1"/>
  <c r="H4" i="5"/>
  <c r="G4" i="5"/>
  <c r="F4" i="5"/>
  <c r="E3" i="5"/>
  <c r="D3" i="5"/>
  <c r="B5" i="2"/>
  <c r="B4" i="2"/>
  <c r="B3" i="2"/>
  <c r="B2" i="2"/>
  <c r="E4" i="17" l="1"/>
  <c r="F4" i="17" s="1"/>
  <c r="D38" i="1" s="1"/>
  <c r="E5" i="15"/>
  <c r="F5" i="15" s="1"/>
  <c r="D57" i="1" s="1"/>
  <c r="E12" i="15"/>
  <c r="F12" i="15" s="1"/>
  <c r="D15" i="1" s="1"/>
  <c r="E10" i="14"/>
  <c r="F10" i="14" s="1"/>
  <c r="E9" i="17"/>
  <c r="F9" i="17" s="1"/>
  <c r="D44" i="1" s="1"/>
  <c r="I39" i="9"/>
  <c r="K39" i="9" s="1"/>
  <c r="D2" i="16" s="1"/>
  <c r="E2" i="14"/>
  <c r="F2" i="14" s="1"/>
  <c r="D35" i="1" s="1"/>
  <c r="E10" i="15"/>
  <c r="F10" i="15" s="1"/>
  <c r="D59" i="1" s="1"/>
  <c r="F22" i="5"/>
  <c r="F20" i="5" s="1"/>
  <c r="D20" i="5"/>
  <c r="H21" i="5" s="1"/>
  <c r="E6" i="15"/>
  <c r="F6" i="15" s="1"/>
  <c r="D29" i="1" s="1"/>
  <c r="E7" i="14"/>
  <c r="F7" i="14" s="1"/>
  <c r="D48" i="1" s="1"/>
  <c r="E9" i="15"/>
  <c r="F9" i="15" s="1"/>
  <c r="D25" i="1" s="1"/>
  <c r="I85" i="9"/>
  <c r="K85" i="9" s="1"/>
  <c r="D8" i="21" s="1"/>
  <c r="E5" i="14"/>
  <c r="F5" i="14" s="1"/>
  <c r="D45" i="1" s="1"/>
  <c r="E12" i="14"/>
  <c r="F12" i="14" s="1"/>
  <c r="D61" i="1" s="1"/>
  <c r="E14" i="15"/>
  <c r="F14" i="15" s="1"/>
  <c r="D16" i="1" s="1"/>
  <c r="I8" i="9"/>
  <c r="K8" i="9" s="1"/>
  <c r="D8" i="13" s="1"/>
  <c r="I57" i="9"/>
  <c r="K57" i="9" s="1"/>
  <c r="D7" i="17" s="1"/>
  <c r="E7" i="17" s="1"/>
  <c r="F7" i="17" s="1"/>
  <c r="E8" i="15"/>
  <c r="F8" i="15" s="1"/>
  <c r="D17" i="1" s="1"/>
  <c r="E4" i="14"/>
  <c r="F4" i="14" s="1"/>
  <c r="D63" i="1" s="1"/>
  <c r="E11" i="14"/>
  <c r="F11" i="14" s="1"/>
  <c r="D40" i="1" s="1"/>
  <c r="I67" i="9"/>
  <c r="K67" i="9" s="1"/>
  <c r="D3" i="20" s="1"/>
  <c r="I99" i="9"/>
  <c r="K99" i="9" s="1"/>
  <c r="D5" i="23" s="1"/>
  <c r="E8" i="14"/>
  <c r="F8" i="14" s="1"/>
  <c r="E3" i="15"/>
  <c r="F3" i="15" s="1"/>
  <c r="D27" i="1" s="1"/>
  <c r="E6" i="14"/>
  <c r="F6" i="14" s="1"/>
  <c r="D24" i="1" s="1"/>
  <c r="E4" i="15"/>
  <c r="F4" i="15" s="1"/>
  <c r="D54" i="1" s="1"/>
  <c r="E13" i="15"/>
  <c r="F13" i="15" s="1"/>
  <c r="D21" i="1" s="1"/>
  <c r="E4" i="18"/>
  <c r="F4" i="18" s="1"/>
  <c r="D53" i="1"/>
  <c r="H16" i="5"/>
  <c r="G22" i="5"/>
  <c r="B2" i="6"/>
  <c r="G99" i="9"/>
  <c r="G96" i="9"/>
  <c r="I96" i="9" s="1"/>
  <c r="K96" i="9" s="1"/>
  <c r="D2" i="23" s="1"/>
  <c r="G100" i="9"/>
  <c r="I100" i="9" s="1"/>
  <c r="K100" i="9" s="1"/>
  <c r="D6" i="23" s="1"/>
  <c r="C15" i="8"/>
  <c r="G114" i="9"/>
  <c r="I114" i="9" s="1"/>
  <c r="K114" i="9" s="1"/>
  <c r="D12" i="24" s="1"/>
  <c r="E12" i="24" s="1"/>
  <c r="F12" i="24" s="1"/>
  <c r="G105" i="9"/>
  <c r="I105" i="9" s="1"/>
  <c r="K105" i="9" s="1"/>
  <c r="D3" i="24" s="1"/>
  <c r="G98" i="9"/>
  <c r="I98" i="9" s="1"/>
  <c r="K98" i="9" s="1"/>
  <c r="D4" i="23" s="1"/>
  <c r="I11" i="9"/>
  <c r="K11" i="9" s="1"/>
  <c r="E9" i="14"/>
  <c r="F9" i="14" s="1"/>
  <c r="D28" i="1" s="1"/>
  <c r="G50" i="9"/>
  <c r="I50" i="9" s="1"/>
  <c r="K50" i="9" s="1"/>
  <c r="D13" i="16" s="1"/>
  <c r="E13" i="16" s="1"/>
  <c r="F13" i="16" s="1"/>
  <c r="D50" i="1" s="1"/>
  <c r="E5" i="17"/>
  <c r="F5" i="17" s="1"/>
  <c r="D39" i="1" s="1"/>
  <c r="I65" i="9"/>
  <c r="K65" i="9" s="1"/>
  <c r="D3" i="19" s="1"/>
  <c r="E3" i="19" s="1"/>
  <c r="F3" i="19" s="1"/>
  <c r="G75" i="9"/>
  <c r="I75" i="9" s="1"/>
  <c r="K75" i="9" s="1"/>
  <c r="D10" i="20" s="1"/>
  <c r="E10" i="20" s="1"/>
  <c r="F10" i="20" s="1"/>
  <c r="I90" i="9"/>
  <c r="K90" i="9" s="1"/>
  <c r="D5" i="22" s="1"/>
  <c r="G102" i="9"/>
  <c r="G5" i="9"/>
  <c r="I5" i="9" s="1"/>
  <c r="K5" i="9" s="1"/>
  <c r="D5" i="13" s="1"/>
  <c r="E8" i="17"/>
  <c r="F8" i="17" s="1"/>
  <c r="D51" i="1" s="1"/>
  <c r="G73" i="9"/>
  <c r="I73" i="9" s="1"/>
  <c r="K73" i="9" s="1"/>
  <c r="D8" i="20" s="1"/>
  <c r="G81" i="9"/>
  <c r="I81" i="9" s="1"/>
  <c r="K81" i="9" s="1"/>
  <c r="D4" i="21" s="1"/>
  <c r="G88" i="9"/>
  <c r="I88" i="9" s="1"/>
  <c r="K88" i="9" s="1"/>
  <c r="D3" i="22" s="1"/>
  <c r="E3" i="22" s="1"/>
  <c r="F3" i="22" s="1"/>
  <c r="G94" i="9"/>
  <c r="G97" i="9"/>
  <c r="I97" i="9" s="1"/>
  <c r="K97" i="9" s="1"/>
  <c r="D3" i="23" s="1"/>
  <c r="I102" i="9"/>
  <c r="K102" i="9" s="1"/>
  <c r="D8" i="23" s="1"/>
  <c r="G86" i="9"/>
  <c r="I86" i="9" s="1"/>
  <c r="K86" i="9" s="1"/>
  <c r="D9" i="21" s="1"/>
  <c r="E9" i="21" s="1"/>
  <c r="F9" i="21" s="1"/>
  <c r="G83" i="9"/>
  <c r="I83" i="9" s="1"/>
  <c r="K83" i="9" s="1"/>
  <c r="D6" i="21" s="1"/>
  <c r="G80" i="9"/>
  <c r="I80" i="9" s="1"/>
  <c r="K80" i="9" s="1"/>
  <c r="D3" i="21" s="1"/>
  <c r="G78" i="9"/>
  <c r="G82" i="9"/>
  <c r="I82" i="9" s="1"/>
  <c r="K82" i="9" s="1"/>
  <c r="D5" i="21" s="1"/>
  <c r="G111" i="9"/>
  <c r="G135" i="9"/>
  <c r="I135" i="9" s="1"/>
  <c r="K135" i="9" s="1"/>
  <c r="D19" i="25" s="1"/>
  <c r="G128" i="9"/>
  <c r="I128" i="9" s="1"/>
  <c r="K128" i="9" s="1"/>
  <c r="D13" i="25" s="1"/>
  <c r="G125" i="9"/>
  <c r="I125" i="9" s="1"/>
  <c r="K125" i="9" s="1"/>
  <c r="D10" i="25" s="1"/>
  <c r="G122" i="9"/>
  <c r="I122" i="9" s="1"/>
  <c r="K122" i="9" s="1"/>
  <c r="D7" i="25" s="1"/>
  <c r="G136" i="9"/>
  <c r="I136" i="9" s="1"/>
  <c r="K136" i="9" s="1"/>
  <c r="D20" i="25" s="1"/>
  <c r="G133" i="9"/>
  <c r="I133" i="9" s="1"/>
  <c r="K133" i="9" s="1"/>
  <c r="D17" i="25" s="1"/>
  <c r="G117" i="9"/>
  <c r="I117" i="9" s="1"/>
  <c r="K117" i="9" s="1"/>
  <c r="D4" i="25" s="1"/>
  <c r="G115" i="9"/>
  <c r="I115" i="9" s="1"/>
  <c r="K115" i="9" s="1"/>
  <c r="D2" i="25" s="1"/>
  <c r="G42" i="9"/>
  <c r="I42" i="9" s="1"/>
  <c r="K42" i="9" s="1"/>
  <c r="D5" i="16" s="1"/>
  <c r="G137" i="9"/>
  <c r="I137" i="9" s="1"/>
  <c r="K137" i="9" s="1"/>
  <c r="D21" i="25" s="1"/>
  <c r="E21" i="25" s="1"/>
  <c r="F21" i="25" s="1"/>
  <c r="G109" i="9"/>
  <c r="I109" i="9" s="1"/>
  <c r="K109" i="9" s="1"/>
  <c r="D7" i="24" s="1"/>
  <c r="I78" i="9"/>
  <c r="K78" i="9" s="1"/>
  <c r="G91" i="9"/>
  <c r="E2" i="19"/>
  <c r="F2" i="19" s="1"/>
  <c r="I126" i="9"/>
  <c r="K126" i="9" s="1"/>
  <c r="D11" i="25" s="1"/>
  <c r="G45" i="9"/>
  <c r="I45" i="9" s="1"/>
  <c r="K45" i="9" s="1"/>
  <c r="D8" i="16" s="1"/>
  <c r="G48" i="9"/>
  <c r="I48" i="9" s="1"/>
  <c r="K48" i="9" s="1"/>
  <c r="D11" i="16" s="1"/>
  <c r="G43" i="9"/>
  <c r="I43" i="9" s="1"/>
  <c r="K43" i="9" s="1"/>
  <c r="D6" i="16" s="1"/>
  <c r="G123" i="9"/>
  <c r="G77" i="9"/>
  <c r="I77" i="9" s="1"/>
  <c r="K77" i="9" s="1"/>
  <c r="D12" i="20" s="1"/>
  <c r="G7" i="9"/>
  <c r="I7" i="9" s="1"/>
  <c r="K7" i="9" s="1"/>
  <c r="D7" i="13" s="1"/>
  <c r="G9" i="9"/>
  <c r="I9" i="9" s="1"/>
  <c r="K9" i="9" s="1"/>
  <c r="D9" i="13" s="1"/>
  <c r="E11" i="15"/>
  <c r="F11" i="15" s="1"/>
  <c r="D41" i="1" s="1"/>
  <c r="G41" i="9"/>
  <c r="I41" i="9" s="1"/>
  <c r="K41" i="9" s="1"/>
  <c r="D4" i="16" s="1"/>
  <c r="E3" i="17"/>
  <c r="F3" i="17" s="1"/>
  <c r="D37" i="1" s="1"/>
  <c r="E3" i="18"/>
  <c r="F3" i="18" s="1"/>
  <c r="D49" i="1" s="1"/>
  <c r="G79" i="9"/>
  <c r="I79" i="9" s="1"/>
  <c r="K79" i="9" s="1"/>
  <c r="D2" i="21" s="1"/>
  <c r="G84" i="9"/>
  <c r="I84" i="9" s="1"/>
  <c r="K84" i="9" s="1"/>
  <c r="D7" i="21" s="1"/>
  <c r="I91" i="9"/>
  <c r="K91" i="9" s="1"/>
  <c r="D6" i="22" s="1"/>
  <c r="G95" i="9"/>
  <c r="I95" i="9" s="1"/>
  <c r="K95" i="9" s="1"/>
  <c r="G101" i="9"/>
  <c r="I101" i="9" s="1"/>
  <c r="K101" i="9" s="1"/>
  <c r="D7" i="23" s="1"/>
  <c r="E7" i="23" s="1"/>
  <c r="F7" i="23" s="1"/>
  <c r="G103" i="9"/>
  <c r="I103" i="9" s="1"/>
  <c r="K103" i="9" s="1"/>
  <c r="D9" i="23" s="1"/>
  <c r="I123" i="9"/>
  <c r="K123" i="9" s="1"/>
  <c r="D8" i="25" s="1"/>
  <c r="G3" i="9"/>
  <c r="I3" i="9" s="1"/>
  <c r="K3" i="9" s="1"/>
  <c r="D3" i="13" s="1"/>
  <c r="G6" i="9"/>
  <c r="I6" i="9" s="1"/>
  <c r="K6" i="9" s="1"/>
  <c r="D6" i="13" s="1"/>
  <c r="I87" i="9"/>
  <c r="K87" i="9" s="1"/>
  <c r="D2" i="22" s="1"/>
  <c r="I94" i="9"/>
  <c r="K94" i="9" s="1"/>
  <c r="D9" i="22" s="1"/>
  <c r="I111" i="9"/>
  <c r="K111" i="9" s="1"/>
  <c r="D9" i="24" s="1"/>
  <c r="G110" i="9"/>
  <c r="I110" i="9" s="1"/>
  <c r="K110" i="9" s="1"/>
  <c r="D8" i="24" s="1"/>
  <c r="G107" i="9"/>
  <c r="I107" i="9" s="1"/>
  <c r="K107" i="9" s="1"/>
  <c r="D5" i="24" s="1"/>
  <c r="G104" i="9"/>
  <c r="I104" i="9" s="1"/>
  <c r="K104" i="9" s="1"/>
  <c r="D2" i="24" s="1"/>
  <c r="G89" i="9"/>
  <c r="I89" i="9" s="1"/>
  <c r="K89" i="9" s="1"/>
  <c r="D4" i="22" s="1"/>
  <c r="G93" i="9"/>
  <c r="I93" i="9" s="1"/>
  <c r="K93" i="9" s="1"/>
  <c r="D8" i="22" s="1"/>
  <c r="G2" i="9"/>
  <c r="I2" i="9" s="1"/>
  <c r="K2" i="9" s="1"/>
  <c r="G106" i="9"/>
  <c r="I106" i="9" s="1"/>
  <c r="K106" i="9" s="1"/>
  <c r="D4" i="24" s="1"/>
  <c r="C5" i="2" l="1"/>
  <c r="D5" i="2" s="1"/>
  <c r="E10" i="25"/>
  <c r="F10" i="25" s="1"/>
  <c r="D2" i="13"/>
  <c r="K141" i="9"/>
  <c r="E19" i="25"/>
  <c r="F19" i="25" s="1"/>
  <c r="E9" i="13"/>
  <c r="F9" i="13" s="1"/>
  <c r="D11" i="1" s="1"/>
  <c r="E2" i="25"/>
  <c r="F2" i="25" s="1"/>
  <c r="E23" i="25"/>
  <c r="F23" i="25" s="1"/>
  <c r="E18" i="25"/>
  <c r="F18" i="25" s="1"/>
  <c r="E14" i="25"/>
  <c r="F14" i="25" s="1"/>
  <c r="D33" i="1" s="1"/>
  <c r="E24" i="25"/>
  <c r="F24" i="25" s="1"/>
  <c r="E6" i="25"/>
  <c r="F6" i="25" s="1"/>
  <c r="D56" i="1" s="1"/>
  <c r="E3" i="25"/>
  <c r="F3" i="25" s="1"/>
  <c r="D42" i="1" s="1"/>
  <c r="E15" i="25"/>
  <c r="F15" i="25" s="1"/>
  <c r="D58" i="1" s="1"/>
  <c r="E16" i="25"/>
  <c r="F16" i="25" s="1"/>
  <c r="E12" i="25"/>
  <c r="F12" i="25" s="1"/>
  <c r="D32" i="1" s="1"/>
  <c r="E22" i="25"/>
  <c r="F22" i="25" s="1"/>
  <c r="E5" i="25"/>
  <c r="F5" i="25" s="1"/>
  <c r="D34" i="1" s="1"/>
  <c r="E9" i="25"/>
  <c r="F9" i="25" s="1"/>
  <c r="E2" i="21"/>
  <c r="F2" i="21" s="1"/>
  <c r="E2" i="23"/>
  <c r="F2" i="23" s="1"/>
  <c r="E9" i="24"/>
  <c r="F9" i="24" s="1"/>
  <c r="E6" i="24"/>
  <c r="F6" i="24" s="1"/>
  <c r="E8" i="22"/>
  <c r="F8" i="22" s="1"/>
  <c r="E2" i="24"/>
  <c r="F2" i="24" s="1"/>
  <c r="E2" i="22"/>
  <c r="F2" i="22" s="1"/>
  <c r="E4" i="16"/>
  <c r="F4" i="16" s="1"/>
  <c r="E12" i="20"/>
  <c r="F12" i="20" s="1"/>
  <c r="E7" i="25"/>
  <c r="F7" i="25" s="1"/>
  <c r="E5" i="21"/>
  <c r="F5" i="21" s="1"/>
  <c r="E8" i="20"/>
  <c r="F8" i="20" s="1"/>
  <c r="E3" i="24"/>
  <c r="F3" i="24" s="1"/>
  <c r="E3" i="20"/>
  <c r="F3" i="20" s="1"/>
  <c r="E2" i="16"/>
  <c r="F2" i="16" s="1"/>
  <c r="E7" i="16"/>
  <c r="F7" i="16" s="1"/>
  <c r="D8" i="1" s="1"/>
  <c r="E10" i="24"/>
  <c r="F10" i="24" s="1"/>
  <c r="E10" i="16"/>
  <c r="F10" i="16" s="1"/>
  <c r="E9" i="23"/>
  <c r="F9" i="23" s="1"/>
  <c r="E3" i="21"/>
  <c r="F3" i="21" s="1"/>
  <c r="E11" i="20"/>
  <c r="F11" i="20" s="1"/>
  <c r="D47" i="1" s="1"/>
  <c r="E4" i="24"/>
  <c r="F4" i="24" s="1"/>
  <c r="E5" i="24"/>
  <c r="F5" i="24" s="1"/>
  <c r="E6" i="13"/>
  <c r="F6" i="13" s="1"/>
  <c r="D19" i="1" s="1"/>
  <c r="E6" i="22"/>
  <c r="F6" i="22" s="1"/>
  <c r="E11" i="25"/>
  <c r="F11" i="25" s="1"/>
  <c r="D55" i="1" s="1"/>
  <c r="E4" i="20"/>
  <c r="F4" i="20" s="1"/>
  <c r="D31" i="1" s="1"/>
  <c r="E9" i="16"/>
  <c r="F9" i="16" s="1"/>
  <c r="E6" i="20"/>
  <c r="F6" i="20" s="1"/>
  <c r="D30" i="1" s="1"/>
  <c r="E11" i="24"/>
  <c r="F11" i="24" s="1"/>
  <c r="E6" i="23"/>
  <c r="F6" i="23" s="1"/>
  <c r="E5" i="23"/>
  <c r="F5" i="23" s="1"/>
  <c r="D12" i="1" s="1"/>
  <c r="E9" i="22"/>
  <c r="F9" i="22" s="1"/>
  <c r="E7" i="24"/>
  <c r="F7" i="24" s="1"/>
  <c r="E4" i="21"/>
  <c r="F4" i="21" s="1"/>
  <c r="E4" i="23"/>
  <c r="F4" i="23" s="1"/>
  <c r="C2" i="6"/>
  <c r="B15" i="6"/>
  <c r="D9" i="1"/>
  <c r="E7" i="20"/>
  <c r="F7" i="20" s="1"/>
  <c r="D7" i="1" s="1"/>
  <c r="E8" i="24"/>
  <c r="F8" i="24" s="1"/>
  <c r="E7" i="21"/>
  <c r="F7" i="21" s="1"/>
  <c r="E13" i="25"/>
  <c r="F13" i="25" s="1"/>
  <c r="E3" i="23"/>
  <c r="F3" i="23" s="1"/>
  <c r="E9" i="20"/>
  <c r="F9" i="20" s="1"/>
  <c r="E2" i="17"/>
  <c r="F2" i="17" s="1"/>
  <c r="D36" i="1" s="1"/>
  <c r="E2" i="20"/>
  <c r="F2" i="20" s="1"/>
  <c r="D18" i="1" s="1"/>
  <c r="E5" i="20"/>
  <c r="F5" i="20" s="1"/>
  <c r="D26" i="1" s="1"/>
  <c r="E11" i="16"/>
  <c r="F11" i="16" s="1"/>
  <c r="D20" i="1" s="1"/>
  <c r="E5" i="22"/>
  <c r="F5" i="22" s="1"/>
  <c r="D13" i="1" s="1"/>
  <c r="E8" i="16"/>
  <c r="F8" i="16" s="1"/>
  <c r="E4" i="25"/>
  <c r="F4" i="25" s="1"/>
  <c r="E6" i="21"/>
  <c r="F6" i="21" s="1"/>
  <c r="E7" i="22"/>
  <c r="F7" i="22" s="1"/>
  <c r="E8" i="21"/>
  <c r="F8" i="21" s="1"/>
  <c r="E8" i="23"/>
  <c r="F8" i="23" s="1"/>
  <c r="E4" i="22"/>
  <c r="F4" i="22" s="1"/>
  <c r="E3" i="13"/>
  <c r="F3" i="13" s="1"/>
  <c r="E8" i="25"/>
  <c r="F8" i="25" s="1"/>
  <c r="E17" i="25"/>
  <c r="F17" i="25" s="1"/>
  <c r="E5" i="13"/>
  <c r="F5" i="13" s="1"/>
  <c r="E7" i="13"/>
  <c r="F7" i="13" s="1"/>
  <c r="D6" i="1" s="1"/>
  <c r="E6" i="16"/>
  <c r="F6" i="16" s="1"/>
  <c r="D62" i="1" s="1"/>
  <c r="E3" i="16"/>
  <c r="F3" i="16" s="1"/>
  <c r="E5" i="16"/>
  <c r="F5" i="16" s="1"/>
  <c r="D23" i="1" s="1"/>
  <c r="E20" i="25"/>
  <c r="F20" i="25" s="1"/>
  <c r="E6" i="17"/>
  <c r="F6" i="17" s="1"/>
  <c r="D43" i="1" s="1"/>
  <c r="E8" i="13"/>
  <c r="F8" i="13" s="1"/>
  <c r="E12" i="16"/>
  <c r="F12" i="16" s="1"/>
  <c r="C4" i="2"/>
  <c r="D4" i="2" s="1"/>
  <c r="D46" i="1" l="1"/>
  <c r="D4" i="1"/>
  <c r="D14" i="1"/>
  <c r="E2" i="13"/>
  <c r="F2" i="13" s="1"/>
  <c r="D22" i="1" s="1"/>
  <c r="E4" i="13"/>
  <c r="F4" i="13" s="1"/>
  <c r="D5" i="1" s="1"/>
  <c r="D10" i="1"/>
  <c r="D3" i="1"/>
  <c r="D2" i="1"/>
  <c r="C6" i="6"/>
  <c r="C5" i="6"/>
  <c r="C7" i="6"/>
  <c r="C14" i="6"/>
  <c r="C13" i="6"/>
  <c r="C4" i="6"/>
  <c r="C9" i="6"/>
  <c r="C3" i="6"/>
  <c r="C11" i="6"/>
  <c r="C12" i="6"/>
  <c r="C10" i="6"/>
  <c r="C8" i="6"/>
  <c r="C3" i="2" l="1"/>
  <c r="D3" i="2" s="1"/>
  <c r="C2" i="2"/>
  <c r="D2"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2">
    <bk>
      <extLst>
        <ext uri="{3e2802c4-a4d2-4d8b-9148-e3be6c30e623}">
          <xlrd:rvb i="6"/>
        </ext>
      </extLst>
    </bk>
    <bk>
      <extLst>
        <ext uri="{3e2802c4-a4d2-4d8b-9148-e3be6c30e623}">
          <xlrd:rvb i="9"/>
        </ext>
      </extLst>
    </bk>
    <bk>
      <extLst>
        <ext uri="{3e2802c4-a4d2-4d8b-9148-e3be6c30e623}">
          <xlrd:rvb i="12"/>
        </ext>
      </extLst>
    </bk>
    <bk>
      <extLst>
        <ext uri="{3e2802c4-a4d2-4d8b-9148-e3be6c30e623}">
          <xlrd:rvb i="15"/>
        </ext>
      </extLst>
    </bk>
    <bk>
      <extLst>
        <ext uri="{3e2802c4-a4d2-4d8b-9148-e3be6c30e623}">
          <xlrd:rvb i="18"/>
        </ext>
      </extLst>
    </bk>
    <bk>
      <extLst>
        <ext uri="{3e2802c4-a4d2-4d8b-9148-e3be6c30e623}">
          <xlrd:rvb i="21"/>
        </ext>
      </extLst>
    </bk>
    <bk>
      <extLst>
        <ext uri="{3e2802c4-a4d2-4d8b-9148-e3be6c30e623}">
          <xlrd:rvb i="24"/>
        </ext>
      </extLst>
    </bk>
    <bk>
      <extLst>
        <ext uri="{3e2802c4-a4d2-4d8b-9148-e3be6c30e623}">
          <xlrd:rvb i="27"/>
        </ext>
      </extLst>
    </bk>
    <bk>
      <extLst>
        <ext uri="{3e2802c4-a4d2-4d8b-9148-e3be6c30e623}">
          <xlrd:rvb i="34"/>
        </ext>
      </extLst>
    </bk>
    <bk>
      <extLst>
        <ext uri="{3e2802c4-a4d2-4d8b-9148-e3be6c30e623}">
          <xlrd:rvb i="41"/>
        </ext>
      </extLst>
    </bk>
    <bk>
      <extLst>
        <ext uri="{3e2802c4-a4d2-4d8b-9148-e3be6c30e623}">
          <xlrd:rvb i="44"/>
        </ext>
      </extLst>
    </bk>
    <bk>
      <extLst>
        <ext uri="{3e2802c4-a4d2-4d8b-9148-e3be6c30e623}">
          <xlrd:rvb i="47"/>
        </ext>
      </extLst>
    </bk>
    <bk>
      <extLst>
        <ext uri="{3e2802c4-a4d2-4d8b-9148-e3be6c30e623}">
          <xlrd:rvb i="53"/>
        </ext>
      </extLst>
    </bk>
    <bk>
      <extLst>
        <ext uri="{3e2802c4-a4d2-4d8b-9148-e3be6c30e623}">
          <xlrd:rvb i="56"/>
        </ext>
      </extLst>
    </bk>
    <bk>
      <extLst>
        <ext uri="{3e2802c4-a4d2-4d8b-9148-e3be6c30e623}">
          <xlrd:rvb i="62"/>
        </ext>
      </extLst>
    </bk>
    <bk>
      <extLst>
        <ext uri="{3e2802c4-a4d2-4d8b-9148-e3be6c30e623}">
          <xlrd:rvb i="68"/>
        </ext>
      </extLst>
    </bk>
    <bk>
      <extLst>
        <ext uri="{3e2802c4-a4d2-4d8b-9148-e3be6c30e623}">
          <xlrd:rvb i="71"/>
        </ext>
      </extLst>
    </bk>
    <bk>
      <extLst>
        <ext uri="{3e2802c4-a4d2-4d8b-9148-e3be6c30e623}">
          <xlrd:rvb i="77"/>
        </ext>
      </extLst>
    </bk>
    <bk>
      <extLst>
        <ext uri="{3e2802c4-a4d2-4d8b-9148-e3be6c30e623}">
          <xlrd:rvb i="80"/>
        </ext>
      </extLst>
    </bk>
    <bk>
      <extLst>
        <ext uri="{3e2802c4-a4d2-4d8b-9148-e3be6c30e623}">
          <xlrd:rvb i="83"/>
        </ext>
      </extLst>
    </bk>
    <bk>
      <extLst>
        <ext uri="{3e2802c4-a4d2-4d8b-9148-e3be6c30e623}">
          <xlrd:rvb i="86"/>
        </ext>
      </extLst>
    </bk>
    <bk>
      <extLst>
        <ext uri="{3e2802c4-a4d2-4d8b-9148-e3be6c30e623}">
          <xlrd:rvb i="89"/>
        </ext>
      </extLst>
    </bk>
    <bk>
      <extLst>
        <ext uri="{3e2802c4-a4d2-4d8b-9148-e3be6c30e623}">
          <xlrd:rvb i="92"/>
        </ext>
      </extLst>
    </bk>
    <bk>
      <extLst>
        <ext uri="{3e2802c4-a4d2-4d8b-9148-e3be6c30e623}">
          <xlrd:rvb i="95"/>
        </ext>
      </extLst>
    </bk>
    <bk>
      <extLst>
        <ext uri="{3e2802c4-a4d2-4d8b-9148-e3be6c30e623}">
          <xlrd:rvb i="101"/>
        </ext>
      </extLst>
    </bk>
    <bk>
      <extLst>
        <ext uri="{3e2802c4-a4d2-4d8b-9148-e3be6c30e623}">
          <xlrd:rvb i="107"/>
        </ext>
      </extLst>
    </bk>
    <bk>
      <extLst>
        <ext uri="{3e2802c4-a4d2-4d8b-9148-e3be6c30e623}">
          <xlrd:rvb i="113"/>
        </ext>
      </extLst>
    </bk>
    <bk>
      <extLst>
        <ext uri="{3e2802c4-a4d2-4d8b-9148-e3be6c30e623}">
          <xlrd:rvb i="116"/>
        </ext>
      </extLst>
    </bk>
    <bk>
      <extLst>
        <ext uri="{3e2802c4-a4d2-4d8b-9148-e3be6c30e623}">
          <xlrd:rvb i="119"/>
        </ext>
      </extLst>
    </bk>
    <bk>
      <extLst>
        <ext uri="{3e2802c4-a4d2-4d8b-9148-e3be6c30e623}">
          <xlrd:rvb i="125"/>
        </ext>
      </extLst>
    </bk>
    <bk>
      <extLst>
        <ext uri="{3e2802c4-a4d2-4d8b-9148-e3be6c30e623}">
          <xlrd:rvb i="128"/>
        </ext>
      </extLst>
    </bk>
    <bk>
      <extLst>
        <ext uri="{3e2802c4-a4d2-4d8b-9148-e3be6c30e623}">
          <xlrd:rvb i="131"/>
        </ext>
      </extLst>
    </bk>
    <bk>
      <extLst>
        <ext uri="{3e2802c4-a4d2-4d8b-9148-e3be6c30e623}">
          <xlrd:rvb i="137"/>
        </ext>
      </extLst>
    </bk>
    <bk>
      <extLst>
        <ext uri="{3e2802c4-a4d2-4d8b-9148-e3be6c30e623}">
          <xlrd:rvb i="140"/>
        </ext>
      </extLst>
    </bk>
    <bk>
      <extLst>
        <ext uri="{3e2802c4-a4d2-4d8b-9148-e3be6c30e623}">
          <xlrd:rvb i="143"/>
        </ext>
      </extLst>
    </bk>
    <bk>
      <extLst>
        <ext uri="{3e2802c4-a4d2-4d8b-9148-e3be6c30e623}">
          <xlrd:rvb i="146"/>
        </ext>
      </extLst>
    </bk>
    <bk>
      <extLst>
        <ext uri="{3e2802c4-a4d2-4d8b-9148-e3be6c30e623}">
          <xlrd:rvb i="149"/>
        </ext>
      </extLst>
    </bk>
    <bk>
      <extLst>
        <ext uri="{3e2802c4-a4d2-4d8b-9148-e3be6c30e623}">
          <xlrd:rvb i="155"/>
        </ext>
      </extLst>
    </bk>
    <bk>
      <extLst>
        <ext uri="{3e2802c4-a4d2-4d8b-9148-e3be6c30e623}">
          <xlrd:rvb i="158"/>
        </ext>
      </extLst>
    </bk>
    <bk>
      <extLst>
        <ext uri="{3e2802c4-a4d2-4d8b-9148-e3be6c30e623}">
          <xlrd:rvb i="161"/>
        </ext>
      </extLst>
    </bk>
    <bk>
      <extLst>
        <ext uri="{3e2802c4-a4d2-4d8b-9148-e3be6c30e623}">
          <xlrd:rvb i="164"/>
        </ext>
      </extLst>
    </bk>
    <bk>
      <extLst>
        <ext uri="{3e2802c4-a4d2-4d8b-9148-e3be6c30e623}">
          <xlrd:rvb i="167"/>
        </ext>
      </extLst>
    </bk>
    <bk>
      <extLst>
        <ext uri="{3e2802c4-a4d2-4d8b-9148-e3be6c30e623}">
          <xlrd:rvb i="173"/>
        </ext>
      </extLst>
    </bk>
    <bk>
      <extLst>
        <ext uri="{3e2802c4-a4d2-4d8b-9148-e3be6c30e623}">
          <xlrd:rvb i="176"/>
        </ext>
      </extLst>
    </bk>
    <bk>
      <extLst>
        <ext uri="{3e2802c4-a4d2-4d8b-9148-e3be6c30e623}">
          <xlrd:rvb i="182"/>
        </ext>
      </extLst>
    </bk>
    <bk>
      <extLst>
        <ext uri="{3e2802c4-a4d2-4d8b-9148-e3be6c30e623}">
          <xlrd:rvb i="185"/>
        </ext>
      </extLst>
    </bk>
    <bk>
      <extLst>
        <ext uri="{3e2802c4-a4d2-4d8b-9148-e3be6c30e623}">
          <xlrd:rvb i="188"/>
        </ext>
      </extLst>
    </bk>
    <bk>
      <extLst>
        <ext uri="{3e2802c4-a4d2-4d8b-9148-e3be6c30e623}">
          <xlrd:rvb i="191"/>
        </ext>
      </extLst>
    </bk>
    <bk>
      <extLst>
        <ext uri="{3e2802c4-a4d2-4d8b-9148-e3be6c30e623}">
          <xlrd:rvb i="194"/>
        </ext>
      </extLst>
    </bk>
    <bk>
      <extLst>
        <ext uri="{3e2802c4-a4d2-4d8b-9148-e3be6c30e623}">
          <xlrd:rvb i="197"/>
        </ext>
      </extLst>
    </bk>
    <bk>
      <extLst>
        <ext uri="{3e2802c4-a4d2-4d8b-9148-e3be6c30e623}">
          <xlrd:rvb i="200"/>
        </ext>
      </extLst>
    </bk>
    <bk>
      <extLst>
        <ext uri="{3e2802c4-a4d2-4d8b-9148-e3be6c30e623}">
          <xlrd:rvb i="203"/>
        </ext>
      </extLst>
    </bk>
    <bk>
      <extLst>
        <ext uri="{3e2802c4-a4d2-4d8b-9148-e3be6c30e623}">
          <xlrd:rvb i="209"/>
        </ext>
      </extLst>
    </bk>
    <bk>
      <extLst>
        <ext uri="{3e2802c4-a4d2-4d8b-9148-e3be6c30e623}">
          <xlrd:rvb i="212"/>
        </ext>
      </extLst>
    </bk>
    <bk>
      <extLst>
        <ext uri="{3e2802c4-a4d2-4d8b-9148-e3be6c30e623}">
          <xlrd:rvb i="218"/>
        </ext>
      </extLst>
    </bk>
    <bk>
      <extLst>
        <ext uri="{3e2802c4-a4d2-4d8b-9148-e3be6c30e623}">
          <xlrd:rvb i="221"/>
        </ext>
      </extLst>
    </bk>
    <bk>
      <extLst>
        <ext uri="{3e2802c4-a4d2-4d8b-9148-e3be6c30e623}">
          <xlrd:rvb i="227"/>
        </ext>
      </extLst>
    </bk>
    <bk>
      <extLst>
        <ext uri="{3e2802c4-a4d2-4d8b-9148-e3be6c30e623}">
          <xlrd:rvb i="233"/>
        </ext>
      </extLst>
    </bk>
    <bk>
      <extLst>
        <ext uri="{3e2802c4-a4d2-4d8b-9148-e3be6c30e623}">
          <xlrd:rvb i="236"/>
        </ext>
      </extLst>
    </bk>
    <bk>
      <extLst>
        <ext uri="{3e2802c4-a4d2-4d8b-9148-e3be6c30e623}">
          <xlrd:rvb i="239"/>
        </ext>
      </extLst>
    </bk>
    <bk>
      <extLst>
        <ext uri="{3e2802c4-a4d2-4d8b-9148-e3be6c30e623}">
          <xlrd:rvb i="242"/>
        </ext>
      </extLst>
    </bk>
    <bk>
      <extLst>
        <ext uri="{3e2802c4-a4d2-4d8b-9148-e3be6c30e623}">
          <xlrd:rvb i="248"/>
        </ext>
      </extLst>
    </bk>
    <bk>
      <extLst>
        <ext uri="{3e2802c4-a4d2-4d8b-9148-e3be6c30e623}">
          <xlrd:rvb i="251"/>
        </ext>
      </extLst>
    </bk>
    <bk>
      <extLst>
        <ext uri="{3e2802c4-a4d2-4d8b-9148-e3be6c30e623}">
          <xlrd:rvb i="254"/>
        </ext>
      </extLst>
    </bk>
    <bk>
      <extLst>
        <ext uri="{3e2802c4-a4d2-4d8b-9148-e3be6c30e623}">
          <xlrd:rvb i="257"/>
        </ext>
      </extLst>
    </bk>
    <bk>
      <extLst>
        <ext uri="{3e2802c4-a4d2-4d8b-9148-e3be6c30e623}">
          <xlrd:rvb i="260"/>
        </ext>
      </extLst>
    </bk>
    <bk>
      <extLst>
        <ext uri="{3e2802c4-a4d2-4d8b-9148-e3be6c30e623}">
          <xlrd:rvb i="263"/>
        </ext>
      </extLst>
    </bk>
    <bk>
      <extLst>
        <ext uri="{3e2802c4-a4d2-4d8b-9148-e3be6c30e623}">
          <xlrd:rvb i="266"/>
        </ext>
      </extLst>
    </bk>
    <bk>
      <extLst>
        <ext uri="{3e2802c4-a4d2-4d8b-9148-e3be6c30e623}">
          <xlrd:rvb i="272"/>
        </ext>
      </extLst>
    </bk>
    <bk>
      <extLst>
        <ext uri="{3e2802c4-a4d2-4d8b-9148-e3be6c30e623}">
          <xlrd:rvb i="275"/>
        </ext>
      </extLst>
    </bk>
    <bk>
      <extLst>
        <ext uri="{3e2802c4-a4d2-4d8b-9148-e3be6c30e623}">
          <xlrd:rvb i="281"/>
        </ext>
      </extLst>
    </bk>
    <bk>
      <extLst>
        <ext uri="{3e2802c4-a4d2-4d8b-9148-e3be6c30e623}">
          <xlrd:rvb i="284"/>
        </ext>
      </extLst>
    </bk>
  </futureMetadata>
  <valueMetadata count="7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valueMetadata>
</metadata>
</file>

<file path=xl/sharedStrings.xml><?xml version="1.0" encoding="utf-8"?>
<sst xmlns="http://schemas.openxmlformats.org/spreadsheetml/2006/main" count="930" uniqueCount="219">
  <si>
    <t>Ticker</t>
  </si>
  <si>
    <t>Comapny</t>
  </si>
  <si>
    <t>Industry</t>
  </si>
  <si>
    <t>Market Cap</t>
  </si>
  <si>
    <t>Target Weight</t>
  </si>
  <si>
    <t>GVA</t>
  </si>
  <si>
    <t>Granite Construction Incorporat</t>
  </si>
  <si>
    <t>Construction/Engineering</t>
  </si>
  <si>
    <t>ATCX</t>
  </si>
  <si>
    <t>Atlas Technical Consultants, In</t>
  </si>
  <si>
    <t>TPC</t>
  </si>
  <si>
    <t>Tutor Perini Corporation</t>
  </si>
  <si>
    <t>NVEE</t>
  </si>
  <si>
    <t>NV5 Global, Inc.</t>
  </si>
  <si>
    <t>STRL</t>
  </si>
  <si>
    <t>Sterling Construction Company I</t>
  </si>
  <si>
    <t>MYRG</t>
  </si>
  <si>
    <t>MYR Group, Inc.</t>
  </si>
  <si>
    <t>MEG</t>
  </si>
  <si>
    <t>Montrose Environmental Group, I</t>
  </si>
  <si>
    <t>PWR</t>
  </si>
  <si>
    <t>Quanta Services, Inc.</t>
  </si>
  <si>
    <t>PRIM</t>
  </si>
  <si>
    <t>Primoris Services Corporation</t>
  </si>
  <si>
    <t>WSP.TO</t>
  </si>
  <si>
    <t>WSP GLOBAL INC</t>
  </si>
  <si>
    <t>LNN</t>
  </si>
  <si>
    <t>Lindsay Corporation</t>
  </si>
  <si>
    <t>Equipment</t>
  </si>
  <si>
    <t>ORN</t>
  </si>
  <si>
    <t>Orion Group Holdings, Inc.</t>
  </si>
  <si>
    <t>ALO.PA</t>
  </si>
  <si>
    <t>ALSTOM</t>
  </si>
  <si>
    <t>SUM</t>
  </si>
  <si>
    <t>Summit Materials, Inc.</t>
  </si>
  <si>
    <t>Materials</t>
  </si>
  <si>
    <t>VMC</t>
  </si>
  <si>
    <t>Vulcan Materials Company (Holdi</t>
  </si>
  <si>
    <t>MLM</t>
  </si>
  <si>
    <t>Martin Marietta Materials, Inc.</t>
  </si>
  <si>
    <t>ABB</t>
  </si>
  <si>
    <t>ABB Ltd</t>
  </si>
  <si>
    <t>STN</t>
  </si>
  <si>
    <t>Stantec Inc</t>
  </si>
  <si>
    <t>TTEK</t>
  </si>
  <si>
    <t>Tetra Tech, Inc.</t>
  </si>
  <si>
    <t>USCR</t>
  </si>
  <si>
    <t>U S Concrete, Inc.</t>
  </si>
  <si>
    <t>ACM</t>
  </si>
  <si>
    <t>AECOM</t>
  </si>
  <si>
    <t>GRC</t>
  </si>
  <si>
    <t>Gorman-Rupp Company (The)</t>
  </si>
  <si>
    <t>DY</t>
  </si>
  <si>
    <t>Dycom Industries, Inc.</t>
  </si>
  <si>
    <t>NUE</t>
  </si>
  <si>
    <t>Nucor Corporation</t>
  </si>
  <si>
    <t>ETN</t>
  </si>
  <si>
    <t>Eaton Corporation, PLC</t>
  </si>
  <si>
    <t>CMC</t>
  </si>
  <si>
    <t>Commercial Metals Company</t>
  </si>
  <si>
    <t>OCC</t>
  </si>
  <si>
    <t>Optical Cable Corporation</t>
  </si>
  <si>
    <t>EXP</t>
  </si>
  <si>
    <t>Eagle Materials Inc</t>
  </si>
  <si>
    <t>MTZ</t>
  </si>
  <si>
    <t>MasTec, Inc.</t>
  </si>
  <si>
    <t>EME</t>
  </si>
  <si>
    <t>EMCOR Group, Inc.</t>
  </si>
  <si>
    <t>MWA</t>
  </si>
  <si>
    <t>MUELLER WATER PRODUCTS</t>
  </si>
  <si>
    <t>NWPX</t>
  </si>
  <si>
    <t>Northwest Pipe Company</t>
  </si>
  <si>
    <t>BMI</t>
  </si>
  <si>
    <t>Badger Meter, Inc.</t>
  </si>
  <si>
    <t>ADTN</t>
  </si>
  <si>
    <t>ADTRAN, Inc.</t>
  </si>
  <si>
    <t>ALTG</t>
  </si>
  <si>
    <t>Alta Equipment Group Inc.</t>
  </si>
  <si>
    <t>DSKE</t>
  </si>
  <si>
    <t>Daseke, Inc.</t>
  </si>
  <si>
    <t>Transpo</t>
  </si>
  <si>
    <t>GENC</t>
  </si>
  <si>
    <t>Gencor Industries Inc.</t>
  </si>
  <si>
    <t>HEES</t>
  </si>
  <si>
    <t>H&amp;E Equipment Services, Inc.</t>
  </si>
  <si>
    <t>RFIL</t>
  </si>
  <si>
    <t>RF Industries, Ltd.</t>
  </si>
  <si>
    <t>STLD</t>
  </si>
  <si>
    <t>Steel Dynamics, Inc.</t>
  </si>
  <si>
    <t>AQUA</t>
  </si>
  <si>
    <t>Evoqua Water Technologies Corp.</t>
  </si>
  <si>
    <t>HRI</t>
  </si>
  <si>
    <t>Herc Holdings Inc.</t>
  </si>
  <si>
    <t>URI</t>
  </si>
  <si>
    <t>United Rentals, Inc.</t>
  </si>
  <si>
    <t>CSCO</t>
  </si>
  <si>
    <t>Cisco Systems, Inc.</t>
  </si>
  <si>
    <t>FLS</t>
  </si>
  <si>
    <t>Flowserve Corporation</t>
  </si>
  <si>
    <t>SIE.DE</t>
  </si>
  <si>
    <t>SIEMENS AG</t>
  </si>
  <si>
    <t>JNPR</t>
  </si>
  <si>
    <t>Juniper Networks, Inc.</t>
  </si>
  <si>
    <t>PTRA</t>
  </si>
  <si>
    <t>Proterra Inc</t>
  </si>
  <si>
    <t>XYL</t>
  </si>
  <si>
    <t>Xylem Inc.</t>
  </si>
  <si>
    <t>MNTX</t>
  </si>
  <si>
    <t>Manitex International, Inc.</t>
  </si>
  <si>
    <t>BXC</t>
  </si>
  <si>
    <t>Bluelinx Holdings Inc.</t>
  </si>
  <si>
    <t>HY</t>
  </si>
  <si>
    <t>Hyster-Yale Materials Handling,</t>
  </si>
  <si>
    <t>CRH</t>
  </si>
  <si>
    <t>CRH PLC</t>
  </si>
  <si>
    <t>MLI</t>
  </si>
  <si>
    <t>Mueller Industries, Inc.</t>
  </si>
  <si>
    <t>FELE</t>
  </si>
  <si>
    <t>Franklin Electric Co., Inc.</t>
  </si>
  <si>
    <t>CX</t>
  </si>
  <si>
    <t>Cemex, S.A.B. de C.V. Sponsored</t>
  </si>
  <si>
    <t>RXN</t>
  </si>
  <si>
    <t>Rexnord Corporation</t>
  </si>
  <si>
    <t>SCHN</t>
  </si>
  <si>
    <t>Schnitzer Steel Industries, Inc</t>
  </si>
  <si>
    <t>CASA</t>
  </si>
  <si>
    <t>Casa Systems, Inc.</t>
  </si>
  <si>
    <t>VIAV</t>
  </si>
  <si>
    <t>Viavi Solutions Inc.</t>
  </si>
  <si>
    <t>IEX</t>
  </si>
  <si>
    <t>IDEX Corporation</t>
  </si>
  <si>
    <t>COMM</t>
  </si>
  <si>
    <t>CommScope Holding Company, Inc.</t>
  </si>
  <si>
    <t>Cash</t>
  </si>
  <si>
    <t>SPY</t>
  </si>
  <si>
    <t>Sector</t>
  </si>
  <si>
    <t>Companies</t>
  </si>
  <si>
    <t>Weight</t>
  </si>
  <si>
    <t>Average Weight</t>
  </si>
  <si>
    <t>2.6 Trillion</t>
  </si>
  <si>
    <t>550 Billion</t>
  </si>
  <si>
    <t>Column A:</t>
  </si>
  <si>
    <t>Subtotal:</t>
  </si>
  <si>
    <t>Industrial Policy</t>
  </si>
  <si>
    <t>R&amp;D Manufacturing</t>
  </si>
  <si>
    <t>Renewable tax credits</t>
  </si>
  <si>
    <t>Buildings</t>
  </si>
  <si>
    <t>Housing Schools</t>
  </si>
  <si>
    <t>Health Care</t>
  </si>
  <si>
    <t>Home health care</t>
  </si>
  <si>
    <t>Energy</t>
  </si>
  <si>
    <t>Grid</t>
  </si>
  <si>
    <t>Water</t>
  </si>
  <si>
    <t>Infrastructure</t>
  </si>
  <si>
    <t>Western water</t>
  </si>
  <si>
    <t>Environmental</t>
  </si>
  <si>
    <t>Resilliancy</t>
  </si>
  <si>
    <t>Clean up</t>
  </si>
  <si>
    <t>Communications</t>
  </si>
  <si>
    <t>Rural broadband</t>
  </si>
  <si>
    <t>Transportation</t>
  </si>
  <si>
    <t>Electric vehicles</t>
  </si>
  <si>
    <t>Roads and bridges</t>
  </si>
  <si>
    <t>Public transit</t>
  </si>
  <si>
    <t>Railways</t>
  </si>
  <si>
    <t>Airports</t>
  </si>
  <si>
    <t>Reconnecting communities</t>
  </si>
  <si>
    <t>Ports</t>
  </si>
  <si>
    <t>Category</t>
  </si>
  <si>
    <t>In Bill</t>
  </si>
  <si>
    <t>% of Bill</t>
  </si>
  <si>
    <t>Roads and Bridges</t>
  </si>
  <si>
    <t>Rails</t>
  </si>
  <si>
    <t>Public Transit</t>
  </si>
  <si>
    <t>EV Buses</t>
  </si>
  <si>
    <t>Charging Stations</t>
  </si>
  <si>
    <t>Ports/Waterways</t>
  </si>
  <si>
    <t>Environmental Cleanup</t>
  </si>
  <si>
    <t>Water Infrastructure</t>
  </si>
  <si>
    <t>Western Water</t>
  </si>
  <si>
    <t>Total</t>
  </si>
  <si>
    <t>Mass Transit</t>
  </si>
  <si>
    <t>EV Charging</t>
  </si>
  <si>
    <t>Broadband</t>
  </si>
  <si>
    <t>Steel/Concrete/Asphalt</t>
  </si>
  <si>
    <t>Equipment Rentals/Transpo</t>
  </si>
  <si>
    <t>Subcategory</t>
  </si>
  <si>
    <t>Segment Revenue Factor</t>
  </si>
  <si>
    <t>Cross-Listing Adjustment</t>
  </si>
  <si>
    <t>Multinational Adjustment</t>
  </si>
  <si>
    <t>Base Weighting Index</t>
  </si>
  <si>
    <t>Domicile</t>
  </si>
  <si>
    <t>Domicile Adjusted Weighting Index</t>
  </si>
  <si>
    <t>Airport</t>
  </si>
  <si>
    <t>US</t>
  </si>
  <si>
    <t>Canada</t>
  </si>
  <si>
    <t>BDC</t>
  </si>
  <si>
    <t>GLW</t>
  </si>
  <si>
    <t>NOK</t>
  </si>
  <si>
    <t>Finland</t>
  </si>
  <si>
    <t>UI</t>
  </si>
  <si>
    <t>Concrete/Asphalt/Steel</t>
  </si>
  <si>
    <t>Ireland</t>
  </si>
  <si>
    <t>Mexico</t>
  </si>
  <si>
    <t>LHN.PA</t>
  </si>
  <si>
    <t>Switzerland</t>
  </si>
  <si>
    <t>Equip/Rentals/Transpo</t>
  </si>
  <si>
    <t>CAT</t>
  </si>
  <si>
    <t>TITN</t>
  </si>
  <si>
    <t>Germany</t>
  </si>
  <si>
    <t>GE</t>
  </si>
  <si>
    <t>France</t>
  </si>
  <si>
    <t>DHR</t>
  </si>
  <si>
    <t>ERII</t>
  </si>
  <si>
    <t>PNR</t>
  </si>
  <si>
    <t>Water-O&amp;G Pipeline</t>
  </si>
  <si>
    <t>Company</t>
  </si>
  <si>
    <t>% of Category</t>
  </si>
  <si>
    <t>% of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</si>
</sst>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7" formatCode="#,##0.0%"/>
    <numFmt numFmtId="168" formatCode="0.0%"/>
    <numFmt numFmtId="170" formatCode="&quot;$&quot;#,###&quot;b&quot;"/>
    <numFmt numFmtId="171" formatCode="&quot;$&quot;#,##0"/>
    <numFmt numFmtId="172" formatCode="#,##0.0"/>
    <numFmt numFmtId="173" formatCode="[$CAD]#,##0"/>
    <numFmt numFmtId="174" formatCode="0.0"/>
  </numFmts>
  <fonts count="2" x14ac:knownFonts="1">
    <font>
      <sz val="10"/>
      <color indexed="8"/>
      <name val="Helvetica Neue"/>
    </font>
    <font>
      <b/>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7"/>
        <bgColor auto="1"/>
      </patternFill>
    </fill>
  </fills>
  <borders count="23">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diagonal/>
    </border>
    <border>
      <left style="thin">
        <color indexed="10"/>
      </left>
      <right style="thin">
        <color indexed="10"/>
      </right>
      <top/>
      <bottom style="thin">
        <color indexed="11"/>
      </bottom>
      <diagonal/>
    </border>
    <border>
      <left style="thin">
        <color indexed="11"/>
      </left>
      <right style="thin">
        <color indexed="11"/>
      </right>
      <top style="thin">
        <color indexed="11"/>
      </top>
      <bottom style="thin">
        <color indexed="10"/>
      </bottom>
      <diagonal/>
    </border>
    <border>
      <left style="thin">
        <color indexed="10"/>
      </left>
      <right style="thin">
        <color indexed="11"/>
      </right>
      <top style="thin">
        <color indexed="10"/>
      </top>
      <bottom style="medium">
        <color indexed="8"/>
      </bottom>
      <diagonal/>
    </border>
    <border>
      <left style="thin">
        <color indexed="11"/>
      </left>
      <right style="thin">
        <color indexed="11"/>
      </right>
      <top style="thin">
        <color indexed="10"/>
      </top>
      <bottom style="medium">
        <color indexed="8"/>
      </bottom>
      <diagonal/>
    </border>
    <border>
      <left style="thin">
        <color indexed="11"/>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1"/>
      </bottom>
      <diagonal/>
    </border>
    <border>
      <left style="thin">
        <color indexed="10"/>
      </left>
      <right style="thin">
        <color indexed="10"/>
      </right>
      <top style="thin">
        <color indexed="11"/>
      </top>
      <bottom style="medium">
        <color indexed="8"/>
      </bottom>
      <diagonal/>
    </border>
    <border>
      <left style="thin">
        <color indexed="10"/>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10"/>
      </right>
      <top style="thin">
        <color indexed="11"/>
      </top>
      <bottom style="medium">
        <color indexed="8"/>
      </bottom>
      <diagonal/>
    </border>
    <border>
      <left style="thin">
        <color indexed="11"/>
      </left>
      <right style="thin">
        <color indexed="11"/>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09">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3" borderId="2" xfId="0" applyNumberFormat="1" applyFont="1" applyFill="1" applyBorder="1" applyAlignment="1">
      <alignment vertical="top" wrapText="1"/>
    </xf>
    <xf numFmtId="10" fontId="0" fillId="0" borderId="4" xfId="0" applyNumberFormat="1" applyFont="1" applyBorder="1" applyAlignment="1">
      <alignment vertical="top" wrapText="1"/>
    </xf>
    <xf numFmtId="167" fontId="0" fillId="0" borderId="2" xfId="0" applyNumberFormat="1" applyFont="1" applyBorder="1" applyAlignment="1">
      <alignment vertical="top" wrapText="1"/>
    </xf>
    <xf numFmtId="49" fontId="1" fillId="3" borderId="5" xfId="0" applyNumberFormat="1" applyFont="1" applyFill="1" applyBorder="1" applyAlignment="1">
      <alignment vertical="top" wrapText="1"/>
    </xf>
    <xf numFmtId="10" fontId="0" fillId="0" borderId="7" xfId="0" applyNumberFormat="1" applyFont="1" applyBorder="1" applyAlignment="1">
      <alignment vertical="top" wrapText="1"/>
    </xf>
    <xf numFmtId="167" fontId="0" fillId="0" borderId="5" xfId="0" applyNumberFormat="1" applyFont="1" applyBorder="1" applyAlignment="1">
      <alignment vertical="top" wrapText="1"/>
    </xf>
    <xf numFmtId="49" fontId="1" fillId="3" borderId="1" xfId="0" applyNumberFormat="1" applyFont="1" applyFill="1" applyBorder="1" applyAlignment="1">
      <alignment vertical="top" wrapText="1"/>
    </xf>
    <xf numFmtId="10" fontId="0" fillId="0" borderId="9" xfId="0" applyNumberFormat="1" applyFont="1" applyBorder="1" applyAlignment="1">
      <alignment vertical="top" wrapText="1"/>
    </xf>
    <xf numFmtId="167" fontId="0" fillId="0" borderId="1" xfId="0" applyNumberFormat="1" applyFont="1" applyBorder="1" applyAlignment="1">
      <alignment vertical="top" wrapText="1"/>
    </xf>
    <xf numFmtId="0" fontId="1" fillId="0" borderId="2" xfId="0" applyFont="1" applyBorder="1" applyAlignment="1">
      <alignment vertical="top" wrapText="1"/>
    </xf>
    <xf numFmtId="49" fontId="1" fillId="0" borderId="5" xfId="0" applyNumberFormat="1" applyFont="1" applyBorder="1" applyAlignment="1">
      <alignment vertical="top" wrapText="1"/>
    </xf>
    <xf numFmtId="0" fontId="1" fillId="0" borderId="5" xfId="0" applyFont="1" applyBorder="1" applyAlignment="1">
      <alignment vertical="top" wrapText="1"/>
    </xf>
    <xf numFmtId="0" fontId="0" fillId="0" borderId="0" xfId="0" applyNumberFormat="1" applyFont="1" applyAlignment="1">
      <alignment vertical="top" wrapText="1"/>
    </xf>
    <xf numFmtId="49" fontId="1" fillId="3" borderId="3" xfId="0" applyNumberFormat="1" applyFont="1" applyFill="1" applyBorder="1" applyAlignment="1">
      <alignment vertical="top" wrapText="1"/>
    </xf>
    <xf numFmtId="1" fontId="0" fillId="0" borderId="4" xfId="0" applyNumberFormat="1" applyFont="1" applyBorder="1" applyAlignment="1">
      <alignment vertical="top" wrapText="1"/>
    </xf>
    <xf numFmtId="168" fontId="0" fillId="0" borderId="2" xfId="0" applyNumberFormat="1" applyFont="1" applyBorder="1" applyAlignment="1">
      <alignment vertical="top" wrapText="1"/>
    </xf>
    <xf numFmtId="0" fontId="0" fillId="0" borderId="2" xfId="0" applyFont="1" applyBorder="1" applyAlignment="1">
      <alignment vertical="top" wrapText="1"/>
    </xf>
    <xf numFmtId="49" fontId="1" fillId="3" borderId="6" xfId="0" applyNumberFormat="1" applyFont="1" applyFill="1" applyBorder="1" applyAlignment="1">
      <alignment vertical="top" wrapText="1"/>
    </xf>
    <xf numFmtId="1" fontId="0" fillId="0" borderId="7" xfId="0" applyNumberFormat="1" applyFont="1" applyBorder="1" applyAlignment="1">
      <alignment vertical="top" wrapText="1"/>
    </xf>
    <xf numFmtId="168" fontId="0" fillId="0" borderId="5" xfId="0" applyNumberFormat="1" applyFont="1" applyBorder="1" applyAlignment="1">
      <alignment vertical="top" wrapText="1"/>
    </xf>
    <xf numFmtId="0" fontId="0" fillId="0" borderId="5"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1" fillId="2" borderId="10" xfId="0" applyFont="1" applyFill="1" applyBorder="1" applyAlignment="1">
      <alignment vertical="top" wrapText="1"/>
    </xf>
    <xf numFmtId="49" fontId="1" fillId="2" borderId="10" xfId="0" applyNumberFormat="1" applyFont="1" applyFill="1" applyBorder="1" applyAlignment="1">
      <alignment vertical="top" wrapText="1"/>
    </xf>
    <xf numFmtId="49" fontId="1" fillId="4" borderId="11" xfId="0" applyNumberFormat="1" applyFont="1" applyFill="1" applyBorder="1" applyAlignment="1">
      <alignment vertical="top"/>
    </xf>
    <xf numFmtId="0" fontId="1" fillId="4" borderId="11" xfId="0" applyFont="1" applyFill="1" applyBorder="1" applyAlignment="1">
      <alignment vertical="top"/>
    </xf>
    <xf numFmtId="49" fontId="1" fillId="4" borderId="12" xfId="0" applyNumberFormat="1" applyFont="1" applyFill="1" applyBorder="1" applyAlignment="1">
      <alignment vertical="top"/>
    </xf>
    <xf numFmtId="0" fontId="1" fillId="4" borderId="12" xfId="0" applyFont="1" applyFill="1" applyBorder="1" applyAlignment="1">
      <alignment vertical="top"/>
    </xf>
    <xf numFmtId="170" fontId="1" fillId="4" borderId="12" xfId="0" applyNumberFormat="1" applyFont="1" applyFill="1" applyBorder="1" applyAlignment="1">
      <alignment vertical="top"/>
    </xf>
    <xf numFmtId="0" fontId="1" fillId="3" borderId="2" xfId="0" applyFont="1" applyFill="1" applyBorder="1" applyAlignment="1">
      <alignment vertical="top" wrapText="1"/>
    </xf>
    <xf numFmtId="0" fontId="0" fillId="0" borderId="13" xfId="0" applyNumberFormat="1" applyFont="1" applyBorder="1" applyAlignment="1">
      <alignment vertical="top" wrapText="1"/>
    </xf>
    <xf numFmtId="0" fontId="0" fillId="0" borderId="4" xfId="0" applyNumberFormat="1" applyFont="1" applyBorder="1" applyAlignment="1">
      <alignment vertical="top" wrapText="1"/>
    </xf>
    <xf numFmtId="0" fontId="0" fillId="0" borderId="2" xfId="0" applyNumberFormat="1" applyFont="1" applyBorder="1" applyAlignment="1">
      <alignment vertical="top" wrapText="1"/>
    </xf>
    <xf numFmtId="9" fontId="0" fillId="0" borderId="2" xfId="0" applyNumberFormat="1" applyFont="1" applyBorder="1" applyAlignment="1">
      <alignment vertical="top" wrapText="1"/>
    </xf>
    <xf numFmtId="0" fontId="1" fillId="3" borderId="10" xfId="0" applyFont="1" applyFill="1" applyBorder="1" applyAlignment="1">
      <alignment vertical="top" wrapText="1"/>
    </xf>
    <xf numFmtId="49" fontId="1" fillId="3" borderId="10" xfId="0" applyNumberFormat="1" applyFont="1" applyFill="1" applyBorder="1" applyAlignment="1">
      <alignment vertical="top" wrapText="1"/>
    </xf>
    <xf numFmtId="49" fontId="1" fillId="3" borderId="14" xfId="0" applyNumberFormat="1" applyFont="1" applyFill="1" applyBorder="1" applyAlignment="1">
      <alignment vertical="top" wrapText="1"/>
    </xf>
    <xf numFmtId="170" fontId="0" fillId="0" borderId="15" xfId="0" applyNumberFormat="1" applyFont="1" applyBorder="1" applyAlignment="1">
      <alignment vertical="top" wrapText="1"/>
    </xf>
    <xf numFmtId="170" fontId="0" fillId="0" borderId="16" xfId="0" applyNumberFormat="1" applyFont="1" applyBorder="1" applyAlignment="1">
      <alignment vertical="top" wrapText="1"/>
    </xf>
    <xf numFmtId="170" fontId="0" fillId="0" borderId="10" xfId="0" applyNumberFormat="1" applyFont="1" applyBorder="1" applyAlignment="1">
      <alignment vertical="top" wrapText="1"/>
    </xf>
    <xf numFmtId="9" fontId="0" fillId="0" borderId="10" xfId="0" applyNumberFormat="1" applyFont="1" applyBorder="1" applyAlignment="1">
      <alignment vertical="top" wrapText="1"/>
    </xf>
    <xf numFmtId="0" fontId="0" fillId="0" borderId="10" xfId="0" applyFont="1" applyBorder="1" applyAlignment="1">
      <alignment vertical="top" wrapText="1"/>
    </xf>
    <xf numFmtId="49" fontId="1" fillId="4" borderId="17" xfId="0" applyNumberFormat="1" applyFont="1" applyFill="1" applyBorder="1" applyAlignment="1">
      <alignment vertical="top"/>
    </xf>
    <xf numFmtId="0" fontId="1" fillId="4" borderId="17" xfId="0" applyFont="1" applyFill="1" applyBorder="1" applyAlignment="1">
      <alignment vertical="top"/>
    </xf>
    <xf numFmtId="170" fontId="1" fillId="4" borderId="17" xfId="0" applyNumberFormat="1" applyFont="1" applyFill="1" applyBorder="1" applyAlignment="1">
      <alignment vertical="top"/>
    </xf>
    <xf numFmtId="0" fontId="1" fillId="3" borderId="18" xfId="0" applyFont="1" applyFill="1" applyBorder="1" applyAlignment="1">
      <alignment vertical="top" wrapText="1"/>
    </xf>
    <xf numFmtId="49" fontId="1" fillId="3" borderId="18" xfId="0" applyNumberFormat="1" applyFont="1" applyFill="1" applyBorder="1" applyAlignment="1">
      <alignment vertical="top" wrapText="1"/>
    </xf>
    <xf numFmtId="49" fontId="1" fillId="3" borderId="19" xfId="0" applyNumberFormat="1" applyFont="1" applyFill="1" applyBorder="1" applyAlignment="1">
      <alignment vertical="top" wrapText="1"/>
    </xf>
    <xf numFmtId="0" fontId="0" fillId="0" borderId="20" xfId="0" applyNumberFormat="1" applyFont="1" applyBorder="1" applyAlignment="1">
      <alignment vertical="top" wrapText="1"/>
    </xf>
    <xf numFmtId="0" fontId="0" fillId="0" borderId="21" xfId="0" applyNumberFormat="1" applyFont="1" applyBorder="1" applyAlignment="1">
      <alignment vertical="top" wrapText="1"/>
    </xf>
    <xf numFmtId="0" fontId="0" fillId="0" borderId="18" xfId="0" applyNumberFormat="1" applyFont="1" applyBorder="1" applyAlignment="1">
      <alignment vertical="top" wrapText="1"/>
    </xf>
    <xf numFmtId="9" fontId="0" fillId="0" borderId="18" xfId="0" applyNumberFormat="1" applyFont="1" applyBorder="1" applyAlignment="1">
      <alignment vertical="top" wrapText="1"/>
    </xf>
    <xf numFmtId="170" fontId="0" fillId="0" borderId="20" xfId="0" applyNumberFormat="1" applyFont="1" applyBorder="1" applyAlignment="1">
      <alignment vertical="top" wrapText="1"/>
    </xf>
    <xf numFmtId="170" fontId="0" fillId="0" borderId="21" xfId="0" applyNumberFormat="1" applyFont="1" applyBorder="1" applyAlignment="1">
      <alignment vertical="top" wrapText="1"/>
    </xf>
    <xf numFmtId="170" fontId="0" fillId="0" borderId="18" xfId="0" applyNumberFormat="1" applyFont="1" applyBorder="1" applyAlignment="1">
      <alignment vertical="top" wrapText="1"/>
    </xf>
    <xf numFmtId="170" fontId="0" fillId="0" borderId="13" xfId="0" applyNumberFormat="1" applyFont="1" applyBorder="1" applyAlignment="1">
      <alignment vertical="top" wrapText="1"/>
    </xf>
    <xf numFmtId="170" fontId="0" fillId="0" borderId="4" xfId="0" applyNumberFormat="1" applyFont="1" applyBorder="1" applyAlignment="1">
      <alignment vertical="top" wrapText="1"/>
    </xf>
    <xf numFmtId="170" fontId="0" fillId="0" borderId="2" xfId="0" applyNumberFormat="1" applyFont="1" applyBorder="1" applyAlignment="1">
      <alignment vertical="top" wrapText="1"/>
    </xf>
    <xf numFmtId="0" fontId="1" fillId="3" borderId="5" xfId="0" applyFont="1" applyFill="1" applyBorder="1" applyAlignment="1">
      <alignment vertical="top" wrapText="1"/>
    </xf>
    <xf numFmtId="170" fontId="0" fillId="0" borderId="22" xfId="0" applyNumberFormat="1" applyFont="1" applyBorder="1" applyAlignment="1">
      <alignment vertical="top" wrapText="1"/>
    </xf>
    <xf numFmtId="170" fontId="0" fillId="0" borderId="7" xfId="0" applyNumberFormat="1" applyFont="1" applyBorder="1" applyAlignment="1">
      <alignment vertical="top" wrapText="1"/>
    </xf>
    <xf numFmtId="170" fontId="0" fillId="0" borderId="5" xfId="0" applyNumberFormat="1" applyFont="1" applyBorder="1" applyAlignment="1">
      <alignment vertical="top" wrapText="1"/>
    </xf>
    <xf numFmtId="9" fontId="0" fillId="0" borderId="5" xfId="0" applyNumberFormat="1" applyFont="1" applyBorder="1" applyAlignment="1">
      <alignment vertical="top" wrapText="1"/>
    </xf>
    <xf numFmtId="0" fontId="0" fillId="0" borderId="0" xfId="0" applyNumberFormat="1" applyFont="1" applyAlignment="1">
      <alignment vertical="top" wrapText="1"/>
    </xf>
    <xf numFmtId="1" fontId="0" fillId="0" borderId="5" xfId="0" applyNumberFormat="1" applyFont="1" applyBorder="1" applyAlignment="1">
      <alignment vertical="top" wrapText="1"/>
    </xf>
    <xf numFmtId="49" fontId="1" fillId="3" borderId="8" xfId="0" applyNumberFormat="1" applyFont="1" applyFill="1" applyBorder="1" applyAlignment="1">
      <alignment vertical="top" wrapText="1"/>
    </xf>
    <xf numFmtId="170" fontId="0" fillId="0" borderId="9" xfId="0" applyNumberFormat="1" applyFont="1" applyBorder="1" applyAlignment="1">
      <alignment vertical="top" wrapText="1"/>
    </xf>
    <xf numFmtId="168" fontId="0" fillId="0" borderId="1" xfId="0" applyNumberFormat="1" applyFont="1" applyBorder="1" applyAlignment="1">
      <alignment vertical="top" wrapText="1"/>
    </xf>
    <xf numFmtId="0" fontId="0" fillId="0" borderId="1" xfId="0" applyFont="1" applyBorder="1" applyAlignment="1">
      <alignment vertical="top" wrapText="1"/>
    </xf>
    <xf numFmtId="49" fontId="1" fillId="0" borderId="2" xfId="0" applyNumberFormat="1" applyFont="1" applyBorder="1" applyAlignment="1">
      <alignment vertical="top" wrapText="1"/>
    </xf>
    <xf numFmtId="170" fontId="1" fillId="0" borderId="2" xfId="0" applyNumberFormat="1" applyFont="1" applyBorder="1" applyAlignment="1">
      <alignment vertical="top" wrapText="1"/>
    </xf>
    <xf numFmtId="0" fontId="0" fillId="0" borderId="0" xfId="0" applyNumberFormat="1" applyFont="1" applyAlignment="1">
      <alignment vertical="top" wrapText="1"/>
    </xf>
    <xf numFmtId="168" fontId="1" fillId="0" borderId="2" xfId="0" applyNumberFormat="1" applyFont="1" applyBorder="1" applyAlignment="1">
      <alignment vertical="top" wrapText="1"/>
    </xf>
    <xf numFmtId="0" fontId="0" fillId="0" borderId="0" xfId="0" applyNumberFormat="1" applyFont="1" applyAlignment="1">
      <alignment vertical="top" wrapText="1"/>
    </xf>
    <xf numFmtId="171" fontId="0" fillId="0" borderId="4" xfId="0" applyNumberFormat="1" applyFont="1" applyBorder="1" applyAlignment="1">
      <alignment vertical="top" wrapText="1"/>
    </xf>
    <xf numFmtId="172" fontId="0" fillId="0" borderId="2" xfId="0" applyNumberFormat="1" applyFont="1" applyBorder="1" applyAlignment="1">
      <alignment vertical="top" wrapText="1"/>
    </xf>
    <xf numFmtId="49" fontId="0" fillId="0" borderId="2" xfId="0" applyNumberFormat="1" applyFont="1" applyBorder="1" applyAlignment="1">
      <alignment vertical="top" wrapText="1"/>
    </xf>
    <xf numFmtId="171" fontId="0" fillId="0" borderId="7" xfId="0" applyNumberFormat="1" applyFont="1" applyBorder="1" applyAlignment="1">
      <alignment vertical="top" wrapText="1"/>
    </xf>
    <xf numFmtId="172" fontId="0" fillId="0" borderId="5" xfId="0" applyNumberFormat="1"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173" fontId="0" fillId="0" borderId="7" xfId="0" applyNumberFormat="1" applyFont="1" applyBorder="1" applyAlignment="1">
      <alignment vertical="top" wrapText="1"/>
    </xf>
    <xf numFmtId="171" fontId="0" fillId="0" borderId="9" xfId="0" applyNumberFormat="1" applyFont="1" applyBorder="1" applyAlignment="1">
      <alignment vertical="top" wrapText="1"/>
    </xf>
    <xf numFmtId="172" fontId="0" fillId="0" borderId="1" xfId="0" applyNumberFormat="1" applyFont="1" applyBorder="1" applyAlignment="1">
      <alignment vertical="top" wrapText="1"/>
    </xf>
    <xf numFmtId="49" fontId="0" fillId="0" borderId="1" xfId="0" applyNumberFormat="1" applyFont="1" applyBorder="1" applyAlignment="1">
      <alignment vertical="top" wrapText="1"/>
    </xf>
    <xf numFmtId="0" fontId="0" fillId="0" borderId="1" xfId="0" applyNumberFormat="1" applyFont="1" applyBorder="1" applyAlignment="1">
      <alignment vertical="top" wrapText="1"/>
    </xf>
    <xf numFmtId="174" fontId="1" fillId="0" borderId="2" xfId="0" applyNumberFormat="1" applyFont="1" applyBorder="1" applyAlignment="1">
      <alignment vertical="top" wrapText="1"/>
    </xf>
    <xf numFmtId="0" fontId="1" fillId="0" borderId="2" xfId="0" applyNumberFormat="1" applyFont="1" applyBorder="1" applyAlignment="1">
      <alignment vertical="top" wrapText="1"/>
    </xf>
    <xf numFmtId="172" fontId="1" fillId="0" borderId="2" xfId="0" applyNumberFormat="1"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EFFFE"/>
      <rgbColor rgb="FF5E5E5E"/>
      <rgbColor rgb="FF919191"/>
      <rgbColor rgb="FFF8BA00"/>
      <rgbColor rgb="FFD3D3D3"/>
      <rgbColor rgb="FFB8B8B8"/>
      <rgbColor rgb="FFD5D5D5"/>
      <rgbColor rgb="FFFE2500"/>
      <rgbColor rgb="FF22AEFF"/>
      <rgbColor rgb="FF73DD4D"/>
      <rgbColor rgb="FFA0A0A0"/>
      <rgbColor rgb="FFF9C321"/>
      <rgbColor rgb="FFFE4221"/>
      <rgbColor rgb="FFD93286"/>
      <rgbColor rgb="FF44BA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ichStyles" Target="richData/richStyles.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eetMetadata" Target="metadata.xml"/><Relationship Id="rId28" Type="http://schemas.microsoft.com/office/2017/06/relationships/rdSupportingPropertyBag" Target="richData/rdsupportingpropertybag.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06/relationships/rdSupportingPropertyBagStructure" Target="richData/rdsupportingpropertybagstructure.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3525599999999999"/>
          <c:y val="0.119629"/>
          <c:w val="0.72948900000000005"/>
          <c:h val="0.827874"/>
        </c:manualLayout>
      </c:layout>
      <c:pieChart>
        <c:varyColors val="0"/>
        <c:ser>
          <c:idx val="0"/>
          <c:order val="0"/>
          <c:tx>
            <c:strRef>
              <c:f>'Category Weightings'!$C$1</c:f>
              <c:strCache>
                <c:ptCount val="1"/>
                <c:pt idx="0">
                  <c:v>% of Bill</c:v>
                </c:pt>
              </c:strCache>
            </c:strRef>
          </c:tx>
          <c:spPr>
            <a:solidFill>
              <a:schemeClr val="accent1"/>
            </a:solidFill>
            <a:ln w="12700" cap="flat">
              <a:noFill/>
              <a:miter lim="400000"/>
            </a:ln>
            <a:effectLst/>
          </c:spPr>
          <c:dPt>
            <c:idx val="0"/>
            <c:bubble3D val="0"/>
            <c:extLst>
              <c:ext xmlns:c16="http://schemas.microsoft.com/office/drawing/2014/chart" uri="{C3380CC4-5D6E-409C-BE32-E72D297353CC}">
                <c16:uniqueId val="{00000001-3447-0B4F-B2EF-C2743DBE7EE6}"/>
              </c:ext>
            </c:extLst>
          </c:dPt>
          <c:dPt>
            <c:idx val="1"/>
            <c:bubble3D val="0"/>
            <c:spPr>
              <a:solidFill>
                <a:schemeClr val="accent3"/>
              </a:solidFill>
              <a:ln w="12700" cap="flat">
                <a:noFill/>
                <a:miter lim="400000"/>
              </a:ln>
              <a:effectLst/>
            </c:spPr>
            <c:extLst>
              <c:ext xmlns:c16="http://schemas.microsoft.com/office/drawing/2014/chart" uri="{C3380CC4-5D6E-409C-BE32-E72D297353CC}">
                <c16:uniqueId val="{00000003-3447-0B4F-B2EF-C2743DBE7EE6}"/>
              </c:ext>
            </c:extLst>
          </c:dPt>
          <c:dPt>
            <c:idx val="2"/>
            <c:bubble3D val="0"/>
            <c:spPr>
              <a:solidFill>
                <a:srgbClr val="929292"/>
              </a:solidFill>
              <a:ln w="12700" cap="flat">
                <a:noFill/>
                <a:miter lim="400000"/>
              </a:ln>
              <a:effectLst/>
            </c:spPr>
            <c:extLst>
              <c:ext xmlns:c16="http://schemas.microsoft.com/office/drawing/2014/chart" uri="{C3380CC4-5D6E-409C-BE32-E72D297353CC}">
                <c16:uniqueId val="{00000005-3447-0B4F-B2EF-C2743DBE7EE6}"/>
              </c:ext>
            </c:extLst>
          </c:dPt>
          <c:dPt>
            <c:idx val="3"/>
            <c:bubble3D val="0"/>
            <c:spPr>
              <a:solidFill>
                <a:srgbClr val="F8BA00"/>
              </a:solidFill>
              <a:ln w="12700" cap="flat">
                <a:noFill/>
                <a:miter lim="400000"/>
              </a:ln>
              <a:effectLst/>
            </c:spPr>
            <c:extLst>
              <c:ext xmlns:c16="http://schemas.microsoft.com/office/drawing/2014/chart" uri="{C3380CC4-5D6E-409C-BE32-E72D297353CC}">
                <c16:uniqueId val="{00000007-3447-0B4F-B2EF-C2743DBE7EE6}"/>
              </c:ext>
            </c:extLst>
          </c:dPt>
          <c:dPt>
            <c:idx val="4"/>
            <c:bubble3D val="0"/>
            <c:spPr>
              <a:solidFill>
                <a:srgbClr val="FF2600"/>
              </a:solidFill>
              <a:ln w="12700" cap="flat">
                <a:noFill/>
                <a:miter lim="400000"/>
              </a:ln>
              <a:effectLst/>
            </c:spPr>
            <c:extLst>
              <c:ext xmlns:c16="http://schemas.microsoft.com/office/drawing/2014/chart" uri="{C3380CC4-5D6E-409C-BE32-E72D297353CC}">
                <c16:uniqueId val="{00000009-3447-0B4F-B2EF-C2743DBE7EE6}"/>
              </c:ext>
            </c:extLst>
          </c:dPt>
          <c:dPt>
            <c:idx val="5"/>
            <c:bubble3D val="0"/>
            <c:spPr>
              <a:solidFill>
                <a:schemeClr val="accent6">
                  <a:satOff val="-20754"/>
                  <a:lumOff val="-16738"/>
                </a:schemeClr>
              </a:solidFill>
              <a:ln w="12700" cap="flat">
                <a:noFill/>
                <a:miter lim="400000"/>
              </a:ln>
              <a:effectLst/>
            </c:spPr>
            <c:extLst>
              <c:ext xmlns:c16="http://schemas.microsoft.com/office/drawing/2014/chart" uri="{C3380CC4-5D6E-409C-BE32-E72D297353CC}">
                <c16:uniqueId val="{0000000B-3447-0B4F-B2EF-C2743DBE7EE6}"/>
              </c:ext>
            </c:extLst>
          </c:dPt>
          <c:dPt>
            <c:idx val="6"/>
            <c:bubble3D val="0"/>
            <c:spPr>
              <a:solidFill>
                <a:srgbClr val="22AEFF"/>
              </a:solidFill>
              <a:ln w="12700" cap="flat">
                <a:noFill/>
                <a:miter lim="400000"/>
              </a:ln>
              <a:effectLst/>
            </c:spPr>
            <c:extLst>
              <c:ext xmlns:c16="http://schemas.microsoft.com/office/drawing/2014/chart" uri="{C3380CC4-5D6E-409C-BE32-E72D297353CC}">
                <c16:uniqueId val="{0000000D-3447-0B4F-B2EF-C2743DBE7EE6}"/>
              </c:ext>
            </c:extLst>
          </c:dPt>
          <c:dPt>
            <c:idx val="7"/>
            <c:bubble3D val="0"/>
            <c:spPr>
              <a:solidFill>
                <a:srgbClr val="73DD4E"/>
              </a:solidFill>
              <a:ln w="12700" cap="flat">
                <a:noFill/>
                <a:miter lim="400000"/>
              </a:ln>
              <a:effectLst/>
            </c:spPr>
            <c:extLst>
              <c:ext xmlns:c16="http://schemas.microsoft.com/office/drawing/2014/chart" uri="{C3380CC4-5D6E-409C-BE32-E72D297353CC}">
                <c16:uniqueId val="{0000000F-3447-0B4F-B2EF-C2743DBE7EE6}"/>
              </c:ext>
            </c:extLst>
          </c:dPt>
          <c:dPt>
            <c:idx val="8"/>
            <c:bubble3D val="0"/>
            <c:spPr>
              <a:solidFill>
                <a:srgbClr val="A0A0A0"/>
              </a:solidFill>
              <a:ln w="12700" cap="flat">
                <a:noFill/>
                <a:miter lim="400000"/>
              </a:ln>
              <a:effectLst/>
            </c:spPr>
            <c:extLst>
              <c:ext xmlns:c16="http://schemas.microsoft.com/office/drawing/2014/chart" uri="{C3380CC4-5D6E-409C-BE32-E72D297353CC}">
                <c16:uniqueId val="{00000011-3447-0B4F-B2EF-C2743DBE7EE6}"/>
              </c:ext>
            </c:extLst>
          </c:dPt>
          <c:dPt>
            <c:idx val="9"/>
            <c:bubble3D val="0"/>
            <c:spPr>
              <a:solidFill>
                <a:srgbClr val="F9C321"/>
              </a:solidFill>
              <a:ln w="12700" cap="flat">
                <a:noFill/>
                <a:miter lim="400000"/>
              </a:ln>
              <a:effectLst/>
            </c:spPr>
            <c:extLst>
              <c:ext xmlns:c16="http://schemas.microsoft.com/office/drawing/2014/chart" uri="{C3380CC4-5D6E-409C-BE32-E72D297353CC}">
                <c16:uniqueId val="{00000013-3447-0B4F-B2EF-C2743DBE7EE6}"/>
              </c:ext>
            </c:extLst>
          </c:dPt>
          <c:dPt>
            <c:idx val="10"/>
            <c:bubble3D val="0"/>
            <c:spPr>
              <a:solidFill>
                <a:srgbClr val="FF4322"/>
              </a:solidFill>
              <a:ln w="12700" cap="flat">
                <a:noFill/>
                <a:miter lim="400000"/>
              </a:ln>
              <a:effectLst/>
            </c:spPr>
            <c:extLst>
              <c:ext xmlns:c16="http://schemas.microsoft.com/office/drawing/2014/chart" uri="{C3380CC4-5D6E-409C-BE32-E72D297353CC}">
                <c16:uniqueId val="{00000015-3447-0B4F-B2EF-C2743DBE7EE6}"/>
              </c:ext>
            </c:extLst>
          </c:dPt>
          <c:dPt>
            <c:idx val="11"/>
            <c:bubble3D val="0"/>
            <c:spPr>
              <a:solidFill>
                <a:srgbClr val="D93386"/>
              </a:solidFill>
              <a:ln w="12700" cap="flat">
                <a:noFill/>
                <a:miter lim="400000"/>
              </a:ln>
              <a:effectLst/>
            </c:spPr>
            <c:extLst>
              <c:ext xmlns:c16="http://schemas.microsoft.com/office/drawing/2014/chart" uri="{C3380CC4-5D6E-409C-BE32-E72D297353CC}">
                <c16:uniqueId val="{00000017-3447-0B4F-B2EF-C2743DBE7EE6}"/>
              </c:ext>
            </c:extLst>
          </c:dPt>
          <c:dPt>
            <c:idx val="12"/>
            <c:bubble3D val="0"/>
            <c:spPr>
              <a:solidFill>
                <a:srgbClr val="44BAFF"/>
              </a:solidFill>
              <a:ln w="12700" cap="flat">
                <a:noFill/>
                <a:miter lim="400000"/>
              </a:ln>
              <a:effectLst/>
            </c:spPr>
            <c:extLst>
              <c:ext xmlns:c16="http://schemas.microsoft.com/office/drawing/2014/chart" uri="{C3380CC4-5D6E-409C-BE32-E72D297353CC}">
                <c16:uniqueId val="{00000019-3447-0B4F-B2EF-C2743DBE7EE6}"/>
              </c:ext>
            </c:extLst>
          </c:dPt>
          <c:dLbls>
            <c:dLbl>
              <c:idx val="0"/>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3447-0B4F-B2EF-C2743DBE7EE6}"/>
                </c:ext>
              </c:extLst>
            </c:dLbl>
            <c:dLbl>
              <c:idx val="1"/>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3-3447-0B4F-B2EF-C2743DBE7EE6}"/>
                </c:ext>
              </c:extLst>
            </c:dLbl>
            <c:dLbl>
              <c:idx val="2"/>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5-3447-0B4F-B2EF-C2743DBE7EE6}"/>
                </c:ext>
              </c:extLst>
            </c:dLbl>
            <c:dLbl>
              <c:idx val="3"/>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7-3447-0B4F-B2EF-C2743DBE7EE6}"/>
                </c:ext>
              </c:extLst>
            </c:dLbl>
            <c:dLbl>
              <c:idx val="4"/>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9-3447-0B4F-B2EF-C2743DBE7EE6}"/>
                </c:ext>
              </c:extLst>
            </c:dLbl>
            <c:dLbl>
              <c:idx val="5"/>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B-3447-0B4F-B2EF-C2743DBE7EE6}"/>
                </c:ext>
              </c:extLst>
            </c:dLbl>
            <c:dLbl>
              <c:idx val="6"/>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D-3447-0B4F-B2EF-C2743DBE7EE6}"/>
                </c:ext>
              </c:extLst>
            </c:dLbl>
            <c:dLbl>
              <c:idx val="7"/>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F-3447-0B4F-B2EF-C2743DBE7EE6}"/>
                </c:ext>
              </c:extLst>
            </c:dLbl>
            <c:dLbl>
              <c:idx val="8"/>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11-3447-0B4F-B2EF-C2743DBE7EE6}"/>
                </c:ext>
              </c:extLst>
            </c:dLbl>
            <c:dLbl>
              <c:idx val="9"/>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13-3447-0B4F-B2EF-C2743DBE7EE6}"/>
                </c:ext>
              </c:extLst>
            </c:dLbl>
            <c:dLbl>
              <c:idx val="10"/>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15-3447-0B4F-B2EF-C2743DBE7EE6}"/>
                </c:ext>
              </c:extLst>
            </c:dLbl>
            <c:dLbl>
              <c:idx val="11"/>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17-3447-0B4F-B2EF-C2743DBE7EE6}"/>
                </c:ext>
              </c:extLst>
            </c:dLbl>
            <c:dLbl>
              <c:idx val="12"/>
              <c:numFmt formatCode="#,##0%" sourceLinked="0"/>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19-3447-0B4F-B2EF-C2743DBE7EE6}"/>
                </c:ext>
              </c:extLst>
            </c:dLbl>
            <c:numFmt formatCode="#,##0%" sourceLinked="0"/>
            <c:spPr>
              <a:noFill/>
              <a:ln>
                <a:noFill/>
              </a:ln>
              <a:effectLst/>
            </c:spPr>
            <c:txPr>
              <a:bodyPr/>
              <a:lstStyle/>
              <a:p>
                <a:pPr>
                  <a:defRPr sz="1200" b="0" i="0" u="none" strike="noStrike">
                    <a:solidFill>
                      <a:srgbClr val="FFFFFF"/>
                    </a:solidFill>
                    <a:latin typeface="Helvetica Neue"/>
                  </a:defRPr>
                </a:pPr>
                <a:endParaRPr lang="en-US"/>
              </a:p>
            </c:txPr>
            <c:dLblPos val="ctr"/>
            <c:showLegendKey val="0"/>
            <c:showVal val="0"/>
            <c:showCatName val="0"/>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'Category Weightings'!$A$2:$A$14</c:f>
              <c:strCache>
                <c:ptCount val="13"/>
                <c:pt idx="0">
                  <c:v>Roads and Bridges</c:v>
                </c:pt>
                <c:pt idx="1">
                  <c:v>Rails</c:v>
                </c:pt>
                <c:pt idx="2">
                  <c:v>Mass Transit</c:v>
                </c:pt>
                <c:pt idx="3">
                  <c:v>EV Buses</c:v>
                </c:pt>
                <c:pt idx="4">
                  <c:v>EV Charging</c:v>
                </c:pt>
                <c:pt idx="5">
                  <c:v>Airports</c:v>
                </c:pt>
                <c:pt idx="6">
                  <c:v>Ports</c:v>
                </c:pt>
                <c:pt idx="7">
                  <c:v>Broadband</c:v>
                </c:pt>
                <c:pt idx="8">
                  <c:v>Environmental</c:v>
                </c:pt>
                <c:pt idx="9">
                  <c:v>Water Infrastructure</c:v>
                </c:pt>
                <c:pt idx="10">
                  <c:v>Grid</c:v>
                </c:pt>
                <c:pt idx="11">
                  <c:v>Steel/Concrete/Asphalt</c:v>
                </c:pt>
                <c:pt idx="12">
                  <c:v>Equipment Rentals/Transpo</c:v>
                </c:pt>
              </c:strCache>
            </c:strRef>
          </c:cat>
          <c:val>
            <c:numRef>
              <c:f>'Category Weightings'!$C$2:$C$14</c:f>
              <c:numCache>
                <c:formatCode>0.0%</c:formatCode>
                <c:ptCount val="13"/>
                <c:pt idx="0">
                  <c:v>0.17085290928803762</c:v>
                </c:pt>
                <c:pt idx="1">
                  <c:v>9.2428623057462966E-2</c:v>
                </c:pt>
                <c:pt idx="2">
                  <c:v>5.489700036140225E-2</c:v>
                </c:pt>
                <c:pt idx="3">
                  <c:v>1.0503252620166246E-2</c:v>
                </c:pt>
                <c:pt idx="4">
                  <c:v>1.0503252620166246E-2</c:v>
                </c:pt>
                <c:pt idx="5">
                  <c:v>3.501084206722082E-2</c:v>
                </c:pt>
                <c:pt idx="6">
                  <c:v>2.3807372605710156E-2</c:v>
                </c:pt>
                <c:pt idx="7">
                  <c:v>9.1028189374774138E-2</c:v>
                </c:pt>
                <c:pt idx="8">
                  <c:v>9.5229490422840624E-2</c:v>
                </c:pt>
                <c:pt idx="9">
                  <c:v>8.8227322009396467E-2</c:v>
                </c:pt>
                <c:pt idx="10">
                  <c:v>0.10223165883628479</c:v>
                </c:pt>
                <c:pt idx="11">
                  <c:v>0.15</c:v>
                </c:pt>
                <c:pt idx="12">
                  <c:v>7.4999999999999997E-2</c:v>
                </c:pt>
              </c:numCache>
            </c:numRef>
          </c:val>
          <c:extLst>
            <c:ext xmlns:c16="http://schemas.microsoft.com/office/drawing/2014/chart" uri="{C3380CC4-5D6E-409C-BE32-E72D297353CC}">
              <c16:uniqueId val="{0000001A-3447-0B4F-B2EF-C2743DBE7EE6}"/>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
          <c:y val="0"/>
          <c:w val="1"/>
          <c:h val="0.21252099999999999"/>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254000</xdr:colOff>
      <xdr:row>17</xdr:row>
      <xdr:rowOff>53213</xdr:rowOff>
    </xdr:from>
    <xdr:to>
      <xdr:col>3</xdr:col>
      <xdr:colOff>1092200</xdr:colOff>
      <xdr:row>32</xdr:row>
      <xdr:rowOff>231001</xdr:rowOff>
    </xdr:to>
    <xdr:graphicFrame macro="">
      <xdr:nvGraphicFramePr>
        <xdr:cNvPr id="9" name="2D Pie Chart">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85">
  <rv s="0">
    <v>https://creativecommons.org/licenses/by-sa/3.0</v>
    <v>CC BY-SA 3.0</v>
  </rv>
  <rv s="0">
    <v>http://sv.wikipedia.org/wiki/Aecom</v>
    <v>Wikipedia</v>
  </rv>
  <rv s="1">
    <v>0</v>
    <v>1</v>
  </rv>
  <rv s="2">
    <v>6</v>
    <v>https://www.bing.com/th?id=AMMS_bd6611d3dd2d4f7da0744e88ceb20c59&amp;qlt=95</v>
    <v>2</v>
    <v>0</v>
    <v>https://www.bing.com/images/search?form=xlimg&amp;q=aecom</v>
    <v>Image of AECOM</v>
  </rv>
  <rv s="0">
    <v>https://www.bing.com/financeapi/forcetrigger?t=a1mtc7&amp;q=XNYS%3aACM&amp;form=skydnc</v>
    <v>Learn more on Bing</v>
  </rv>
  <rv s="3">
    <v>0</v>
    <v>AECOM (XNYS:ACM)</v>
    <v>3</v>
    <v>4</v>
    <v>Finance</v>
    <v>5</v>
    <v>en-US</v>
    <v>a1mtc7</v>
    <v>268435456</v>
    <v>1</v>
    <v>Powered by Refinitiv</v>
    <v>70.040000000000006</v>
    <v>37.15</v>
    <v>1.5738000000000001</v>
    <v>0.39500000000000002</v>
    <v>6.2970000000000005E-3</v>
    <v>USD</v>
    <v>AECOM is a global infrastructure consulting company. The Company provides professional services throughout the project lifecycle, from planning, architecture, design and engineering to program and construction management. Its segments include Americas, International and AECOM Capital (ACAP). The Americas segment provides planning, consulting, architectural and engineering design and construction management services to commercial and government clients in the United States, Canada and Latin America in end markets, such as transportation, water, government, facilities, environmental and energy. The International segment provides planning, consulting, architectural and engineering design services to commercial and government clients in Europe, the Middle East, Africa and the Asia-Pacific regions in end markets, such as transportation, water, government, facilities, environmental and energy. The ACAP segment has investments primarily in real estate projects.</v>
    <v>54000</v>
    <v>New York Stock Exchange</v>
    <v>XNYS</v>
    <v>XNYS</v>
    <v>300 SOUTH GRAND AVENUE, SUITE 900, LOS ANGELES, CA, 90071 US</v>
    <v>63.4</v>
    <v>3</v>
    <v>Construction &amp; Engineering</v>
    <v>Stock</v>
    <v>44426.633066029688</v>
    <v>4</v>
    <v>62.47</v>
    <v>9093901125</v>
    <v>AECOM</v>
    <v>AECOM</v>
    <v>62.52</v>
    <v>47.501899999999999</v>
    <v>62.73</v>
    <v>63.125</v>
    <v>144061800</v>
    <v>ACM</v>
    <v>AECOM (XNYS:ACM)</v>
    <v>111812</v>
    <v>640278</v>
    <v>1980</v>
  </rv>
  <rv s="4">
    <v>5</v>
  </rv>
  <rv s="0">
    <v>https://www.bing.com/financeapi/forcetrigger?t=a1ud3m&amp;q=XNYS%3aGVA&amp;form=skydnc</v>
    <v>Learn more on Bing</v>
  </rv>
  <rv s="5">
    <v>7</v>
    <v>GRANITE CONSTRUCTION INCORPORATED (XNYS:GVA)</v>
    <v>8</v>
    <v>9</v>
    <v>Finance</v>
    <v>10</v>
    <v>en-US</v>
    <v>a1ud3m</v>
    <v>268435456</v>
    <v>1</v>
    <v>Powered by Refinitiv</v>
    <v>44.31</v>
    <v>16.93</v>
    <v>1.5388999999999999</v>
    <v>0.27</v>
    <v>6.8669999999999998E-3</v>
    <v>USD</v>
    <v>Granite Construction Incorporated is a heavy civil contractor and construction materials producer in the United States. The Company operates through three segments: Construction, Large Project Construction and Construction Materials. The Company operates across the nation, serving both public and private sector clients. Within the public sector, it concentrates on heavy-civil infrastructure projects, including the construction of streets, roads, highways, mass transit facilities, airport infrastructure, bridges, trenchless and underground utilities, power-related facilities, water and wastewater facilities, utilities, tunnels, dams and other infrastructure-related projects. Within the private sector, the Company offers site preparation and infrastructure services for residential development, energy development, commercial and industrial sites, and other facilities, as well as provides construction management professional services.</v>
    <v>2800</v>
    <v>New York Stock Exchange</v>
    <v>XNYS</v>
    <v>XNYS</v>
    <v>585 W Beach St, WATSONVILLE, CA, 95076-5123 US</v>
    <v>39.72</v>
    <v>Construction &amp; Engineering</v>
    <v>Stock</v>
    <v>44426.622535000002</v>
    <v>7</v>
    <v>38.869999999999997</v>
    <v>1814041117</v>
    <v>GRANITE CONSTRUCTION INCORPORATED</v>
    <v>GRANITE CONSTRUCTION INCORPORATED</v>
    <v>39.1</v>
    <v>0</v>
    <v>39.32</v>
    <v>39.590000000000003</v>
    <v>45820690</v>
    <v>GVA</v>
    <v>GRANITE CONSTRUCTION INCORPORATED (XNYS:GVA)</v>
    <v>13016</v>
    <v>292998</v>
    <v>1990</v>
  </rv>
  <rv s="4">
    <v>8</v>
  </rv>
  <rv s="0">
    <v>https://www.bing.com/financeapi/forcetrigger?t=a1yvar&amp;q=XNAS%3aNVEE&amp;form=skydnc</v>
    <v>Learn more on Bing</v>
  </rv>
  <rv s="5">
    <v>7</v>
    <v>NV5 Global, Inc. (XNAS:NVEE)</v>
    <v>8</v>
    <v>9</v>
    <v>Finance</v>
    <v>5</v>
    <v>en-US</v>
    <v>a1yvar</v>
    <v>268435456</v>
    <v>1</v>
    <v>Powered by Refinitiv</v>
    <v>109.395</v>
    <v>47.78</v>
    <v>0.9526</v>
    <v>0.96399999999999997</v>
    <v>9.6399999999999993E-3</v>
    <v>USD</v>
    <v>NV5 Global, Inc. is a provider of professional and technical engineering and consulting services. It offers its solutions to public and private sector clients in the energy, transportation, water, government, hospitality, education, healthcare, commercial and residential markets. It provides a wide range of services, includes construction quality assurance, surveying and mapping, design, consulting, program and construction management, permitting, planning, forensic engineering, litigation support, condition assessment and compliance certification. Its offered services are focused on five business verticals: infrastructure, engineering, and support services; construction quality assurance, testing and inspection; program management; energy services and environmental services. Its operated segments are Infrastructure (INF) and Building, Technology and Sciences (BTS).</v>
    <v>2915</v>
    <v>Nasdaq Stock Market</v>
    <v>XNAS</v>
    <v>XNAS</v>
    <v>200 S Park Rd Ste 350, HOLLYWOOD, FL, 33021-8798 US</v>
    <v>100.97</v>
    <v>Construction &amp; Engineering</v>
    <v>Stock</v>
    <v>44426.632892256253</v>
    <v>10</v>
    <v>100</v>
    <v>1552989881</v>
    <v>NV5 Global, Inc.</v>
    <v>NV5 Global, Inc.</v>
    <v>100</v>
    <v>43.821599999999997</v>
    <v>100</v>
    <v>100.964</v>
    <v>15381620</v>
    <v>NVEE</v>
    <v>NV5 Global, Inc. (XNAS:NVEE)</v>
    <v>4228</v>
    <v>58045</v>
    <v>2011</v>
  </rv>
  <rv s="4">
    <v>11</v>
  </rv>
  <rv s="0">
    <v>https://www.bing.com/financeapi/forcetrigger?t=a216ww&amp;q=XNAS%3aPRIM&amp;form=skydnc</v>
    <v>Learn more on Bing</v>
  </rv>
  <rv s="5">
    <v>7</v>
    <v>PRIMORIS SERVICES CORPORATION (XNAS:PRIM)</v>
    <v>8</v>
    <v>9</v>
    <v>Finance</v>
    <v>5</v>
    <v>en-US</v>
    <v>a216ww</v>
    <v>268435456</v>
    <v>1</v>
    <v>Powered by Refinitiv</v>
    <v>41.76</v>
    <v>17.07</v>
    <v>1.2642</v>
    <v>0.14000000000000001</v>
    <v>5.5820000000000002E-3</v>
    <v>USD</v>
    <v>Primoris Services Corporation is a provider of specialty contracting services operating mainly in the United States and Canada. The Company provides a wide range of specialty construction services, fabrication, maintenance, replacement, procurement and engineering services through its three segments: Utilities Segment, Energy Segment and Pipeline Services Segment. The Utilities Segment offers a range of services, including installation and maintenance of new and existing natural gas utility distribution systems, electric utility transmission, substation and pipeline integrity services. The Company's Energy Segment provides engineering, procurement and construction, retrofits, upgrades, repairs, outages and maintenance services. It also specializes in highway, bridge and airport runway construction, demolition and site work. The Pipeline Services Segment offers pipeline construction and maintenance, pipeline facility and integrity services.</v>
    <v>1762</v>
    <v>Nasdaq Stock Market</v>
    <v>XNAS</v>
    <v>XNAS</v>
    <v>2300 N Field St Ste 1900, DALLAS, TX, 75201-2477 US</v>
    <v>25.24</v>
    <v>Construction &amp; Engineering</v>
    <v>Stock</v>
    <v>44426.632359930467</v>
    <v>13</v>
    <v>24.6538</v>
    <v>1355101116</v>
    <v>PRIMORIS SERVICES CORPORATION</v>
    <v>PRIMORIS SERVICES CORPORATION</v>
    <v>24.98</v>
    <v>10.6843</v>
    <v>25.08</v>
    <v>25.22</v>
    <v>53731210</v>
    <v>PRIM</v>
    <v>PRIMORIS SERVICES CORPORATION (XNAS:PRIM)</v>
    <v>64180</v>
    <v>386817</v>
    <v>2006</v>
  </rv>
  <rv s="4">
    <v>14</v>
  </rv>
  <rv s="0">
    <v>https://www.bing.com/financeapi/forcetrigger?t=a23ptc&amp;q=XNYS%3aSTN&amp;form=skydnc</v>
    <v>Learn more on Bing</v>
  </rv>
  <rv s="5">
    <v>7</v>
    <v>Stantec Inc. (XNYS:STN)</v>
    <v>8</v>
    <v>11</v>
    <v>Finance</v>
    <v>5</v>
    <v>en-US</v>
    <v>a23ptc</v>
    <v>268435456</v>
    <v>1</v>
    <v>Powered by Refinitiv</v>
    <v>49.61</v>
    <v>28.1</v>
    <v>0.7621</v>
    <v>-0.12</v>
    <v>-2.5380000000000003E-3</v>
    <v>USD</v>
    <v>Stantec Inc. is a provider of professional services in infrastructure and facilities for clients in the public and private sectors. The Company’s services include engineering, architecture, interior design, landscape architecture, surveying, environmental sciences, project management, and project economics, from initial project concept and planning through to design, construction administration, commissioning, maintenance, decommissioning, and remediation. The Company provides professional services in infrastructure and facilities throughout North America and globally. The Company operates through three segments Consulting Services-Canada, Consulting Services-United States and Consulting Services-Global. The Company has five specialized business operating units within Consulting Services: Buildings, Energy &amp; Resources, Environmental Services, Infrastructure, and Water.</v>
    <v>22000</v>
    <v>New York Stock Exchange</v>
    <v>XNYS</v>
    <v>XNYS</v>
    <v>400 10220 103 Avenue Nw, Edmonton Alberta T5j 0K4 Canada, EDMONTON, AB, 00000 CA</v>
    <v>47.31</v>
    <v>Construction &amp; Engineering</v>
    <v>Stock</v>
    <v>44426.631379351566</v>
    <v>16</v>
    <v>46.994999999999997</v>
    <v>6625935000</v>
    <v>Stantec Inc.</v>
    <v>Stantec Inc.</v>
    <v>47.31</v>
    <v>34.343899999999998</v>
    <v>47.29</v>
    <v>47.17</v>
    <v>111005800</v>
    <v>STN</v>
    <v>Stantec Inc. (XNYS:STN)</v>
    <v>17011</v>
    <v>55442</v>
    <v>1994</v>
  </rv>
  <rv s="4">
    <v>17</v>
  </rv>
  <rv s="0">
    <v>https://www.bing.com/financeapi/forcetrigger?t=a23qmw&amp;q=XNAS%3aSTRL&amp;form=skydnc</v>
    <v>Learn more on Bing</v>
  </rv>
  <rv s="5">
    <v>7</v>
    <v>STERLING CONSTRUCTION COMPANY, INC. (XNAS:STRL)</v>
    <v>8</v>
    <v>9</v>
    <v>Finance</v>
    <v>10</v>
    <v>en-US</v>
    <v>a23qmw</v>
    <v>268435456</v>
    <v>1</v>
    <v>Powered by Refinitiv</v>
    <v>25.739899999999999</v>
    <v>12.93</v>
    <v>1.3511</v>
    <v>0.06</v>
    <v>2.7189999999999996E-3</v>
    <v>USD</v>
    <v>Sterling Construction Company, Inc. is a heavy civil construction company engaged in the building and reconstruction of transportation and water infrastructure projects in Texas, Utah, Nevada, Arizona, California, Hawaii and other states. The Company's transportation infrastructure projects include highways, roads, bridges, airfields, ports and light rail. Its water infrastructure projects include water, wastewater and storm drainage systems. The Company operates through heavy civil construction segment. The Company provides its services by using traditional general contracting arrangements, such as lump sum contracts and cost-plus contracts. The Company serves various markets in the United States, including Texas, Utah, Nevada, Arizona, California and Hawaii. The Company's customers include departments of transportation in various states (DOTs), regional transit authorities, airport authorities, port authorities, water authorities and railroads.</v>
    <v>2600</v>
    <v>Nasdaq Stock Market</v>
    <v>XNAS</v>
    <v>XNAS</v>
    <v>1800 Hughes Landing Blvd., Suite 250, THE WOODLANDS, TX, 77380 US</v>
    <v>22.24</v>
    <v>Construction &amp; Engineering</v>
    <v>Stock</v>
    <v>44426.622594212502</v>
    <v>19</v>
    <v>21.93</v>
    <v>636555729</v>
    <v>STERLING CONSTRUCTION COMPANY, INC.</v>
    <v>STERLING CONSTRUCTION COMPANY, INC.</v>
    <v>21.93</v>
    <v>12.2872</v>
    <v>22.07</v>
    <v>22.13</v>
    <v>28764380</v>
    <v>STRL</v>
    <v>STERLING CONSTRUCTION COMPANY, INC. (XNAS:STRL)</v>
    <v>16140</v>
    <v>175559</v>
    <v>1991</v>
  </rv>
  <rv s="4">
    <v>20</v>
  </rv>
  <rv s="0">
    <v>https://www.bing.com/financeapi/forcetrigger?t=a24eqh&amp;q=XNYS%3aTPC&amp;form=skydnc</v>
    <v>Learn more on Bing</v>
  </rv>
  <rv s="5">
    <v>7</v>
    <v>TUTOR PERINI CORPORATION (XNYS:TPC)</v>
    <v>8</v>
    <v>9</v>
    <v>Finance</v>
    <v>10</v>
    <v>en-US</v>
    <v>a24eqh</v>
    <v>268435456</v>
    <v>1</v>
    <v>Powered by Refinitiv</v>
    <v>20.239999999999998</v>
    <v>10.79</v>
    <v>1.3849</v>
    <v>0.09</v>
    <v>6.5030000000000001E-3</v>
    <v>USD</v>
    <v>Tutor Perini Corporation is a construction company offering general contracting, construction management and design-build services to private customers and public agencies across the world. The Company operates through three segments: Civil, Building and Specialty Contractors. Its Civil segment specializes in public works construction and the repair, replacement and reconstruction of infrastructure across various geographic regions of the United States. Its Building segment provides services to various specialized building markets for private and public works customers, including the hospitality and gaming, transportation, healthcare, corporate and municipal offices, sports and entertainment, education, correctional facilities, biotech, pharmaceutical and industrial markets. Its Specialty Contractors segment specializes in electrical, mechanical, plumbing, heating, ventilation and air conditioning (HVAC), fire protection systems, and pneumatically placed concrete.</v>
    <v>8700</v>
    <v>New York Stock Exchange</v>
    <v>XNYS</v>
    <v>XNYS</v>
    <v>15901 Olden St, SYLMAR, CA, 91342-1051 US</v>
    <v>13.955</v>
    <v>Construction &amp; Engineering</v>
    <v>Stock</v>
    <v>44426.622513274997</v>
    <v>22</v>
    <v>13.64</v>
    <v>711435467</v>
    <v>TUTOR PERINI CORPORATION</v>
    <v>TUTOR PERINI CORPORATION</v>
    <v>13.74</v>
    <v>5.9414999999999996</v>
    <v>13.84</v>
    <v>13.93</v>
    <v>51072180</v>
    <v>TPC</v>
    <v>TUTOR PERINI CORPORATION (XNYS:TPC)</v>
    <v>30151</v>
    <v>273235</v>
    <v>1918</v>
  </rv>
  <rv s="4">
    <v>23</v>
  </rv>
  <rv s="0">
    <v>https://www.bing.com/financeapi/forcetrigger?t=ab1tu2&amp;q=XTSE%3aWSP&amp;form=skydnc</v>
    <v>Learn more on Bing</v>
  </rv>
  <rv s="6">
    <v>12</v>
    <v>WSP GLOBAL INC. (XTSE:WSP)</v>
    <v>8</v>
    <v>13</v>
    <v>Finance</v>
    <v>14</v>
    <v>en-US</v>
    <v>ab1tu2</v>
    <v>268435456</v>
    <v>1</v>
    <v>Powered by Refinitiv</v>
    <v>162.12</v>
    <v>82.95</v>
    <v>0.99429999999999996</v>
    <v>0.57999999999999996</v>
    <v>3.6099999999999999E-3</v>
    <v>CAD</v>
    <v>WSP Global Inc. (WSP) is a Canada-based professional services company. The Company's segments are Canada, Americas, EMEIA (Europe, Middle East, India and Africa) and APAC (the Asia Pacific, including primarily Asia and Australia). It offers services in project delivery and consulting. It offers various project services throughout the project execution phases. It operates in sectors, such as property and buildings, including services, such as disciplines of structural and mechanical, electrical and plumbing engineering; transportation and infrastructure, which includes planning, analyzing, designing and managing projects for rail, transit, aviation, bridges, tunnels, highways, ports, roads and urban infrastructure; environment, including services covering air, land, water and health on environmental matters, such as risk management and permitting authorizations; industry, including consulting and engineering services; resources (including mining and oil and gas), and power and energy.</v>
    <v>55000</v>
    <v>Toronto Stock Exchange</v>
    <v>XTSE</v>
    <v>XTSE</v>
    <v>1600 Rene-Levesque Blvd W 16th Floor, MONTREAL, QC, H3H 1P9 CA</v>
    <v>162.09</v>
    <v>Construction &amp; Engineering</v>
    <v>Stock</v>
    <v>44426.62226851852</v>
    <v>25</v>
    <v>159.34</v>
    <v>18941701248</v>
    <v>WSP GLOBAL INC.</v>
    <v>WSP GLOBAL INC.</v>
    <v>160</v>
    <v>48.41</v>
    <v>160.66</v>
    <v>161.24</v>
    <v>117475200</v>
    <v>WSP</v>
    <v>WSP GLOBAL INC. (XTSE:WSP)</v>
    <v>22176</v>
    <v>2014</v>
  </rv>
  <rv s="4">
    <v>26</v>
  </rv>
  <rv s="0">
    <v>https://creativecommons.org/licenses/by-sa/4.0</v>
    <v>CC BY-SA 4.0</v>
  </rv>
  <rv s="0">
    <v>http://fr.wikipedia.org/wiki/ADTRAN</v>
    <v>Wikipedia</v>
  </rv>
  <rv s="1">
    <v>28</v>
    <v>29</v>
  </rv>
  <rv s="2">
    <v>6</v>
    <v>https://www.bing.com/th?id=AMMS_e92626ee7d2c7172b025e4ab5318aa09&amp;qlt=95</v>
    <v>30</v>
    <v>0</v>
    <v>https://www.bing.com/images/search?form=xlimg&amp;q=adtran</v>
    <v>Image of ADTRAN, INC.</v>
  </rv>
  <rv s="0">
    <v>https://www.bing.com/financeapi/forcetrigger?t=a1mwu2&amp;q=XNAS%3aADTN&amp;form=skydnc</v>
    <v>Learn more on Bing</v>
  </rv>
  <rv s="3">
    <v>0</v>
    <v>ADTRAN, INC. (XNAS:ADTN)</v>
    <v>3</v>
    <v>4</v>
    <v>Finance</v>
    <v>5</v>
    <v>en-US</v>
    <v>a1mwu2</v>
    <v>268435456</v>
    <v>1</v>
    <v>Powered by Refinitiv</v>
    <v>24.36</v>
    <v>9.66</v>
    <v>1.4080999999999999</v>
    <v>0.01</v>
    <v>4.3290000000000001E-4</v>
    <v>USD</v>
    <v>ADTRAN, Inc. (ADTRAN) is a provider of networking and communications equipment. The Company's solutions enable voice, data, video and Internet communications across a range of network infrastructures. It operates through two segments: Network Solutions and Services &amp; Support. Network Solutions includes software and hardware products that enable CSPs and enterprise customers to realize a fully connected world. It provides a full-range of network implementation, maintenance and managed services. Its solutions include Access &amp; Aggregation, Customer Devices, and Traditional &amp; Other Products. Its Access &amp; Aggregation solutions are used by communications service providers (CSPs) to connect their network infrastructure to their subscribers. The portfolio of ADTRAN solutions within Access &amp; Aggregation category includes a range of modular or fixed physical form factors designed to deliver the technology and economic fit based on the target subscriber density and environmental conditions.</v>
    <v>1405</v>
    <v>Nasdaq Stock Market</v>
    <v>XNAS</v>
    <v>XNAS</v>
    <v>901 Explorer Blvd NW, HUNTSVILLE, AL, 35806-2807 US</v>
    <v>23.38</v>
    <v>31</v>
    <v>Communications &amp; Networking</v>
    <v>Stock</v>
    <v>44426.633042001566</v>
    <v>32</v>
    <v>23.08</v>
    <v>1126148000</v>
    <v>ADTRAN, INC.</v>
    <v>ADTRAN, INC.</v>
    <v>23.1</v>
    <v>64.447699999999998</v>
    <v>23.1</v>
    <v>23.11</v>
    <v>48561810</v>
    <v>ADTN</v>
    <v>ADTRAN, INC. (XNAS:ADTN)</v>
    <v>45434</v>
    <v>351777</v>
    <v>1985</v>
  </rv>
  <rv s="4">
    <v>33</v>
  </rv>
  <rv s="0">
    <v>http://en.wikipedia.org/wiki/Public_domain</v>
    <v>Public domain</v>
  </rv>
  <rv s="0">
    <v>http://en.wikipedia.org/wiki/Belden_(electronics_company)</v>
    <v>Wikipedia</v>
  </rv>
  <rv s="1">
    <v>35</v>
    <v>36</v>
  </rv>
  <rv s="2">
    <v>6</v>
    <v>https://www.bing.com/th?id=AMMS_7741e4dd4496595e5cac58e270255387&amp;qlt=95</v>
    <v>37</v>
    <v>0</v>
    <v>https://www.bing.com/images/search?form=xlimg&amp;q=belden+inc</v>
    <v>Image of BELDEN INC.</v>
  </rv>
  <rv s="0">
    <v>https://www.bing.com/financeapi/forcetrigger?t=a1obkr&amp;q=XNYS%3aBDC&amp;form=skydnc</v>
    <v>Learn more on Bing</v>
  </rv>
  <rv s="3">
    <v>0</v>
    <v>BELDEN INC. (XNYS:BDC)</v>
    <v>3</v>
    <v>4</v>
    <v>Finance</v>
    <v>5</v>
    <v>en-US</v>
    <v>a1obkr</v>
    <v>268435456</v>
    <v>1</v>
    <v>Powered by Refinitiv</v>
    <v>56.234999999999999</v>
    <v>28.55</v>
    <v>1.4451000000000001</v>
    <v>0.74</v>
    <v>1.3762000000000002E-2</v>
    <v>USD</v>
    <v>Belden Inc. is a signal transmission solutions provider company. The Company operates through five segment: Broadcast Solutions (Broadcast), Enterprise Connectivity Solutions (Enterprise), Industrial Connectivity Solutions (Industrial Connectivity), Industrial IT Solutions (Industrial IT), and Network Security Solutions (Network Security). The segments design, manufacture, and market a portfolio of signal transmission solutions for applications used in a variety of end markets, including broadcast, enterprise, and industrial. The Company's portfolio of signal transmission solutions provides transmission of data, sound, and video for various applications. The Company's sells its products to distributors, end users, installers, and to original equipment manufacturers (OEMs). The Company has manufacturing facilities in the United States, other manufacturing and operating facilities in Brazil, Canada, China, Japan, Mexico, and St. Kitts, as well as in various countries in Europe.</v>
    <v>6200</v>
    <v>New York Stock Exchange</v>
    <v>XNYS</v>
    <v>XNYS</v>
    <v>1 N Brentwood Blvd Floor 15th, ST. LOUIS, MO, 63105-3925 US</v>
    <v>54.51</v>
    <v>38</v>
    <v>Communications &amp; Networking</v>
    <v>Stock</v>
    <v>44426.631679825783</v>
    <v>39</v>
    <v>53.71</v>
    <v>2444961559</v>
    <v>BELDEN INC.</v>
    <v>BELDEN INC.</v>
    <v>53.75</v>
    <v>22.2879</v>
    <v>53.77</v>
    <v>54.51</v>
    <v>44853450</v>
    <v>BDC</v>
    <v>BELDEN INC. (XNYS:BDC)</v>
    <v>28353</v>
    <v>171480</v>
    <v>1988</v>
  </rv>
  <rv s="4">
    <v>40</v>
  </rv>
  <rv s="0">
    <v>https://www.bing.com/financeapi/forcetrigger?t=axtlsm&amp;q=XNAS%3aCASA&amp;form=skydnc</v>
    <v>Learn more on Bing</v>
  </rv>
  <rv s="5">
    <v>7</v>
    <v>CASA SYSTEMS, INC. (XNAS:CASA)</v>
    <v>8</v>
    <v>9</v>
    <v>Finance</v>
    <v>5</v>
    <v>en-US</v>
    <v>axtlsm</v>
    <v>268435456</v>
    <v>1</v>
    <v>Powered by Refinitiv</v>
    <v>13.15</v>
    <v>3.65</v>
    <v>1.0903</v>
    <v>0.19500000000000001</v>
    <v>2.8889000000000001E-2</v>
    <v>USD</v>
    <v>Casa Systems, Inc. is provides a software-centric infrastructure solutions. In addition, the Company offers solutions for next-generation distributed and virtualized architectures in cable operator, fixed telecom and wireless networks. Its products include axyom software platform, delivery platforms, multi-service applications, capacity expansion products. The Company offers a range of solutions including addition of critical bandwidth capacity, flexibility to add new and expand existing services, ability to upgrade networks remotely, reduced network complexity, ability to densify networks, and common platform capabilities to address the needs of both fixed and wireless networks.</v>
    <v>993</v>
    <v>Nasdaq Stock Market</v>
    <v>XNAS</v>
    <v>XNAS</v>
    <v>100 River Rd Ste 100, ANDOVER, MA, 01810-1030 US</v>
    <v>6.95</v>
    <v>Communications &amp; Networking</v>
    <v>Stock</v>
    <v>44426.633032835154</v>
    <v>42</v>
    <v>6.6600999999999999</v>
    <v>593992932</v>
    <v>CASA SYSTEMS, INC.</v>
    <v>CASA SYSTEMS, INC.</v>
    <v>6.7</v>
    <v>19.802900000000001</v>
    <v>6.75</v>
    <v>6.9450000000000003</v>
    <v>85528140</v>
    <v>CASA</v>
    <v>CASA SYSTEMS, INC. (XNAS:CASA)</v>
    <v>118717</v>
    <v>321426</v>
    <v>2003</v>
  </rv>
  <rv s="4">
    <v>43</v>
  </rv>
  <rv s="0">
    <v>https://www.bing.com/financeapi/forcetrigger?t=a1q56h&amp;q=XNAS%3aCOMM&amp;form=skydnc</v>
    <v>Learn more on Bing</v>
  </rv>
  <rv s="5">
    <v>7</v>
    <v>COMMSCOPE HOLDING COMPANY, INC. (XNAS:COMM)</v>
    <v>8</v>
    <v>9</v>
    <v>Finance</v>
    <v>5</v>
    <v>en-US</v>
    <v>a1q56h</v>
    <v>268435456</v>
    <v>1</v>
    <v>Powered by Refinitiv</v>
    <v>22.177800000000001</v>
    <v>8.25</v>
    <v>1.8512999999999999</v>
    <v>0.56000000000000005</v>
    <v>3.8540999999999999E-2</v>
    <v>USD</v>
    <v>CommScope Holding Company, Inc. is a provider of infrastructure solutions for communication and entertainment networks. The Company operates through five segments: Connectivity Solutions (Connectivity), Mobility Solutions (Mobility), Customer Premises Equipment (CPE), Network &amp; Cloud (N&amp;C) and Ruckus Networks (Ruckus). The Connectivity segment provides fiber optic, copper cable and connectivity solutions. The Mobility segment provides the integral building blocks for cellular base station sites and related connectivity. The CPE segment offers broadband and video products. The N&amp;C segment’s product solutions include cable modem termination system, video infrastructure, distribution and transmission equipment, and cloud solutions. The Ruckus segment provides converged wired and wireless local area network (LAN) networks for enterprises and service providers. Through its ARRIS International plc, it provides broadband, video and wireless technology.</v>
    <v>30000</v>
    <v>Nasdaq Stock Market</v>
    <v>XNAS</v>
    <v>XNAS</v>
    <v>1100 Commscope Pl SE, HICKORY, NC, 28602-3619 US</v>
    <v>15.25</v>
    <v>Communications &amp; Networking</v>
    <v>Stock</v>
    <v>44426.632776145314</v>
    <v>45</v>
    <v>14.66</v>
    <v>3081406671</v>
    <v>COMMSCOPE HOLDING COMPANY, INC.</v>
    <v>COMMSCOPE HOLDING COMPANY, INC.</v>
    <v>14.94</v>
    <v>26.375299999999999</v>
    <v>14.53</v>
    <v>15.09</v>
    <v>204201900</v>
    <v>COMM</v>
    <v>COMMSCOPE HOLDING COMPANY, INC. (XNAS:COMM)</v>
    <v>2314167</v>
    <v>3323964</v>
    <v>2010</v>
  </rv>
  <rv s="4">
    <v>46</v>
  </rv>
  <rv s="0">
    <v>http://en.wikipedia.org/wiki/Cisco_Systems</v>
    <v>Wikipedia</v>
  </rv>
  <rv s="1">
    <v>35</v>
    <v>48</v>
  </rv>
  <rv s="2">
    <v>6</v>
    <v>https://www.bing.com/th?id=AMMS_260a2f4e042134ccb72dfe738e09a885&amp;qlt=95</v>
    <v>49</v>
    <v>0</v>
    <v>https://www.bing.com/images/search?form=xlimg&amp;q=cisco+systems</v>
    <v>Image of CISCO SYSTEMS, INC.</v>
  </rv>
  <rv s="0">
    <v>https://www.bing.com/financeapi/forcetrigger?t=a1qe5r&amp;q=XNAS%3aCSCO&amp;form=skydnc</v>
    <v>Learn more on Bing</v>
  </rv>
  <rv s="3">
    <v>0</v>
    <v>CISCO SYSTEMS, INC. (XNAS:CSCO)</v>
    <v>3</v>
    <v>4</v>
    <v>Finance</v>
    <v>5</v>
    <v>en-US</v>
    <v>a1qe5r</v>
    <v>268435456</v>
    <v>1</v>
    <v>Powered by Refinitiv</v>
    <v>56.62</v>
    <v>35.28</v>
    <v>0.89459999999999995</v>
    <v>-0.33029999999999998</v>
    <v>-5.8970000000000003E-3</v>
    <v>USD</v>
    <v>Cisco Systems, Inc is engaged in designing and selling a range of technologies across networking, security, collaboration, applications and the cloud. It operates through three geographic segments: Americas; Europe, Middle East, and Africa; and Asia Pacific, Japan, and China. Its product and technologies include infrastructure platforms; applications; security and other products. Infrastructure Platforms consists of its core networking technologies of switching, routing, data center products and wireless that are designed to work together to deliver networking capabilities and transport and store data. Application product category consists primarily of software-related offerings that utilize the core networking and data center platforms to provide their functions. Security product category primarily includes unified threat management products, threat security products and Web security products. Its subsidiary, ThousandEyes, Inc., offers Internet and cloud intelligence platform.</v>
    <v>77500</v>
    <v>Nasdaq Stock Market</v>
    <v>XNAS</v>
    <v>XNAS</v>
    <v>170 West Tasman Dr, SAN JOSE, CA, 95134-1706 US</v>
    <v>56.134999999999998</v>
    <v>50</v>
    <v>Communications &amp; Networking</v>
    <v>Stock</v>
    <v>44426.633075613281</v>
    <v>51</v>
    <v>55.625</v>
    <v>234645670138</v>
    <v>CISCO SYSTEMS, INC.</v>
    <v>CISCO SYSTEMS, INC.</v>
    <v>55.73</v>
    <v>23.232299999999999</v>
    <v>56.01</v>
    <v>55.679699999999997</v>
    <v>4214205000</v>
    <v>CSCO</v>
    <v>CISCO SYSTEMS, INC. (XNAS:CSCO)</v>
    <v>3345543</v>
    <v>13795397</v>
    <v>2021</v>
  </rv>
  <rv s="4">
    <v>52</v>
  </rv>
  <rv s="0">
    <v>https://www.bing.com/financeapi/forcetrigger?t=a1rif2&amp;q=XNYS%3aDY&amp;form=skydnc</v>
    <v>Learn more on Bing</v>
  </rv>
  <rv s="5">
    <v>7</v>
    <v>DYCOM INDUSTRIES, INC. (XNYS:DY)</v>
    <v>8</v>
    <v>9</v>
    <v>Finance</v>
    <v>5</v>
    <v>en-US</v>
    <v>a1rif2</v>
    <v>268435456</v>
    <v>1</v>
    <v>Powered by Refinitiv</v>
    <v>101.16</v>
    <v>45.54</v>
    <v>1.5944</v>
    <v>0.47</v>
    <v>6.6900000000000006E-3</v>
    <v>USD</v>
    <v>Dycom Industries, Inc. is a provider of specialty contracting services throughout the United States. The Company, through its subsidiaries, provides program management, engineering, construction, maintenance and installation services for telecommunications providers, underground facility locating services for various utilities, including telecommunications providers, and other construction and maintenance services for electric and gas utilities. The Company provides the labor, tools and equipment necessary to design, engineer, locate, maintain, expand, install and upgrade the telecommunications infrastructure of its customers. The Company also provides tower construction, lines and antenna installation, and foundation and equipment pad construction for wireless carriers, as well as equipment installation and material fabrication, and site testing services.</v>
    <v>14276</v>
    <v>New York Stock Exchange</v>
    <v>XNYS</v>
    <v>XNYS</v>
    <v>11780 US Highway 1 Ste 600, PALM BEACH GARDENS, FL, 33408-3043 US</v>
    <v>70.83</v>
    <v>Construction &amp; Engineering</v>
    <v>Stock</v>
    <v>44426.632741678128</v>
    <v>54</v>
    <v>69.17</v>
    <v>2176668956</v>
    <v>DYCOM INDUSTRIES, INC.</v>
    <v>DYCOM INDUSTRIES, INC.</v>
    <v>69.17</v>
    <v>34.394500000000001</v>
    <v>70.25</v>
    <v>70.72</v>
    <v>30778690</v>
    <v>DY</v>
    <v>DYCOM INDUSTRIES, INC. (XNYS:DY)</v>
    <v>37829</v>
    <v>255172</v>
    <v>1969</v>
  </rv>
  <rv s="4">
    <v>55</v>
  </rv>
  <rv s="0">
    <v>http://en.wikipedia.org/wiki/Corning_Inc.</v>
    <v>Wikipedia</v>
  </rv>
  <rv s="1">
    <v>35</v>
    <v>57</v>
  </rv>
  <rv s="2">
    <v>6</v>
    <v>https://www.bing.com/th?id=AMMS_d9a743d0efdc8374303fd46c454235b1&amp;qlt=95</v>
    <v>58</v>
    <v>0</v>
    <v>https://www.bing.com/images/search?form=xlimg&amp;q=corning+inc.</v>
    <v>Image of CORNING INCORPORATED</v>
  </rv>
  <rv s="0">
    <v>https://www.bing.com/financeapi/forcetrigger?t=a1tym7&amp;q=XNYS%3aGLW&amp;form=skydnc</v>
    <v>Learn more on Bing</v>
  </rv>
  <rv s="3">
    <v>0</v>
    <v>CORNING INCORPORATED (XNYS:GLW)</v>
    <v>3</v>
    <v>4</v>
    <v>Finance</v>
    <v>5</v>
    <v>en-US</v>
    <v>a1tym7</v>
    <v>268435456</v>
    <v>1</v>
    <v>Powered by Refinitiv</v>
    <v>46.82</v>
    <v>30.16</v>
    <v>1.1464000000000001</v>
    <v>0.53500000000000003</v>
    <v>1.3252E-2</v>
    <v>USD</v>
    <v>Corning Incorporated is a materials science technology and innovation company. The Company's segments include Display Technologies, Optical Communications, Environmental Technologies, Specialty Materials and Life Sciences. The Display Technologies segment manufactures glass substrates for flat panel liquid crystal displays and other high-performance display panels. The Optical Communications segment manufactures carrier network and enterprise network components for the telecommunications industry. The Environmental Technologies segment manufactures ceramic substrates and filters for automotive and diesel applications. The Specialty Materials segment manufactures products that provide more than 150 material formulations for glass, glass ceramics and fluoride crystals. The Life Sciences segment manufactures glass and plastic labware, equipment, media, serum and reagents enabling workflow solutions for drug discovery and bioproduction.</v>
    <v>50110</v>
    <v>New York Stock Exchange</v>
    <v>XNYS</v>
    <v>XNYS</v>
    <v>1 Riverfront Plz, CORNING, NY, 14831-0001 US</v>
    <v>41.06</v>
    <v>59</v>
    <v>Electronic Equipment &amp; Parts</v>
    <v>Stock</v>
    <v>44426.633044814065</v>
    <v>60</v>
    <v>40.119999999999997</v>
    <v>34934183050</v>
    <v>CORNING INCORPORATED</v>
    <v>CORNING INCORPORATED</v>
    <v>40.17</v>
    <v>40.747700000000002</v>
    <v>40.369999999999997</v>
    <v>40.905000000000001</v>
    <v>854032100</v>
    <v>GLW</v>
    <v>CORNING INCORPORATED (XNYS:GLW)</v>
    <v>1697392</v>
    <v>3507000</v>
    <v>1936</v>
  </rv>
  <rv s="4">
    <v>61</v>
  </rv>
  <rv s="0">
    <v>http://en.wikipedia.org/wiki/Juniper_Networks</v>
    <v>Wikipedia</v>
  </rv>
  <rv s="1">
    <v>35</v>
    <v>63</v>
  </rv>
  <rv s="2">
    <v>6</v>
    <v>https://www.bing.com/th?id=AMMS_b92ce71c8fa17f0efd028f289d63d08d&amp;qlt=95</v>
    <v>64</v>
    <v>0</v>
    <v>https://www.bing.com/images/search?form=xlimg&amp;q=juniper+networks</v>
    <v>Image of JUNIPER NETWORKS, INC.</v>
  </rv>
  <rv s="0">
    <v>https://www.bing.com/financeapi/forcetrigger?t=a1w8mw&amp;q=XNYS%3aJNPR&amp;form=skydnc</v>
    <v>Learn more on Bing</v>
  </rv>
  <rv s="3">
    <v>0</v>
    <v>JUNIPER NETWORKS, INC. (XNYS:JNPR)</v>
    <v>3</v>
    <v>4</v>
    <v>Finance</v>
    <v>5</v>
    <v>en-US</v>
    <v>a1w8mw</v>
    <v>268435456</v>
    <v>1</v>
    <v>Powered by Refinitiv</v>
    <v>29.11</v>
    <v>19.510000000000002</v>
    <v>0.82920000000000005</v>
    <v>0.48499999999999999</v>
    <v>1.7076999999999998E-2</v>
    <v>USD</v>
    <v>Juniper Networks, Inc. designs, develops and sells products and services for high-performance networks to enable customers to build networks for their businesses. The Company sells its products in over 150 countries in three geographic regions: Americas; Europe, the Middle East and Africa (EMEA), and Asia Pacific (APAC). The Company sells its high-performance network products and service offerings across routing, switching and security technologies. Its products and services address network requirements for its customers, including Cloud, Service Provider, and Enterprise. The Company offers its customers various services including maintenance and support, professional services, and education and training programs. The Company's Junos Platform enables its customers to expand network software into the application space and deploy software clients to control delivery. The Junos Platform includes a range of products, such as Junos Operating System (OS) Evolved.</v>
    <v>9950</v>
    <v>New York Stock Exchange</v>
    <v>XNYS</v>
    <v>XNYS</v>
    <v>1133 Innovation Way, SUNNYVALE, CA, 94089-1228 US</v>
    <v>29.11</v>
    <v>65</v>
    <v>Communications &amp; Networking</v>
    <v>Stock</v>
    <v>44426.632867719534</v>
    <v>66</v>
    <v>28.19</v>
    <v>9392009743</v>
    <v>JUNIPER NETWORKS, INC.</v>
    <v>JUNIPER NETWORKS, INC.</v>
    <v>28.39</v>
    <v>45.887099999999997</v>
    <v>28.4</v>
    <v>28.885000000000002</v>
    <v>325151800</v>
    <v>JNPR</v>
    <v>JUNIPER NETWORKS, INC. (XNYS:JNPR)</v>
    <v>3221648</v>
    <v>3292513</v>
    <v>1997</v>
  </rv>
  <rv s="4">
    <v>67</v>
  </rv>
  <rv s="0">
    <v>https://www.bing.com/financeapi/forcetrigger?t=a1y4lh&amp;q=XNYS%3aMTZ&amp;form=skydnc</v>
    <v>Learn more on Bing</v>
  </rv>
  <rv s="5">
    <v>7</v>
    <v>MASTEC, INC. (XNYS:MTZ)</v>
    <v>8</v>
    <v>9</v>
    <v>Finance</v>
    <v>5</v>
    <v>en-US</v>
    <v>a1y4lh</v>
    <v>268435456</v>
    <v>1</v>
    <v>Powered by Refinitiv</v>
    <v>122.33</v>
    <v>40.18</v>
    <v>1.3110999999999999</v>
    <v>0.14000000000000001</v>
    <v>1.5409999999999998E-3</v>
    <v>USD</v>
    <v>MasTec, Inc. is an infrastructure construction company. The Company operates primarily across North America through a range of industries. The Company operates through five segments: Communications, Oil and Gas, Electrical Transmission, Power Generation and Industrial, and Other. Its primary activities include the engineering, building, installation, maintenance and upgrade of communications, energy and utility infrastructure, such as wireless, wireline/fiber, satellite communications and customer fulfillment activities; petroleum and natural gas pipeline infrastructure; electrical utility transmission and distribution; conventional and renewable power generation, and industrial infrastructure. The Company offered its services primarily under the MasTec service mark and had operations across 510 locations as of December 31, 2016. It provides services under master service and other service agreements, which are generally multi-year agreements.</v>
    <v>21000</v>
    <v>New York Stock Exchange</v>
    <v>XNYS</v>
    <v>XNYS</v>
    <v>800 S Douglas Rd Fl 12, CORAL GABLES, FL, 33134-3125 US</v>
    <v>91.47</v>
    <v>Construction &amp; Engineering</v>
    <v>Stock</v>
    <v>44426.63258680547</v>
    <v>69</v>
    <v>89.81</v>
    <v>6762654990</v>
    <v>MASTEC, INC.</v>
    <v>MASTEC, INC.</v>
    <v>90.15</v>
    <v>18.021599999999999</v>
    <v>90.86</v>
    <v>91</v>
    <v>74314890</v>
    <v>MTZ</v>
    <v>MASTEC, INC. (XNYS:MTZ)</v>
    <v>121765</v>
    <v>641537</v>
    <v>1998</v>
  </rv>
  <rv s="4">
    <v>70</v>
  </rv>
  <rv s="0">
    <v>http://en.wikipedia.org/wiki/Nokia</v>
    <v>Wikipedia</v>
  </rv>
  <rv s="1">
    <v>35</v>
    <v>72</v>
  </rv>
  <rv s="2">
    <v>6</v>
    <v>https://www.bing.com/th?id=AMMS_434faf04c6282e367ddfdc2f25cb5c88&amp;qlt=95</v>
    <v>73</v>
    <v>0</v>
    <v>https://www.bing.com/images/search?form=xlimg&amp;q=nokia</v>
    <v>Image of Nokia Corporation</v>
  </rv>
  <rv s="0">
    <v>https://www.bing.com/financeapi/forcetrigger?t=a1ynp2&amp;q=XNYS%3aNOK&amp;form=skydnc</v>
    <v>Learn more on Bing</v>
  </rv>
  <rv s="3">
    <v>0</v>
    <v>Nokia Corporation (XNYS:NOK)</v>
    <v>3</v>
    <v>4</v>
    <v>Finance</v>
    <v>5</v>
    <v>en-US</v>
    <v>a1ynp2</v>
    <v>268435456</v>
    <v>1</v>
    <v>Powered by Refinitiv</v>
    <v>9.7899999999999991</v>
    <v>3.21</v>
    <v>0.80640000000000001</v>
    <v>7.0000000000000007E-2</v>
    <v>1.1785E-2</v>
    <v>USD</v>
    <v>Nokia Oyj is a Finland-based company engaged in the network and Internet protocol (IP) infrastructure, software, and related services market. The Company's businesses include Nokia Networks and Nokia Technologies. The Company's segments include Ultra Broadband Networks, IP Networks and Applications, and Nokia Technologies. The Ultra Broadband Networks segment comprises Mobile Networks and Fixed Networks operating segments. The IP Networks and Applications segment comprises IP/Optical Networks and Applications &amp; Analytics operating segments. The Applications &amp; Analytics operating segment offers software solutions spanning customer experience management, network operations and management, communications and collaboration, policy and charging, as well as Cloud, Internet of things (IoT), security, and analytics platforms that enable digital services providers and enterprises to accelerate and optimize their customer experience. The Company has Comptel Oyj among its subsidiaries.</v>
    <v>92039</v>
    <v>New York Stock Exchange</v>
    <v>XNYS</v>
    <v>XNYS</v>
    <v>Karakaari 7, ESPOO, ETELA-SUOMEN, 02610 FI</v>
    <v>6.0149999999999997</v>
    <v>74</v>
    <v>Communications &amp; Networking</v>
    <v>Stock</v>
    <v>44426.633030428122</v>
    <v>75</v>
    <v>5.95</v>
    <v>34522920000</v>
    <v>Nokia Corporation</v>
    <v>Nokia Corporation</v>
    <v>5.98</v>
    <v>0</v>
    <v>5.94</v>
    <v>6.01</v>
    <v>5675461000</v>
    <v>NOK</v>
    <v>Nokia Corporation (XNYS:NOK)</v>
    <v>5142123</v>
    <v>27158422</v>
    <v>1896</v>
  </rv>
  <rv s="4">
    <v>76</v>
  </rv>
  <rv s="0">
    <v>https://www.bing.com/financeapi/forcetrigger?t=a1z2hw&amp;q=XNAS%3aOCC&amp;form=skydnc</v>
    <v>Learn more on Bing</v>
  </rv>
  <rv s="7">
    <v>15</v>
    <v>OPTICAL CABLE CORPORATION (XNAS:OCC)</v>
    <v>8</v>
    <v>16</v>
    <v>Finance</v>
    <v>10</v>
    <v>en-US</v>
    <v>a1z2hw</v>
    <v>268435456</v>
    <v>1</v>
    <v>Powered by Refinitiv</v>
    <v>4.97</v>
    <v>2.4</v>
    <v>0.58079999999999998</v>
    <v>-0.04</v>
    <v>-1.0840000000000001E-2</v>
    <v>USD</v>
    <v>Optical Cable Corporation (OCC) is a manufacturer of a range of fiber optic and copper data communication cabling and connectivity solutions. The Company designs, develops and manufactures fiber and copper connectivity products for the enterprise and residential applications and wireless carrier market. OCC's product offerings include designs for uses in enterprise networks, datacenters, residential and campus installations to customized products for specialty applications and harsh environments, including military, industrial, mining, petrochemical, and broadcast applications. OCC products include fiber optic and copper cabling, hybrid cabling, fiber optic and copper connectors, specialty fiber optic, copper and hybrid connectors &amp; patch cords, pre-terminated fiber optic and copper cable assemblies, racks, cabinets, datacom enclosures, patch panels, face plates, multimedia boxes, fiber optic reels and accessories, and other cable and connectivity management accessories.</v>
    <v>367</v>
    <v>Nasdaq Stock Market</v>
    <v>XNAS</v>
    <v>XNAS</v>
    <v>5290 Concourse Dr, ROANOKE, VA, 24019-3059 US</v>
    <v>3.7</v>
    <v>Communications &amp; Networking</v>
    <v>Stock</v>
    <v>44426.613429756253</v>
    <v>78</v>
    <v>3.5</v>
    <v>27808270</v>
    <v>OPTICAL CABLE CORPORATION</v>
    <v>OPTICAL CABLE CORPORATION</v>
    <v>3.65</v>
    <v>3.69</v>
    <v>3.65</v>
    <v>7536120</v>
    <v>OCC</v>
    <v>OPTICAL CABLE CORPORATION (XNAS:OCC)</v>
    <v>21787</v>
    <v>31219</v>
    <v>1983</v>
  </rv>
  <rv s="4">
    <v>79</v>
  </rv>
  <rv s="0">
    <v>https://www.bing.com/financeapi/forcetrigger?t=a21gh7&amp;q=XNYS%3aPWR&amp;form=skydnc</v>
    <v>Learn more on Bing</v>
  </rv>
  <rv s="5">
    <v>7</v>
    <v>QUANTA SERVICES, INC. (XNYS:PWR)</v>
    <v>8</v>
    <v>9</v>
    <v>Finance</v>
    <v>5</v>
    <v>en-US</v>
    <v>a21gh7</v>
    <v>268435456</v>
    <v>1</v>
    <v>Powered by Refinitiv</v>
    <v>101.959</v>
    <v>48.53</v>
    <v>1.2351000000000001</v>
    <v>1.3878999999999999</v>
    <v>1.4601999999999999E-2</v>
    <v>USD</v>
    <v>Quanta Services, Inc. is a provider of specialty contracting services, offering infrastructure solutions primarily to the electric power and oil and gas industries in the United States, Canada and Australia and selected other international markets. The Company operates through two segments: Electric Power Infrastructure Services, which provides network solutions to customers in the electric power industry, and Oil and Gas Infrastructure Services, which provides network solutions to customers involved in the development and transportation of natural gas, oil and other pipeline products. The services it provides include the design, installation, upgrade, repair and maintenance of infrastructure within each of the industries it serves, such as electric power transmission and distribution networks, substation facilities, renewable energy facilities, pipeline transmission and distribution systems and facilities, and infrastructure services for the offshore and inland water energy markets.</v>
    <v>35800</v>
    <v>New York Stock Exchange</v>
    <v>XNYS</v>
    <v>XNYS</v>
    <v>2800 Post Oak Blvd Ste 2600, HOUSTON, TX, 77056-6175 US</v>
    <v>96.981499999999997</v>
    <v>Construction &amp; Engineering</v>
    <v>Stock</v>
    <v>44426.632661921096</v>
    <v>81</v>
    <v>94.57</v>
    <v>13419555592</v>
    <v>QUANTA SERVICES, INC.</v>
    <v>QUANTA SERVICES, INC.</v>
    <v>94.805000000000007</v>
    <v>25.525700000000001</v>
    <v>95.05</v>
    <v>96.437899999999999</v>
    <v>139152300</v>
    <v>PWR</v>
    <v>QUANTA SERVICES, INC. (XNYS:PWR)</v>
    <v>142378</v>
    <v>812457</v>
    <v>1997</v>
  </rv>
  <rv s="4">
    <v>82</v>
  </rv>
  <rv s="0">
    <v>https://www.bing.com/financeapi/forcetrigger?t=a21xm7&amp;q=XNAS%3aRFIL&amp;form=skydnc</v>
    <v>Learn more on Bing</v>
  </rv>
  <rv s="5">
    <v>7</v>
    <v>RF INDUSTRIES, LTD. (XNAS:RFIL)</v>
    <v>8</v>
    <v>9</v>
    <v>Finance</v>
    <v>5</v>
    <v>en-US</v>
    <v>a21xm7</v>
    <v>268435456</v>
    <v>1</v>
    <v>Powered by Refinitiv</v>
    <v>9.6300000000000008</v>
    <v>4.05</v>
    <v>1.1316999999999999</v>
    <v>-3.5000000000000003E-2</v>
    <v>-4.359E-3</v>
    <v>USD</v>
    <v>RF Industries, Ltd. is a manufacturer and marketer of interconnect products and systems, including coaxial and specialty cables and connectors, fiber optic cables and connectors, and electrical and electronic specialty cables and components. The Company operates through two segments: RF Connector and Cable Assembly (RF Connector) segment, primarily designs, manufactures, markets and distributes connector and cable products, including coaxial connectors and cable assemblies that are integrated with coaxial connectors. The Custom Cabling Manufacturing and Assembly (Custom Cabling) segment designs, manufactures, markets and distributes custom copper and fiber cable assemblies, complex hybrid fiber optic and power solution cables, electromechanical wiring harnesses, wiring harnesses, energy-efficient cooling systems for wireless base stations and remote equipment shelters and custom designed, and pole-ready fifth generation small cell integrated enclosures.</v>
    <v>189</v>
    <v>Nasdaq Stock Market</v>
    <v>XNAS</v>
    <v>XNAS</v>
    <v>7610 Miramar Rd Ste 6000, SAN DIEGO, CA, 92126-4238 US</v>
    <v>8.0547000000000004</v>
    <v>Machinery, Equipment &amp; Components</v>
    <v>Stock</v>
    <v>44426.629336839847</v>
    <v>84</v>
    <v>7.9950000000000001</v>
    <v>81008550</v>
    <v>RF INDUSTRIES, LTD.</v>
    <v>RF INDUSTRIES, LTD.</v>
    <v>8</v>
    <v>18.1875</v>
    <v>8.0299999999999994</v>
    <v>7.9950000000000001</v>
    <v>10001060</v>
    <v>RFIL</v>
    <v>RF INDUSTRIES, LTD. (XNAS:RFIL)</v>
    <v>2980</v>
    <v>40588</v>
    <v>1979</v>
  </rv>
  <rv s="4">
    <v>85</v>
  </rv>
  <rv s="0">
    <v>https://www.bing.com/financeapi/forcetrigger?t=a24rmw&amp;q=XNYS%3aUI&amp;form=skydnc</v>
    <v>Learn more on Bing</v>
  </rv>
  <rv s="5">
    <v>7</v>
    <v>UBIQUITI INC. (XNYS:UI)</v>
    <v>8</v>
    <v>9</v>
    <v>Finance</v>
    <v>5</v>
    <v>en-US</v>
    <v>a24rmw</v>
    <v>268435456</v>
    <v>1</v>
    <v>Powered by Refinitiv</v>
    <v>401.80500000000001</v>
    <v>150.75</v>
    <v>1.3589</v>
    <v>3.58</v>
    <v>1.1843999999999999E-2</v>
    <v>USD</v>
    <v>Ubiquiti Inc., formerly Ubiquiti Networks, Inc., develops performance networking technology for service providers and enterprises. It offers a portfolio of networking products and solutions. Its service provider product platforms provide carrier-class network infrastructure for fixed wireless broadband, wireless backhaul systems and routing. Its enterprise product platforms provide wireless local area network infrastructure, video surveillance products, switching and routing solutions, and machine-to-machine communication components. Its products and solutions include radios, antennas, software, communications protocols and management tools that are designed to deliver carrier and enterprise class wireless broadband access and other services primarily in the unlicensed radio frequency spectrum. Its service provider and carrier solutions include Base Station/Backhaul/Customer Premise Equipment/Bridge-airMAX, Network Routing Platform-EdgeMAX and Point-to-point Wireless Backhaul-airFiber.</v>
    <v>1021</v>
    <v>New York Stock Exchange</v>
    <v>XNYS</v>
    <v>XNYS</v>
    <v>685 3rd Ave Fl 27, NEW YORK, NY, 10017-4024 US</v>
    <v>306.13</v>
    <v>Communications &amp; Networking</v>
    <v>Stock</v>
    <v>44426.632883553124</v>
    <v>87</v>
    <v>300.02</v>
    <v>19211701660</v>
    <v>UBIQUITI INC.</v>
    <v>UBIQUITI INC.</v>
    <v>304.66000000000003</v>
    <v>34.455300000000001</v>
    <v>302.27</v>
    <v>305.85000000000002</v>
    <v>62814130</v>
    <v>UI</v>
    <v>UBIQUITI INC. (XNYS:UI)</v>
    <v>9656</v>
    <v>47418</v>
    <v>2010</v>
  </rv>
  <rv s="4">
    <v>88</v>
  </rv>
  <rv s="0">
    <v>https://www.bing.com/financeapi/forcetrigger?t=a25bz2&amp;q=XNAS%3aVIAV&amp;form=skydnc</v>
    <v>Learn more on Bing</v>
  </rv>
  <rv s="5">
    <v>7</v>
    <v>VIAVI SOLUTIONS INC. (XNAS:VIAV)</v>
    <v>8</v>
    <v>9</v>
    <v>Finance</v>
    <v>5</v>
    <v>en-US</v>
    <v>a25bz2</v>
    <v>268435456</v>
    <v>1</v>
    <v>Powered by Refinitiv</v>
    <v>18.139900000000001</v>
    <v>11.365</v>
    <v>0.73319999999999996</v>
    <v>0.04</v>
    <v>2.4859999999999999E-3</v>
    <v>USD</v>
    <v>Viavi Solutions Inc. (Viavi) is a provider of network test, monitoring and assurance solutions to communications service providers, enterprises and their ecosystems. The Company also offers thin film optical coatings, providing light management solutions to anti-counterfeiting, consumer and industrial, government and healthcare and other markets. The Company's segments include Network Enablement (NE), Service Enablement (SE), and Optical Security and Performance Products (OSP). The NE segment provides testing solutions that access the network to perform build-out and maintenance tasks. The SE segment offers solutions, which are embedded systems that yield network, service and application performance data. The OSP segment provides optical security solutions. The OSP segment's security offerings for the currency market include Optically Variable Pigment (OVP), Optically Variable Magnetic Pigment (OVMP) and banknote thread substrates.</v>
    <v>3600</v>
    <v>Nasdaq Stock Market</v>
    <v>XNAS</v>
    <v>XNAS</v>
    <v>6001 America Center Dr Fl 6, SAN JOSE, CA, 95002-2562 US</v>
    <v>16.2</v>
    <v>Communications &amp; Networking</v>
    <v>Stock</v>
    <v>44426.632763553127</v>
    <v>90</v>
    <v>16.03</v>
    <v>3687945457</v>
    <v>VIAVI SOLUTIONS INC.</v>
    <v>VIAVI SOLUTIONS INC.</v>
    <v>16.05</v>
    <v>82.335499999999996</v>
    <v>16.09</v>
    <v>16.13</v>
    <v>228638900</v>
    <v>VIAV</v>
    <v>VIAVI SOLUTIONS INC. (XNAS:VIAV)</v>
    <v>173104</v>
    <v>1355989</v>
    <v>1993</v>
  </rv>
  <rv s="4">
    <v>91</v>
  </rv>
  <rv s="0">
    <v>https://www.bing.com/financeapi/forcetrigger?t=a1p2dm&amp;q=XNYS%3aBXC&amp;form=skydnc</v>
    <v>Learn more on Bing</v>
  </rv>
  <rv s="5">
    <v>7</v>
    <v>BLUELINX HOLDINGS INC. (XNYS:BXC)</v>
    <v>8</v>
    <v>9</v>
    <v>Finance</v>
    <v>10</v>
    <v>en-US</v>
    <v>a1p2dm</v>
    <v>268435456</v>
    <v>1</v>
    <v>Powered by Refinitiv</v>
    <v>70.38</v>
    <v>17.031099999999999</v>
    <v>1.8425</v>
    <v>2.14</v>
    <v>3.8662999999999996E-2</v>
    <v>USD</v>
    <v>BlueLinx Holdings, Inc. is a distributor of building products in North America. The Company operates its distribution business through a network of approximately 40 distribution centers. It serves metropolitan areas in the United States and delivers building products to a range of wholesale and retail customers. The Company distributes products in approximately two categories, such as structural products and specialty products. Structural products include plywood, oriented strand board (OSB), rebar and remesh, lumber and other wood products primarily used for structural support, walls and flooring in construction projects. Specialty products include roofing, insulation, specialty panels, molding, engineered wood products, vinyl products (used primarily in siding), outdoor living, particle board and metal products (excluding rebar and remesh). It also provides a range of services and solutions, such as intermodal distribution services; inventory stocking, and backhaul services.</v>
    <v>2100</v>
    <v>New York Stock Exchange</v>
    <v>XNYS</v>
    <v>XNYS</v>
    <v>1950 Spectrum Cir SE, MARIETTA, GA, 30067-8479 US</v>
    <v>58.18</v>
    <v>Homebuilding &amp; Construction Supplies</v>
    <v>Stock</v>
    <v>44426.622552025001</v>
    <v>93</v>
    <v>54.91</v>
    <v>538206600</v>
    <v>BLUELINX HOLDINGS INC.</v>
    <v>BLUELINX HOLDINGS INC.</v>
    <v>55.52</v>
    <v>2.1452</v>
    <v>55.35</v>
    <v>57.49</v>
    <v>9723700</v>
    <v>BXC</v>
    <v>BLUELINX HOLDINGS INC. (XNYS:BXC)</v>
    <v>66383</v>
    <v>263296</v>
    <v>2004</v>
  </rv>
  <rv s="4">
    <v>94</v>
  </rv>
  <rv s="0">
    <v>http://en.wikipedia.org/wiki/Commercial_Metals_Company</v>
    <v>Wikipedia</v>
  </rv>
  <rv s="1">
    <v>35</v>
    <v>96</v>
  </rv>
  <rv s="2">
    <v>6</v>
    <v>https://www.bing.com/th?id=AMMS_be29fb8937e109a4e6ff890f03f2168a&amp;qlt=95</v>
    <v>97</v>
    <v>0</v>
    <v>https://www.bing.com/images/search?form=xlimg&amp;q=commercial+metals+company</v>
    <v>Image of COMMERCIAL METALS COMPANY</v>
  </rv>
  <rv s="0">
    <v>https://www.bing.com/financeapi/forcetrigger?t=a1pwf2&amp;q=XNYS%3aCMC&amp;form=skydnc</v>
    <v>Learn more on Bing</v>
  </rv>
  <rv s="3">
    <v>0</v>
    <v>COMMERCIAL METALS COMPANY (XNYS:CMC)</v>
    <v>3</v>
    <v>4</v>
    <v>Finance</v>
    <v>10</v>
    <v>en-US</v>
    <v>a1pwf2</v>
    <v>268435456</v>
    <v>1</v>
    <v>Powered by Refinitiv</v>
    <v>36.49</v>
    <v>18.675000000000001</v>
    <v>1.2855000000000001</v>
    <v>0.39</v>
    <v>1.1552E-2</v>
    <v>USD</v>
    <v>Commercial Metals Company, recycles and markets steel and metal products, related materials and services. The Company operates through four segments: Americas Recycling, Americas Mills, Americas Fabrication, and International Mill. Americas Recycling segment processes scrap metals for use as a raw material by manufacturers of new metal products. Americas Mills segment includes its three EAF mini mills, two EAF micro mills, a rerolling mill, two scrap metal shredders, eight scrap metal processing facilities that directly support the mills, and a railroad salvage operation, all of which are based in the U.S. Americas Fabrication segment consists of its steel fabrication facilities that bend, weld, cut and fabricate steel, primarily rebar, and produce steel fence posts. The International Mill segment is comprised of its mini mill, recycling and fabrication operations located in Poland. The Company also owns and manufactures GalvaBar, which is a continuous galvanized rebar (CGR).</v>
    <v>11297</v>
    <v>New York Stock Exchange</v>
    <v>XNYS</v>
    <v>XNYS</v>
    <v>6565 N Macarthur Blvd Ste 800, Po Box 1046, IRVING, TX, 75039-6283 US</v>
    <v>34.33</v>
    <v>98</v>
    <v>Metals &amp; Mining</v>
    <v>Stock</v>
    <v>44426.622580289062</v>
    <v>99</v>
    <v>33.31</v>
    <v>4118032390</v>
    <v>COMMERCIAL METALS COMPANY</v>
    <v>COMMERCIAL METALS COMPANY</v>
    <v>33.380000000000003</v>
    <v>12.4954</v>
    <v>33.76</v>
    <v>34.15</v>
    <v>120586600</v>
    <v>CMC</v>
    <v>COMMERCIAL METALS COMPANY (XNYS:CMC)</v>
    <v>87696</v>
    <v>816996</v>
    <v>1946</v>
  </rv>
  <rv s="4">
    <v>100</v>
  </rv>
  <rv s="0">
    <v>http://en.wikipedia.org/wiki/CRH_plc</v>
    <v>Wikipedia</v>
  </rv>
  <rv s="1">
    <v>35</v>
    <v>102</v>
  </rv>
  <rv s="2">
    <v>6</v>
    <v>https://www.bing.com/th?id=AMMS_b3114983799b584109fa6acaf447f852&amp;qlt=95</v>
    <v>103</v>
    <v>0</v>
    <v>https://www.bing.com/images/search?form=xlimg&amp;q=crh+plc</v>
    <v>Image of CRH PUBLIC LIMITED COMPANY</v>
  </rv>
  <rv s="0">
    <v>https://www.bing.com/financeapi/forcetrigger?t=a1qbjc&amp;q=XNYS%3aCRH&amp;form=skydnc</v>
    <v>Learn more on Bing</v>
  </rv>
  <rv s="3">
    <v>0</v>
    <v>CRH PUBLIC LIMITED COMPANY (XNYS:CRH)</v>
    <v>3</v>
    <v>4</v>
    <v>Finance</v>
    <v>10</v>
    <v>en-US</v>
    <v>a1qbjc</v>
    <v>268435456</v>
    <v>1</v>
    <v>Powered by Refinitiv</v>
    <v>53.38</v>
    <v>33.57</v>
    <v>1.0548</v>
    <v>1.4999999999999999E-2</v>
    <v>2.9E-4</v>
    <v>USD</v>
    <v>CRH PLC operates a building materials business. The Company operates building materials business in North America and heavy side materials business in Europe. It operates through six segments: Europe Heavyside, Europe Lightside, Europe Distribution, Americas Materials, Americas Products and Asia. Its products are used in construction projects ranging from foundations, to frame and roofing, to fitting out the interior space and improving the exterior aesthetic, to on-site works and infrastructural projects, including roads and bridges. Its products include cement, lime, aggregates, ready mixed and precast concrete, asphalt products, architectural products, shutters and awnings, perimeter protection, network access products, general merchants and sanitary, heating and plumbing products. Its distribution businesses supply building materials to professional builders, specialist heating and plumbing contractors, and Do-It-Yourself (DIY) customers.</v>
    <v>77100</v>
    <v>New York Stock Exchange</v>
    <v>XNYS</v>
    <v>XNYS</v>
    <v>Belgard Castle Clondalkin, DUBLIN, DUBLIN, D16 KH51 IE</v>
    <v>51.82</v>
    <v>104</v>
    <v>Construction Materials</v>
    <v>Stock</v>
    <v>44426.622661411719</v>
    <v>105</v>
    <v>51.61</v>
    <v>40614570000</v>
    <v>CRH PUBLIC LIMITED COMPANY</v>
    <v>CRH PUBLIC LIMITED COMPANY</v>
    <v>51.69</v>
    <v>36.478299999999997</v>
    <v>51.72</v>
    <v>51.734999999999999</v>
    <v>779700300</v>
    <v>CRH</v>
    <v>CRH PUBLIC LIMITED COMPANY (XNYS:CRH)</v>
    <v>80465</v>
    <v>293432</v>
    <v>1949</v>
  </rv>
  <rv s="4">
    <v>106</v>
  </rv>
  <rv s="0">
    <v>http://en.wikipedia.org/wiki/Cemex</v>
    <v>Wikipedia</v>
  </rv>
  <rv s="1">
    <v>35</v>
    <v>108</v>
  </rv>
  <rv s="2">
    <v>6</v>
    <v>https://www.bing.com/th?id=AMMS_14dc493781cc2e54e2723a2f5736cfa6&amp;qlt=95</v>
    <v>109</v>
    <v>0</v>
    <v>https://www.bing.com/images/search?form=xlimg&amp;q=cemex</v>
    <v>Image of CEMEX PUBLICLY TRADED STOCK CORPORATION WITH VARIABLE CAPITAL</v>
  </rv>
  <rv s="0">
    <v>https://www.bing.com/financeapi/forcetrigger?t=a1qn52&amp;q=XNYS%3aCX&amp;form=skydnc</v>
    <v>Learn more on Bing</v>
  </rv>
  <rv s="3">
    <v>0</v>
    <v>CEMEX PUBLICLY TRADED STOCK CORPORATION WITH VARIABLE CAPITAL (XNYS:CX)</v>
    <v>3</v>
    <v>4</v>
    <v>Finance</v>
    <v>10</v>
    <v>en-US</v>
    <v>a1qn52</v>
    <v>268435456</v>
    <v>1</v>
    <v>Powered by Refinitiv</v>
    <v>9.09</v>
    <v>3.08</v>
    <v>1.2253000000000001</v>
    <v>6.5000000000000002E-2</v>
    <v>8.2699999999999996E-3</v>
    <v>USD</v>
    <v>CEMEX, S.A.B. de C.V. (CEMEX) is an operating and holding Mexico-based company engaged, directly or indirectly, through its operating subsidiaries, primarily in the production, distribution, marketing and sale of cement, ready-mix concrete, aggregates, clinker and other construction materials throughout the world, and that provides construction-related services to customers and communities in over 50 countries throughout the world. The Company operates in various locations, including Mexico, the United States, Europe, South America, Central America, the Caribbean, Asia, the Middle East and Africa. Its cement production facilities are located in Mexico, the United States, Spain, Egypt, Germany, Colombia, the Philippines, Poland, the Dominican Republic, the United Kingdom, Panama, Puerto Rico, Thailand, Costa Rica and Nicaragua. The Company is a supplier of aggregates, primarily the crushed stone, sand and gravel, used in various forms of construction.</v>
    <v>43771</v>
    <v>New York Stock Exchange</v>
    <v>XNYS</v>
    <v>XNYS</v>
    <v>Ave Ricardo Margain 325, Colonia Valle del Campestre, SAN PEDRO GARZA GARCIA, NUEVO LEON, 66265 MX</v>
    <v>7.95</v>
    <v>110</v>
    <v>Construction Materials</v>
    <v>Stock</v>
    <v>44426.622652789061</v>
    <v>111</v>
    <v>7.75</v>
    <v>12048640000</v>
    <v>CEMEX PUBLICLY TRADED STOCK CORPORATION WITH VARIABLE CAPITAL</v>
    <v>CEMEX PUBLICLY TRADED STOCK CORPORATION WITH VARIABLE CAPITAL</v>
    <v>7.84</v>
    <v>0</v>
    <v>7.86</v>
    <v>7.9249999999999998</v>
    <v>505163900</v>
    <v>CX</v>
    <v>CEMEX PUBLICLY TRADED STOCK CORPORATION WITH VARIABLE CAPITAL (XNYS:CX)</v>
    <v>1654475</v>
    <v>7609366</v>
    <v>1920</v>
  </rv>
  <rv s="4">
    <v>112</v>
  </rv>
  <rv s="0">
    <v>https://www.bing.com/financeapi/forcetrigger?t=a1sia2&amp;q=XNYS%3aEXP&amp;form=skydnc</v>
    <v>Learn more on Bing</v>
  </rv>
  <rv s="5">
    <v>7</v>
    <v>EAGLE MATERIALS INC. (XNYS:EXP)</v>
    <v>8</v>
    <v>9</v>
    <v>Finance</v>
    <v>5</v>
    <v>en-US</v>
    <v>a1sia2</v>
    <v>268435456</v>
    <v>1</v>
    <v>Powered by Refinitiv</v>
    <v>155.80000000000001</v>
    <v>78.23</v>
    <v>1.2153</v>
    <v>1.73</v>
    <v>1.1439999999999999E-2</v>
    <v>USD</v>
    <v>Eagle Materials Inc. through its subsidiaries, is a supplier of heavy construction materials and light building materials in the United States. Its primary products are commodities that are essential in commercial and residential construction; public construction projects; and projects to build, expand, and repair roads and highways. The Company operates through four segments: Cement, Concrete and Aggregates, Gypsum Wallboard and Recycled Paperboard. The Company's construction products are used in residential, commercial and infrastructure construction, and include cement, slag, concrete and aggregates. It sells cement in various regional markets, including Texas, Illinois, the central plains, Michigan, Iowa, the Rocky Mountains, northern Nevada, southern Ohio and northern California. It also operates a recycled paperboard business, which sells internally to its wallboard business, as well as to external customers.</v>
    <v>2200</v>
    <v>New York Stock Exchange</v>
    <v>XNYS</v>
    <v>XNYS</v>
    <v>5960 Berkshire Lane, Suite 900, DALLAS, TX, 75225 US</v>
    <v>153.13</v>
    <v>Construction Materials</v>
    <v>Stock</v>
    <v>44426.632390265622</v>
    <v>114</v>
    <v>150.41999999999999</v>
    <v>6405862606</v>
    <v>EAGLE MATERIALS INC.</v>
    <v>EAGLE MATERIALS INC.</v>
    <v>150.41999999999999</v>
    <v>19.1249</v>
    <v>151.22</v>
    <v>152.94999999999999</v>
    <v>41882070</v>
    <v>EXP</v>
    <v>EAGLE MATERIALS INC. (XNYS:EXP)</v>
    <v>53994</v>
    <v>342614</v>
    <v>1994</v>
  </rv>
  <rv s="4">
    <v>115</v>
  </rv>
  <rv s="0">
    <v>https://www.bing.com/financeapi/forcetrigger?t=ay3woc&amp;q=XHKG%3a1730&amp;form=skydnc</v>
    <v>Learn more on Bing</v>
  </rv>
  <rv s="6">
    <v>12</v>
    <v>LHN LIMITED (XHKG:1730)</v>
    <v>8</v>
    <v>17</v>
    <v>Finance</v>
    <v>18</v>
    <v>en-US</v>
    <v>ay3woc</v>
    <v>268435456</v>
    <v>1</v>
    <v>Powered by Refinitiv</v>
    <v>2.33</v>
    <v>0.59</v>
    <v>0.95850000000000002</v>
    <v>-0.1</v>
    <v>-5.2083000000000004E-2</v>
    <v>HKD</v>
    <v>LHN Limited is Singapore-based investment holding company. The Company’s business group includes Space Optimisation Business Group, Facilities Management Business Group and Logistics Services Business Group. The Space Optimisation Business Group converts and improves old, unused and under-utilized spaces to maximize the space and function of the leasable area. These properties include industrial, commercial and residential spaces. The Facilities Management Business Group provides a spectrum of facilities, carpark and security management services to manage the facilities of its commercial, industrial and residential properties. The Logistics Services Business Group provides transportation services for base oil and bitumen, and chemical.</v>
    <v>544</v>
    <v>Hong Kong Stock Exchange</v>
    <v>XHKG</v>
    <v>XHKG</v>
    <v>10 Raeburn Park #02-18, 088702 SG</v>
    <v>1.88</v>
    <v>Real Estate Operations</v>
    <v>Stock</v>
    <v>44426.329398148147</v>
    <v>117</v>
    <v>1.73</v>
    <v>139041400</v>
    <v>LHN LIMITED</v>
    <v>LHN LIMITED</v>
    <v>1.76</v>
    <v>3.54</v>
    <v>1.92</v>
    <v>1.82</v>
    <v>408945400</v>
    <v>1730</v>
    <v>LHN LIMITED (XHKG:1730)</v>
    <v>444000</v>
    <v>2014</v>
  </rv>
  <rv s="4">
    <v>118</v>
  </rv>
  <rv s="0">
    <v>http://en.wikipedia.org/wiki/Martin_Marietta_Inc.</v>
    <v>Wikipedia</v>
  </rv>
  <rv s="1">
    <v>35</v>
    <v>120</v>
  </rv>
  <rv s="2">
    <v>6</v>
    <v>https://www.bing.com/th?id=AMMS_6b44569cfe3c8fc5a2c1d23d7f78f2b3&amp;qlt=95</v>
    <v>121</v>
    <v>0</v>
    <v>https://www.bing.com/images/search?form=xlimg&amp;q=martin+marietta+materials</v>
    <v>Image of MARTIN MARIETTA MATERIALS, INC.</v>
  </rv>
  <rv s="0">
    <v>https://www.bing.com/financeapi/forcetrigger?t=a1xp2w&amp;q=XNYS%3aMLM&amp;form=skydnc</v>
    <v>Learn more on Bing</v>
  </rv>
  <rv s="3">
    <v>0</v>
    <v>MARTIN MARIETTA MATERIALS, INC. (XNYS:MLM)</v>
    <v>3</v>
    <v>4</v>
    <v>Finance</v>
    <v>5</v>
    <v>en-US</v>
    <v>a1xp2w</v>
    <v>268435456</v>
    <v>1</v>
    <v>Powered by Refinitiv</v>
    <v>391.76</v>
    <v>201.04</v>
    <v>0.62780000000000002</v>
    <v>2.42</v>
    <v>6.4129999999999994E-3</v>
    <v>USD</v>
    <v>Martin Marietta Materials, Inc. is a supplier of aggregates products (crushed stone, sand, and gravel) used for the construction of infrastructure, nonresidential, and residential projects. Aggregates products are also used for railroad ballast and in agricultural, utility and environmental applications. The Company's Aggregates business operates through three segments: the Mid-America Group, Southeast Group and West Group. The Company's business is categorized into Aggregates Business, Cement Business and Magnesia Specialties Business. Its Cement business is reported through the Cement segment. Its Magnesia Specialties business manufactures and markets magnesia-based chemical products used in industrial, agricultural, and environmental applications, and dolomitic lime sold to customers in the steel industry. Its Cement business produces Portland and specialty cements. It manufactures and markets, through its Magnesia Specialties business, magnesia-based chemical products.</v>
    <v>8700</v>
    <v>New York Stock Exchange</v>
    <v>XNYS</v>
    <v>XNYS</v>
    <v>2710 Wycliff Rd, RALEIGH, NC, 27607-3033 US</v>
    <v>381.19</v>
    <v>122</v>
    <v>Construction Materials</v>
    <v>Stock</v>
    <v>44426.633025265626</v>
    <v>123</v>
    <v>374.16500000000002</v>
    <v>23690909934</v>
    <v>MARTIN MARIETTA MATERIALS, INC.</v>
    <v>MARTIN MARIETTA MATERIALS, INC.</v>
    <v>376.19</v>
    <v>30.688700000000001</v>
    <v>377.38</v>
    <v>379.8</v>
    <v>62377330</v>
    <v>MLM</v>
    <v>MARTIN MARIETTA MATERIALS, INC. (XNYS:MLM)</v>
    <v>52232</v>
    <v>332776</v>
    <v>1993</v>
  </rv>
  <rv s="4">
    <v>124</v>
  </rv>
  <rv s="0">
    <v>https://www.bing.com/financeapi/forcetrigger?t=a1ythw&amp;q=XNYS%3aNUE&amp;form=skydnc</v>
    <v>Learn more on Bing</v>
  </rv>
  <rv s="5">
    <v>7</v>
    <v>NUCOR CORPORATION (XNYS:NUE)</v>
    <v>8</v>
    <v>9</v>
    <v>Finance</v>
    <v>5</v>
    <v>en-US</v>
    <v>a1ythw</v>
    <v>268435456</v>
    <v>1</v>
    <v>Powered by Refinitiv</v>
    <v>128.81</v>
    <v>44.05</v>
    <v>1.3815</v>
    <v>3.53</v>
    <v>2.9522E-2</v>
    <v>USD</v>
    <v>Nucor Corporation is a United States-based steel products company. The Company is a manufacturer of steel and steel products. It produces direct reduced iron (DRI) for use in its steel mills. The Company also processes ferrous and nonferrous metals and brokers ferrous and nonferrous metals, pig iron, hot briquetted iron (HBI). It manufactures a range of steel products, including concrete reinforcing bars, hot-rolled bars, rounds, light shapes, structural angles, channels, wire rod and highway products in carbon and alloy steels. The Company also produces hot-rolled, cold-rolled and galvanized sheet steel to customers’ specifications.</v>
    <v>26400</v>
    <v>New York Stock Exchange</v>
    <v>XNYS</v>
    <v>XNYS</v>
    <v>1915 REXFORD RD, CHARLOTTE, NC, 28211-3465 US</v>
    <v>123.21</v>
    <v>Metals &amp; Mining</v>
    <v>Stock</v>
    <v>44426.633080740627</v>
    <v>126</v>
    <v>117.90009999999999</v>
    <v>36153792950</v>
    <v>NUCOR CORPORATION</v>
    <v>NUCOR CORPORATION</v>
    <v>118.52</v>
    <v>11.817500000000001</v>
    <v>119.57</v>
    <v>123.1</v>
    <v>293694500</v>
    <v>NUE</v>
    <v>NUCOR CORPORATION (XNYS:NUE)</v>
    <v>1195470</v>
    <v>3758173</v>
    <v>1958</v>
  </rv>
  <rv s="4">
    <v>127</v>
  </rv>
  <rv s="0">
    <v>https://www.bing.com/financeapi/forcetrigger?t=a22mp2&amp;q=XNAS%3aSCHN&amp;form=skydnc</v>
    <v>Learn more on Bing</v>
  </rv>
  <rv s="5">
    <v>7</v>
    <v>SCHNITZER STEEL INDUSTRIES, INC. (XNAS:SCHN)</v>
    <v>8</v>
    <v>9</v>
    <v>Finance</v>
    <v>5</v>
    <v>en-US</v>
    <v>a22mp2</v>
    <v>268435456</v>
    <v>1</v>
    <v>Powered by Refinitiv</v>
    <v>59.344900000000003</v>
    <v>18.61</v>
    <v>1.391</v>
    <v>1.3</v>
    <v>2.4723999999999999E-2</v>
    <v>USD</v>
    <v>Schnitzer Steel Industries, Inc. is a recycler of ferrous and nonferrous scrap metal, including end-of-life vehicles, and a manufacturer of finished steel products. The Company operates through two segments: the Auto and Metals Recycling (AMR) business and the Steel Manufacturing Business (SMB). The AMR segment collects and recycles auto bodies, rail cars, home appliances, industrial machinery, manufacturing scrap and construction and demolition scrap from bridges, buildings and other infrastructure. AMR's primary products include recycled ferrous and nonferrous scrap metal. The SMB segment produces finished steel products such as rebar, wire rod, coiled rebar, merchant bar and other specialty products using 100% recycled metal sourced from AMR. SMB's products are primarily used in nonresidential and infrastructure construction in North America. SMB operates a steel mini-mill in McMinnville, Oregon that produces finished steel products using recycled metal and other raw materials.</v>
    <v>3032</v>
    <v>Nasdaq Stock Market</v>
    <v>XNAS</v>
    <v>XNAS</v>
    <v>299 SW Clay St, PORTLAND, OR, 97201-5819 US</v>
    <v>54.0015</v>
    <v>Metals &amp; Mining</v>
    <v>Stock</v>
    <v>44426.632697430468</v>
    <v>129</v>
    <v>52.1601</v>
    <v>1482971029</v>
    <v>SCHNITZER STEEL INDUSTRIES, INC.</v>
    <v>SCHNITZER STEEL INDUSTRIES, INC.</v>
    <v>52.38</v>
    <v>12.103400000000001</v>
    <v>52.58</v>
    <v>53.88</v>
    <v>27523590</v>
    <v>SCHN</v>
    <v>SCHNITZER STEEL INDUSTRIES, INC. (XNAS:SCHN)</v>
    <v>39203</v>
    <v>289883</v>
    <v>1946</v>
  </rv>
  <rv s="4">
    <v>130</v>
  </rv>
  <rv s="0">
    <v>http://en.wikipedia.org/wiki/Steel_Dynamics</v>
    <v>Wikipedia</v>
  </rv>
  <rv s="1">
    <v>35</v>
    <v>132</v>
  </rv>
  <rv s="2">
    <v>6</v>
    <v>https://www.bing.com/th?id=AMMS_8d203761c16e76dae4999ae18bd56e7b&amp;qlt=95</v>
    <v>133</v>
    <v>0</v>
    <v>https://www.bing.com/images/search?form=xlimg&amp;q=steel+dynamics</v>
    <v>Image of STEEL DYNAMICS, INC.</v>
  </rv>
  <rv s="0">
    <v>https://www.bing.com/financeapi/forcetrigger?t=a23p6h&amp;q=XNAS%3aSTLD&amp;form=skydnc</v>
    <v>Learn more on Bing</v>
  </rv>
  <rv s="3">
    <v>0</v>
    <v>STEEL DYNAMICS, INC. (XNAS:STLD)</v>
    <v>3</v>
    <v>4</v>
    <v>Finance</v>
    <v>10</v>
    <v>en-US</v>
    <v>a23p6h</v>
    <v>268435456</v>
    <v>1</v>
    <v>Powered by Refinitiv</v>
    <v>74.37</v>
    <v>28.310500000000001</v>
    <v>1.4487000000000001</v>
    <v>1.65</v>
    <v>2.3958E-2</v>
    <v>USD</v>
    <v>Steel Dynamics, Inc. is a steel producing and a metal recycling company. The Company is engaged in the manufacture and sale of steel products, processing and sale of recycled ferrous and nonferrous metals, and fabrication and sale of steel joists and deck products. Its segments include steel operations, metals recycling operations, steel fabrication operations and Other Operations. It offers a range of steel products, such as sheet products, long products and steel finishing. The steel operations segment includes Butler Flat Roll Division, Columbus Flat Roll Division, The Techs galvanizing lines, Structural and Rail Division, Engineered Bar Products Division, Roanoke Bar Division, Steel of West Virginia and Iron Dynamics. The metals recycling operations segment consists of OmniSource Corporation. The fabrication operations produce steel building components. The Other Operations segment consists of subsidiary operations and smaller joint ventures.</v>
    <v>9625</v>
    <v>Nasdaq Stock Market</v>
    <v>XNAS</v>
    <v>XNAS</v>
    <v>7575 W JEFFERSON BLVD, FORT WAYNE, IN, 46804-4131 US</v>
    <v>70.73</v>
    <v>134</v>
    <v>Metals &amp; Mining</v>
    <v>Stock</v>
    <v>44426.622645601565</v>
    <v>135</v>
    <v>67.900000000000006</v>
    <v>14394112228</v>
    <v>STEEL DYNAMICS, INC.</v>
    <v>STEEL DYNAMICS, INC.</v>
    <v>68.17</v>
    <v>10.262</v>
    <v>68.87</v>
    <v>70.52</v>
    <v>204113900</v>
    <v>STLD</v>
    <v>STEEL DYNAMICS, INC. (XNAS:STLD)</v>
    <v>513307</v>
    <v>2172658</v>
    <v>1994</v>
  </rv>
  <rv s="4">
    <v>136</v>
  </rv>
  <rv s="0">
    <v>https://www.bing.com/financeapi/forcetrigger?t=a23s4c&amp;q=XNYS%3aSUM&amp;form=skydnc</v>
    <v>Learn more on Bing</v>
  </rv>
  <rv s="5">
    <v>7</v>
    <v>SUMMIT MATERIALS, INC. (XNYS:SUM)</v>
    <v>8</v>
    <v>9</v>
    <v>Finance</v>
    <v>10</v>
    <v>en-US</v>
    <v>a23s4c</v>
    <v>268435456</v>
    <v>1</v>
    <v>Powered by Refinitiv</v>
    <v>37.125</v>
    <v>14.6</v>
    <v>1.2894000000000001</v>
    <v>0.245</v>
    <v>7.2040000000000003E-3</v>
    <v>USD</v>
    <v>Summit Materials, Inc. is a construction materials company. The Company operates through three segments: West, East and Cement. As of December 31, 2016, the Company had operations in 21 states in the United States and in British Columbia, Canada. The Company's materials include aggregates, which it supplies across the United States, and in British Columbia, Canada, and cement, which it supplies along the Mississippi River from Minneapolis to New Orleans. Within its markets, it offers construction materials and related downstream products through its vertical integration. In addition to supplying of aggregates to its customers, the Company also uses its materials internally to produce ready-mix concrete and asphalt paving mix. Its construction materials operations consists of aggregates production, including crushed stone and construction sand and gravel, cement and ready-mixed concrete production, and asphalt paving mix production.</v>
    <v>6000</v>
    <v>New York Stock Exchange</v>
    <v>XNYS</v>
    <v>XNYS</v>
    <v>1550 Wynkoop St Fl 3, DENVER, CO, 80202-1383 US</v>
    <v>34.35</v>
    <v>Construction Materials</v>
    <v>Stock</v>
    <v>44426.622465566405</v>
    <v>138</v>
    <v>33.380000000000003</v>
    <v>4013906000</v>
    <v>SUMMIT MATERIALS, INC.</v>
    <v>SUMMIT MATERIALS, INC.</v>
    <v>33.909999999999997</v>
    <v>24.661200000000001</v>
    <v>34.01</v>
    <v>34.255000000000003</v>
    <v>118021300</v>
    <v>SUM</v>
    <v>SUMMIT MATERIALS, INC. (XNYS:SUM)</v>
    <v>139629</v>
    <v>717830</v>
    <v>2014</v>
  </rv>
  <rv s="4">
    <v>139</v>
  </rv>
  <rv s="0">
    <v>https://www.bing.com/financeapi/forcetrigger?t=a251xm&amp;q=XNAS%3aUSCR&amp;form=skydnc</v>
    <v>Learn more on Bing</v>
  </rv>
  <rv s="5">
    <v>7</v>
    <v>U.S. CONCRETE, INC. (XNAS:USCR)</v>
    <v>8</v>
    <v>9</v>
    <v>Finance</v>
    <v>5</v>
    <v>en-US</v>
    <v>a251xm</v>
    <v>268435456</v>
    <v>1</v>
    <v>Powered by Refinitiv</v>
    <v>78.989900000000006</v>
    <v>25.12</v>
    <v>1.3419000000000001</v>
    <v>-0.01</v>
    <v>-1.384E-4</v>
    <v>USD</v>
    <v>U.S. Concrete, Inc. is a producer of ready-mixed concrete in select geographic markets in the United States. The Company conducts its operations through two business segments: ready-mixed concrete and aggregate products. The ready-mixed concrete segment engages principally in the formulation, production and delivery of ready-mixed concrete to its customers' job sites. The aggregate products segment produces crushed stone, sand and gravel. The Company' other products include its building materials stores, hauling operations, aggregates distribution terminals, lime slurry, brokered product sales, a recycled aggregates operation, and concrete blocks. The Company also offers the ARIDUS Rapid Drying Concrete technology. As of December 20, 2017, the Company operated 165 standard ready-mixed concrete plants, 17 volumetric ready-mixed concrete plants, 18 producing aggregates facilities, three aggregates distribution terminals, two lime slurry facilities, and one recycled aggregates facility.</v>
    <v>631</v>
    <v>Nasdaq Stock Market</v>
    <v>XNAS</v>
    <v>XNAS</v>
    <v>331 N Main St, EULESS, TX, 76039-3636 US</v>
    <v>72.3</v>
    <v>Construction Materials</v>
    <v>Stock</v>
    <v>44426.631167603904</v>
    <v>141</v>
    <v>72.150000000000006</v>
    <v>1238600711</v>
    <v>U.S. CONCRETE, INC.</v>
    <v>U.S. CONCRETE, INC.</v>
    <v>72.150000000000006</v>
    <v>59.528100000000002</v>
    <v>72.27</v>
    <v>72.260000000000005</v>
    <v>17140890</v>
    <v>USCR</v>
    <v>U.S. CONCRETE, INC. (XNAS:USCR)</v>
    <v>59956</v>
    <v>277015</v>
    <v>1997</v>
  </rv>
  <rv s="4">
    <v>142</v>
  </rv>
  <rv s="0">
    <v>https://www.bing.com/financeapi/forcetrigger?t=a25f6h&amp;q=XNYS%3aVMC&amp;form=skydnc</v>
    <v>Learn more on Bing</v>
  </rv>
  <rv s="5">
    <v>7</v>
    <v>VULCAN MATERIALS COMPANY (XNYS:VMC)</v>
    <v>8</v>
    <v>9</v>
    <v>Finance</v>
    <v>10</v>
    <v>en-US</v>
    <v>a25f6h</v>
    <v>268435456</v>
    <v>1</v>
    <v>Powered by Refinitiv</v>
    <v>194.17</v>
    <v>119.28</v>
    <v>0.57150000000000001</v>
    <v>1.02</v>
    <v>5.5079999999999999E-3</v>
    <v>USD</v>
    <v>Vulcan Materials Company is a supplier of construction aggregates (primarily crushed stone, sand and gravel) and a producer of asphalt mix and ready-mixed concrete. The Company operates through four segments: Aggregates, Asphalt Mix, Concrete and Calcium. The Aggregates segment produces and sells aggregates (crushed stone, sand and gravel, sand, and other aggregates) and related products and services (transportation and other). The Company produces and sells asphalt mix in Arizona, California, New Mexico and Texas. The Company produces and sells ready-mixed concrete in Georgia, Maryland, New Mexico, Texas, Virginia, Washington District of Columbia and the Bahamas. The Calcium segment consists of a Florida facility that mines, produces and sells calcium products. As of December 31, 2016, it had 337 active aggregates facilities. The Company sells aggregates that are used as ballast for construction and maintenance of railroad tracks.</v>
    <v>8431</v>
    <v>New York Stock Exchange</v>
    <v>XNYS</v>
    <v>XNYS</v>
    <v>1200 Urban Center Dr, BIRMINGHAM, AL, 35242-2545 US</v>
    <v>186.93</v>
    <v>Construction Materials</v>
    <v>Stock</v>
    <v>44426.622618344532</v>
    <v>144</v>
    <v>183.00190000000001</v>
    <v>24707353026</v>
    <v>VULCAN MATERIALS COMPANY</v>
    <v>VULCAN MATERIALS COMPANY</v>
    <v>184.62</v>
    <v>36.573399999999999</v>
    <v>185.2</v>
    <v>186.22</v>
    <v>132678300</v>
    <v>VMC</v>
    <v>VULCAN MATERIALS COMPANY (XNYS:VMC)</v>
    <v>98220</v>
    <v>753106</v>
    <v>2007</v>
  </rv>
  <rv s="4">
    <v>145</v>
  </rv>
  <rv s="0">
    <v>https://www.bing.com/financeapi/forcetrigger?t=bokdz2&amp;q=XNAS%3aATCX&amp;form=skydnc</v>
    <v>Learn more on Bing</v>
  </rv>
  <rv s="8">
    <v>19</v>
    <v>ATLAS TECHNICAL CONSULTANTS, INC. (XNAS:ATCX)</v>
    <v>8</v>
    <v>20</v>
    <v>Finance</v>
    <v>5</v>
    <v>en-US</v>
    <v>bokdz2</v>
    <v>268435456</v>
    <v>1</v>
    <v>Powered by Refinitiv</v>
    <v>15.4</v>
    <v>4.95</v>
    <v>-0.11</v>
    <v>-1.0233000000000001E-2</v>
    <v>USD</v>
    <v>Atlas Technical Consultants Inc, formerly Boxwood Merger Corp, is a provider of testing, inspection engineering and consulting services. The Company provides a range of technical services, enabling its clients to test, inspect, plan, design, certify and manage a wide variety of projects. It also operates as an advisor, enabling its clients in designing, engineering, inspecting, managing and maintaining civil and commercial infrastructure, servicing existing structures as well as helping to build new structures. The Company provides solutions to public and private sector clients in the transportation, commercial, water, government, education and industrial markets.</v>
    <v>3200</v>
    <v>Nasdaq Stock Market</v>
    <v>XNAS</v>
    <v>XNAS</v>
    <v>13215 Bee Cave Parkway, Building B, Suite 230, AUSTIN, TX, 78738 US</v>
    <v>10.8</v>
    <v>Construction &amp; Engineering</v>
    <v>Stock</v>
    <v>44426.632967580466</v>
    <v>147</v>
    <v>10.47</v>
    <v>393396018</v>
    <v>ATLAS TECHNICAL CONSULTANTS, INC.</v>
    <v>ATLAS TECHNICAL CONSULTANTS, INC.</v>
    <v>10.77</v>
    <v>10.75</v>
    <v>10.64</v>
    <v>36973310</v>
    <v>ATCX</v>
    <v>ATLAS TECHNICAL CONSULTANTS, INC. (XNAS:ATCX)</v>
    <v>201015</v>
    <v>473836</v>
    <v>2017</v>
  </rv>
  <rv s="4">
    <v>148</v>
  </rv>
  <rv s="0">
    <v>http://en.wikipedia.org/wiki/Flowserve</v>
    <v>Wikipedia</v>
  </rv>
  <rv s="1">
    <v>35</v>
    <v>150</v>
  </rv>
  <rv s="2">
    <v>6</v>
    <v>https://www.bing.com/th?id=AMMS_d8840a421ddd8ea89b1b44a1b103b49a&amp;qlt=95</v>
    <v>151</v>
    <v>0</v>
    <v>https://www.bing.com/images/search?form=xlimg&amp;q=flowserve</v>
    <v>Image of FLOWSERVE CORPORATION</v>
  </rv>
  <rv s="0">
    <v>https://www.bing.com/financeapi/forcetrigger?t=a1t34c&amp;q=XNYS%3aFLS&amp;form=skydnc</v>
    <v>Learn more on Bing</v>
  </rv>
  <rv s="3">
    <v>0</v>
    <v>FLOWSERVE CORPORATION (XNYS:FLS)</v>
    <v>3</v>
    <v>4</v>
    <v>Finance</v>
    <v>5</v>
    <v>en-US</v>
    <v>a1t34c</v>
    <v>268435456</v>
    <v>1</v>
    <v>Powered by Refinitiv</v>
    <v>44.39</v>
    <v>25.87</v>
    <v>1.7855000000000001</v>
    <v>0.01</v>
    <v>2.5499999999999996E-4</v>
    <v>USD</v>
    <v>Flowserve Corporation is a manufacturer and aftermarket service provider of flow control systems. The Company's segments include Engineered Product Division, Industrial Product Division and Flow Control Division. Its geographic segments include North America, Europe, Asia Pacific, Middle East and Africa, and Latin America. It develops and manufactures precision-engineered flow control equipment integral to the movement, control and protection of the flow of materials in its customer's critical processes. Its product portfolio of pumps, valves, seals, automation and aftermarket services supports infrastructure industries, including oil and gas, chemical, power generation and water management. It offers aftermarket equipment services, such as installation, diagnostics, repair and retrofitting through manufacturing platform and network of Quick Response Centers. Its products include oil and gas, general industries, chemical, power generation and water management.</v>
    <v>15000</v>
    <v>New York Stock Exchange</v>
    <v>XNYS</v>
    <v>XNYS</v>
    <v>5215 N. O'connor Blvd., Suite 700, IRVING, TX, 75039 US</v>
    <v>39.33</v>
    <v>152</v>
    <v>Machinery, Equipment &amp; Components</v>
    <v>Stock</v>
    <v>44426.632955786721</v>
    <v>153</v>
    <v>38.96</v>
    <v>5110209644</v>
    <v>FLOWSERVE CORPORATION</v>
    <v>FLOWSERVE CORPORATION</v>
    <v>39.020000000000003</v>
    <v>30.684999999999999</v>
    <v>39.22</v>
    <v>39.229999999999997</v>
    <v>130262800</v>
    <v>FLS</v>
    <v>FLOWSERVE CORPORATION (XNYS:FLS)</v>
    <v>98514</v>
    <v>688834</v>
    <v>1912</v>
  </rv>
  <rv s="4">
    <v>154</v>
  </rv>
  <rv s="0">
    <v>https://www.bing.com/financeapi/forcetrigger?t=a1u65r&amp;q=XNYS%3aGRC&amp;form=skydnc</v>
    <v>Learn more on Bing</v>
  </rv>
  <rv s="5">
    <v>7</v>
    <v>THE GORMAN- RUPP COMPANY (XNYS:GRC)</v>
    <v>8</v>
    <v>9</v>
    <v>Finance</v>
    <v>5</v>
    <v>en-US</v>
    <v>a1u65r</v>
    <v>268435456</v>
    <v>1</v>
    <v>Powered by Refinitiv</v>
    <v>37.369999999999997</v>
    <v>29</v>
    <v>0.54620000000000002</v>
    <v>0.33</v>
    <v>9.3830000000000007E-3</v>
    <v>USD</v>
    <v>Gorman-Rupp Co designs, manufactures and sells pumps and pump systems for use in water, wastewater, construction, dewatering, industrial, petroleum, original equipment, agriculture, fire protection, heating, ventilating and air conditioning (HVAC), military and other liquid-handling applications. Its product line consists of pump models ranging in size from 1/4 inch to nearly 15 feet and ranging in rated capacity from less than one gallon per minute to nearly one million gallons per minute. The types of pumps which the Company produces include self-priming centrifugal, standard centrifugal, magnetic drive centrifugal, axial and mixed-flow, vertical turbine line shaft, submersible, high-pressure booster, rotary gear, diaphragm, bellows and oscillating. Its pumps have drives that range from 1/35 horsepower electric motors up to much larger electric motors or internal combustion engines capable of producing several thousand horsepower.</v>
    <v>1150</v>
    <v>New York Stock Exchange</v>
    <v>XNYS</v>
    <v>XNYS</v>
    <v>PO Box 1217, 600 S Airport Rd, MANSFIELD, OH, 44901-1217 US</v>
    <v>35.5</v>
    <v>Machinery, Equipment &amp; Components</v>
    <v>Stock</v>
    <v>44426.627829258592</v>
    <v>156</v>
    <v>34.729999999999997</v>
    <v>927495720</v>
    <v>THE GORMAN- RUPP COMPANY</v>
    <v>THE GORMAN- RUPP COMPANY</v>
    <v>34.965000000000003</v>
    <v>32.111400000000003</v>
    <v>35.17</v>
    <v>35.5</v>
    <v>26126640</v>
    <v>GRC</v>
    <v>THE GORMAN- RUPP COMPANY (XNYS:GRC)</v>
    <v>2426</v>
    <v>34739</v>
    <v>1934</v>
  </rv>
  <rv s="4">
    <v>157</v>
  </rv>
  <rv s="0">
    <v>https://www.bing.com/financeapi/forcetrigger?t=a1vc52&amp;q=XNYS%3aIEX&amp;form=skydnc</v>
    <v>Learn more on Bing</v>
  </rv>
  <rv s="5">
    <v>7</v>
    <v>IDEX CORPORATION (XNYS:IEX)</v>
    <v>8</v>
    <v>9</v>
    <v>Finance</v>
    <v>10</v>
    <v>en-US</v>
    <v>a1vc52</v>
    <v>268435456</v>
    <v>1</v>
    <v>Powered by Refinitiv</v>
    <v>235.76</v>
    <v>166.51</v>
    <v>1.0772999999999999</v>
    <v>-2.7</v>
    <v>-1.2068000000000001E-2</v>
    <v>USD</v>
    <v>IDEX Corporation (IDEX) operates an applied solutions business that sells pumps, flow meters and other fluidics systems, and components and engineered products. It segments includes Fluid &amp; Metering Technologies (FMT), Health &amp; Science Technologies (HST) and Fire &amp; Safety/Diversified Products (FSDP). Its FMT segment provides flow monitoring and other services for the food, chemical, water and wastewater, agricultural and energy industries. The HST segment designs and distributes precision fluidics, rotary lobe pumps, roll compaction and drying systems. Its FSDP segment produces firefighting pumps and controls, rescue tools, lifting bags and other components and systems; engineered stainless steel banding and clamping devices, and precision equipment. Its Fire &amp; Safety platform provides Hurst Jaws of Life, which manufactures the rescue tools. It also designs and manufactures pumps for a variety of markets, including mining, marine, power, water, wastewater and other general industries.</v>
    <v>7075</v>
    <v>New York Stock Exchange</v>
    <v>XNYS</v>
    <v>XNYS</v>
    <v>3100 Sanders Road, Suite 301, NORTHBROOK, IL, 60062 US</v>
    <v>222.75</v>
    <v>Machinery, Equipment &amp; Components</v>
    <v>Stock</v>
    <v>44426.622611376566</v>
    <v>159</v>
    <v>221.03</v>
    <v>16797868884</v>
    <v>IDEX CORPORATION</v>
    <v>IDEX CORPORATION</v>
    <v>222.75</v>
    <v>40.759099999999997</v>
    <v>223.73</v>
    <v>221.03</v>
    <v>75998140</v>
    <v>IEX</v>
    <v>IDEX CORPORATION (XNYS:IEX)</v>
    <v>34748</v>
    <v>368744</v>
    <v>1987</v>
  </rv>
  <rv s="4">
    <v>160</v>
  </rv>
  <rv s="0">
    <v>https://www.bing.com/financeapi/forcetrigger?t=bv2xh7&amp;q=XNYS%3aMEG&amp;form=skydnc</v>
    <v>Learn more on Bing</v>
  </rv>
  <rv s="9">
    <v>21</v>
    <v>MONTROSE ENVIRONMENTAL GROUP, INC. (XNYS:MEG)</v>
    <v>8</v>
    <v>22</v>
    <v>Finance</v>
    <v>5</v>
    <v>en-US</v>
    <v>bv2xh7</v>
    <v>268435456</v>
    <v>1</v>
    <v>Powered by Refinitiv</v>
    <v>59.62</v>
    <v>21.98</v>
    <v>0.5</v>
    <v>1.1096E-2</v>
    <v>USD</v>
    <v>Montrose Environmental Group, Inc. is an environmental service providing company. The Company operates in three business segments: Assessment, Permitting and Response; Measurement and Analysis; and Remediation and Reuse. Its Assessment, Permitting and Response segment, provides scientific advisory and consulting services to support environmental assessments, environmental emergency response and environmental audits and permits for operations, facility upgrades, new projects, decommissioning projects and development projects. Its Measurement and Analysis segment, tests and analyzes air, water, soil, and polyfluoroalkyl substances to determine concentrations of contaminants and toxicological impact of contaminants on flora, fauna and human health. Its Remediation and Reuse segment, provides clients with engineering, design, implementation and operations and maintenance services, primarily to treat contaminated water, remove contaminants from soil or create biogas from agricultural waste.</v>
    <v>2000</v>
    <v>New York Stock Exchange</v>
    <v>XNYS</v>
    <v>XNYS</v>
    <v>1 Park Plz Ste 1000, IRVINE, CA, 92614 US</v>
    <v>45.805</v>
    <v>Professional &amp; Commercial Services</v>
    <v>Stock</v>
    <v>44426.631974999997</v>
    <v>162</v>
    <v>44.35</v>
    <v>1193643752</v>
    <v>MONTROSE ENVIRONMENTAL GROUP, INC.</v>
    <v>MONTROSE ENVIRONMENTAL GROUP, INC.</v>
    <v>44.7</v>
    <v>0</v>
    <v>45.06</v>
    <v>45.56</v>
    <v>26199380</v>
    <v>MEG</v>
    <v>MONTROSE ENVIRONMENTAL GROUP, INC. (XNYS:MEG)</v>
    <v>14987</v>
    <v>134752</v>
  </rv>
  <rv s="4">
    <v>163</v>
  </rv>
  <rv s="0">
    <v>https://www.bing.com/financeapi/forcetrigger?t=a24llh&amp;q=XNAS%3aTTEK&amp;form=skydnc</v>
    <v>Learn more on Bing</v>
  </rv>
  <rv s="5">
    <v>7</v>
    <v>TETRA TECH, INC. (XNAS:TTEK)</v>
    <v>8</v>
    <v>9</v>
    <v>Finance</v>
    <v>5</v>
    <v>en-US</v>
    <v>a24llh</v>
    <v>268435456</v>
    <v>1</v>
    <v>Powered by Refinitiv</v>
    <v>144.77000000000001</v>
    <v>85.91</v>
    <v>0.81410000000000005</v>
    <v>-0.84</v>
    <v>-6.1329999999999996E-3</v>
    <v>USD</v>
    <v>Tetra Tech, Inc. is a provider of consulting, engineering, program management, construction management, and technical services. The Company's segments include Water, Environment and Infrastructure (WEI), Resource Management and Energy (RME), and Remediation and Construction Management (RCM). The WEI segment provides consulting and engineering services. The RME segment provides consulting and engineering services across the world for a range of resource management and energy needs. The Company includes wind-down of its non-core construction activities in the RCM segment. Its solutions span the entire life cycle of consulting and engineering projects and include applied science, research and technology, engineering, design, construction management, operations and maintenance, and information technology. It provides its services to a diverse base of international, the United States commercial, the United Sates federal clients.</v>
    <v>20000</v>
    <v>Nasdaq Stock Market</v>
    <v>XNAS</v>
    <v>XNAS</v>
    <v>3475 E Foothill Blvd, PASADENA, CA, 91107-6024 US</v>
    <v>137.66</v>
    <v>Professional &amp; Commercial Services</v>
    <v>Stock</v>
    <v>44426.633036041407</v>
    <v>165</v>
    <v>135.47999999999999</v>
    <v>7360709733</v>
    <v>TETRA TECH, INC.</v>
    <v>TETRA TECH, INC.</v>
    <v>136.28</v>
    <v>38.4908</v>
    <v>136.97</v>
    <v>136.13</v>
    <v>54071180</v>
    <v>TTEK</v>
    <v>TETRA TECH, INC. (XNAS:TTEK)</v>
    <v>28911</v>
    <v>192717</v>
    <v>1988</v>
  </rv>
  <rv s="4">
    <v>166</v>
  </rv>
  <rv s="0">
    <v>http://it.wikipedia.org/wiki/Xylem</v>
    <v>Wikipedia</v>
  </rv>
  <rv s="1">
    <v>35</v>
    <v>168</v>
  </rv>
  <rv s="2">
    <v>6</v>
    <v>https://www.bing.com/th?id=AMMS_194dfb417dc91827c78dedaac6a7e6f1&amp;qlt=95</v>
    <v>169</v>
    <v>0</v>
    <v>https://www.bing.com/images/search?form=xlimg&amp;q=xylem+inc.</v>
    <v>Image of XYLEM INC.</v>
  </rv>
  <rv s="0">
    <v>https://www.bing.com/financeapi/forcetrigger?t=a26c9c&amp;q=XNYS%3aXYL&amp;form=skydnc</v>
    <v>Learn more on Bing</v>
  </rv>
  <rv s="3">
    <v>0</v>
    <v>XYLEM INC. (XNYS:XYL)</v>
    <v>3</v>
    <v>4</v>
    <v>Finance</v>
    <v>5</v>
    <v>en-US</v>
    <v>a26c9c</v>
    <v>268435456</v>
    <v>1</v>
    <v>Powered by Refinitiv</v>
    <v>132.97</v>
    <v>78.405000000000001</v>
    <v>1.0255000000000001</v>
    <v>-1.2549999999999999</v>
    <v>-9.5220000000000009E-3</v>
    <v>USD</v>
    <v>Xylem Inc. is a water technology company. The Company designs, manufactures and services engineered solutions across a range of critical applications. It is an equipment and service provider for water and wastewater applications with a portfolio of products and services addressing the cycle of water, from collection, distribution and use to the return of water to the environment. The Company operates through three segments: Water Infrastructure, Applied Water, and Measurement &amp; Control Solutions. The Water Infrastructure segment focuses on the transportation and treatment of water, offering a range of products including water, wastewater and storm water pumps, treatment equipment, and controls and systems. The Applied Water segment serves the uses of water and focuses on the residential, commercial and industrial markets. The Measurement &amp; Control Solutions segment develops advanced technology solutions that enables the use and conservation of critical water and energy resources.</v>
    <v>16700</v>
    <v>New York Stock Exchange</v>
    <v>XNYS</v>
    <v>XNYS</v>
    <v>1 International Dr, RYE BROOK, NY, 10573 US</v>
    <v>131.68</v>
    <v>170</v>
    <v>Machinery, Equipment &amp; Components</v>
    <v>Stock</v>
    <v>44426.632824166409</v>
    <v>171</v>
    <v>130.49</v>
    <v>23519378834</v>
    <v>XYLEM INC.</v>
    <v>XYLEM INC.</v>
    <v>131.25</v>
    <v>62.084299999999999</v>
    <v>131.80000000000001</v>
    <v>130.54499999999999</v>
    <v>180163000</v>
    <v>XYL</v>
    <v>XYLEM INC. (XNYS:XYL)</v>
    <v>202936</v>
    <v>729136</v>
    <v>2011</v>
  </rv>
  <rv s="4">
    <v>172</v>
  </rv>
  <rv s="0">
    <v>https://www.bing.com/financeapi/forcetrigger?t=bpvgyc&amp;q=XNYS%3aALTG&amp;form=skydnc</v>
    <v>Learn more on Bing</v>
  </rv>
  <rv s="10">
    <v>23</v>
    <v>ALTA EQUIPMENT GROUP INC. (XNYS:ALTG)</v>
    <v>8</v>
    <v>24</v>
    <v>Finance</v>
    <v>5</v>
    <v>en-US</v>
    <v>bpvgyc</v>
    <v>268435456</v>
    <v>1</v>
    <v>Powered by Refinitiv</v>
    <v>15.33</v>
    <v>7.26</v>
    <v>0</v>
    <v>0</v>
    <v>USD</v>
    <v>Alta Equipment Group Inc., formerly B. Riley Principal Merger Corp., is a provider of industrial and construction equipment and related services. The Company owns and operates integrated equipment dealership platforms in the United States. Through its branch network, the Company sells, rents, and provides parts and service support for specialized equipment, including lift trucks and aerial work platforms, cranes, earthmoving equipment and other industrial and construction equipment. The Company operates in locations such as Michigan, Illinois, Indiana, New England, New York and Florida.</v>
    <v>2000</v>
    <v>New York Stock Exchange</v>
    <v>XNYS</v>
    <v>XNYS</v>
    <v>13211 Merriman Road, LIVONIA, MI, 48150 US</v>
    <v>12.53</v>
    <v>Machinery, Equipment &amp; Components</v>
    <v>Stock</v>
    <v>44426.628209247654</v>
    <v>174</v>
    <v>12.21</v>
    <v>404542250</v>
    <v>ALTA EQUIPMENT GROUP INC.</v>
    <v>ALTA EQUIPMENT GROUP INC.</v>
    <v>12.36</v>
    <v>0</v>
    <v>12.5</v>
    <v>12.5</v>
    <v>32363380</v>
    <v>ALTG</v>
    <v>ALTA EQUIPMENT GROUP INC. (XNYS:ALTG)</v>
    <v>4429</v>
    <v>65228</v>
    <v>2018</v>
  </rv>
  <rv s="4">
    <v>175</v>
  </rv>
  <rv s="0">
    <v>http://en.wikipedia.org/wiki/Caterpillar_Inc.</v>
    <v>Wikipedia</v>
  </rv>
  <rv s="1">
    <v>35</v>
    <v>177</v>
  </rv>
  <rv s="2">
    <v>6</v>
    <v>https://www.bing.com/th?id=AMMS_5f946e09982396613622ebabae1bd253&amp;qlt=95</v>
    <v>178</v>
    <v>0</v>
    <v>https://www.bing.com/images/search?form=xlimg&amp;q=caterpillar+inc.</v>
    <v>Image of CATERPILLAR INC.</v>
  </rv>
  <rv s="0">
    <v>https://www.bing.com/financeapi/forcetrigger?t=a1p7zr&amp;q=XNYS%3aCAT&amp;form=skydnc</v>
    <v>Learn more on Bing</v>
  </rv>
  <rv s="3">
    <v>0</v>
    <v>CATERPILLAR INC. (XNYS:CAT)</v>
    <v>3</v>
    <v>4</v>
    <v>Finance</v>
    <v>5</v>
    <v>en-US</v>
    <v>a1p7zr</v>
    <v>268435456</v>
    <v>1</v>
    <v>Powered by Refinitiv</v>
    <v>246.69</v>
    <v>135.65</v>
    <v>0.88949999999999996</v>
    <v>-0.82499999999999996</v>
    <v>-3.8649999999999999E-3</v>
    <v>USD</v>
    <v>Caterpillar Inc. is a manufacturer of construction and mining equipment, diesel and natural gas engines, industrial gas turbines and diesel-electric locomotives. The Company operates through segments, including Construction Industries, which is engaged in supporting customers using machinery in infrastructure, forestry and building construction; Resource Industries, which is engaged in supporting customers using machinery in mining, heavy construction, quarry, waste and material handling applications; Energy &amp; Transportation, which supports customers in oil and gas, power generation, marine, rail and industrial applications, including Cat machines; Financial Products segment, which provides financing and related services, and All Other operating segments, which includes activities, such as product management and development, and manufacturing of filters and fluids, undercarriage, ground engaging tools, fluid transfer products, and sealing and connecting components for Cat products.</v>
    <v>97300</v>
    <v>New York Stock Exchange</v>
    <v>XNYS</v>
    <v>XNYS</v>
    <v>510 Lake Cook Rd Ste 100, DEERFIELD, IL, 60015-4971 US</v>
    <v>213.52500000000001</v>
    <v>179</v>
    <v>Machinery, Equipment &amp; Components</v>
    <v>Stock</v>
    <v>44426.633096307814</v>
    <v>180</v>
    <v>211.92</v>
    <v>116400652972</v>
    <v>CATERPILLAR INC.</v>
    <v>CATERPILLAR INC.</v>
    <v>212.46</v>
    <v>27.269500000000001</v>
    <v>213.44</v>
    <v>212.61500000000001</v>
    <v>547471500</v>
    <v>CAT</v>
    <v>CATERPILLAR INC. (XNYS:CAT)</v>
    <v>657303</v>
    <v>3545886</v>
    <v>1986</v>
  </rv>
  <rv s="4">
    <v>181</v>
  </rv>
  <rv s="0">
    <v>https://www.bing.com/financeapi/forcetrigger?t=a1rbbh&amp;q=XNAS%3aDSKE&amp;form=skydnc</v>
    <v>Learn more on Bing</v>
  </rv>
  <rv s="5">
    <v>7</v>
    <v>DASEKE, INC. (XNAS:DSKE)</v>
    <v>8</v>
    <v>9</v>
    <v>Finance</v>
    <v>5</v>
    <v>en-US</v>
    <v>a1rbbh</v>
    <v>268435456</v>
    <v>1</v>
    <v>Powered by Refinitiv</v>
    <v>10</v>
    <v>4.8</v>
    <v>2.1355</v>
    <v>0.32500000000000001</v>
    <v>3.5135E-2</v>
    <v>USD</v>
    <v>Daseke, Inc. provides transportation and logistics solutions with a focus on flatbed and specialized freight in North America. It operates through two segments: Flatbed Solutions and Specialized Solutions. The Flatbed Solutions segment is focused on delivering transportation and logistics solutions that principally require the use of flatbed and retractable-sided transportation equipment. The Company, through its Specialized Solutions segment transports aircraft parts, manufacturing equipment, structural steel, pressure vessels, wind turbine blades, heavy machinery, commercial glass, high security cargo, arms, ammunition and explosives, lumber, and building and construction materials. It also provides industrial warehousing space. The Company operates a fleet of approximately 6,000 tractors and 13,000 flatbed and specialized trailers.</v>
    <v>4304</v>
    <v>Nasdaq Stock Market</v>
    <v>XNAS</v>
    <v>XNAS</v>
    <v>15455 Dallas Pkwy Ste 550, ADDISON, TX, 75001-6785 US</v>
    <v>9.6</v>
    <v>Freight &amp; Logistics Services</v>
    <v>Stock</v>
    <v>44426.632894837501</v>
    <v>183</v>
    <v>9.0100999999999996</v>
    <v>596749523</v>
    <v>DASEKE, INC.</v>
    <v>DASEKE, INC.</v>
    <v>9.25</v>
    <v>15.363899999999999</v>
    <v>9.25</v>
    <v>9.5749999999999993</v>
    <v>62323710</v>
    <v>DSKE</v>
    <v>DASEKE, INC. (XNAS:DSKE)</v>
    <v>188071</v>
    <v>540650</v>
    <v>2015</v>
  </rv>
  <rv s="4">
    <v>184</v>
  </rv>
  <rv s="0">
    <v>https://www.bing.com/financeapi/forcetrigger?t=a1trr7&amp;q=XNAS%3aGENC&amp;form=skydnc</v>
    <v>Learn more on Bing</v>
  </rv>
  <rv s="5">
    <v>7</v>
    <v>GENCOR INDUSTRIES, INC. (XNAS:GENC)</v>
    <v>8</v>
    <v>9</v>
    <v>Finance</v>
    <v>5</v>
    <v>en-US</v>
    <v>a1trr7</v>
    <v>268435456</v>
    <v>1</v>
    <v>Powered by Refinitiv</v>
    <v>15.75</v>
    <v>10.55</v>
    <v>0.62670000000000003</v>
    <v>0.03</v>
    <v>2.6219999999999998E-3</v>
    <v>USD</v>
    <v>Gencor Industries, Inc. is a manufacturer of heavy machinery used in the production of highway construction materials, synthetic fuels and environmental control equipment. The Company designs, manufactures and sells machinery and related equipment used primarily for the production of asphalt and highway construction materials. Its geographical segments are United States and Other. The Company's principal products include asphalt plants, combustion systems and fluid heat transfer systems. It also manufactures related asphalt plant equipment, including hot mix storage silos, fabric filtration systems, cold feed bins and other plant components. The Company also manufactures soil remediation machinery, as well as combustion systems for rotary dryers, kilns, fume and liquid incinerators and fuel heaters. Its General Combustion subsidiary also manufactures the Hy-Way heat and Beverley lines of thermal fluid heat transfer systems and specialty storage tanks for an array of industry uses.</v>
    <v>316</v>
    <v>Nasdaq Stock Market</v>
    <v>XNAS</v>
    <v>XNAS</v>
    <v>5201 N Orange Blossom Trl, ORLANDO, FL, 32810-1008 US</v>
    <v>11.47</v>
    <v>Machinery, Equipment &amp; Components</v>
    <v>Stock</v>
    <v>44426.626102395312</v>
    <v>186</v>
    <v>11.47</v>
    <v>167659169</v>
    <v>GENCOR INDUSTRIES, INC.</v>
    <v>GENCOR INDUSTRIES, INC.</v>
    <v>11.47</v>
    <v>30.140999999999998</v>
    <v>11.44</v>
    <v>11.47</v>
    <v>14617190</v>
    <v>GENC</v>
    <v>GENCOR INDUSTRIES, INC. (XNAS:GENC)</v>
    <v>45</v>
    <v>22204</v>
    <v>1969</v>
  </rv>
  <rv s="4">
    <v>187</v>
  </rv>
  <rv s="0">
    <v>https://www.bing.com/financeapi/forcetrigger?t=a1ukzr&amp;q=XNAS%3aHEES&amp;form=skydnc</v>
    <v>Learn more on Bing</v>
  </rv>
  <rv s="5">
    <v>7</v>
    <v>H&amp;E EQUIPMENT SERVICES, INC. (XNAS:HEES)</v>
    <v>8</v>
    <v>9</v>
    <v>Finance</v>
    <v>5</v>
    <v>en-US</v>
    <v>a1ukzr</v>
    <v>268435456</v>
    <v>1</v>
    <v>Powered by Refinitiv</v>
    <v>41.85</v>
    <v>17.93</v>
    <v>2.2294999999999998</v>
    <v>0.63</v>
    <v>1.8912999999999999E-2</v>
    <v>USD</v>
    <v>H&amp;E Equipment Services, Inc. is an integrated equipment services company. The Company is focused on heavy construction and industrial equipment. As of December 31, 2016, the Company rented, sold and provided parts and services support for four core categories of specialized equipment: hi-lift or aerial work platform equipment; cranes; earthmoving equipment, and industrial lift trucks. The Company's principal business activities include equipment rentals; new equipment sales; used equipment sales; parts sales, and repair and maintenance services. As of February 16, 2017, the Company had 78 facilities located throughout the West Coast, Intermountain, Southwest, Gulf Coast, Southeast and Mid-Atlantic regions of the United States. The Company rents its heavy construction and industrial equipment to its customers on a daily, weekly and monthly basis. The Company sells new heavy construction and industrial equipment. The Company is a distributor of Grove and Manitowoc crane equipment.</v>
    <v>2254</v>
    <v>Nasdaq Stock Market</v>
    <v>XNAS</v>
    <v>XNAS</v>
    <v>7500 Pecue Ln, BATON ROUGE, LA, 70809-5107 US</v>
    <v>33.99</v>
    <v>Professional &amp; Commercial Services</v>
    <v>Stock</v>
    <v>44426.632956029687</v>
    <v>189</v>
    <v>33.03</v>
    <v>1202245000</v>
    <v>H&amp;E EQUIPMENT SERVICES, INC.</v>
    <v>H&amp;E EQUIPMENT SERVICES, INC.</v>
    <v>33.03</v>
    <v>79.068600000000004</v>
    <v>33.31</v>
    <v>33.94</v>
    <v>36092600</v>
    <v>HEES</v>
    <v>H&amp;E EQUIPMENT SERVICES, INC. (XNAS:HEES)</v>
    <v>17993</v>
    <v>200868</v>
    <v>2005</v>
  </rv>
  <rv s="4">
    <v>190</v>
  </rv>
  <rv s="0">
    <v>https://www.bing.com/financeapi/forcetrigger?t=a1uv52&amp;q=XNYS%3aHRI&amp;form=skydnc</v>
    <v>Learn more on Bing</v>
  </rv>
  <rv s="5">
    <v>7</v>
    <v>HERC HOLDINGS INC. (XNYS:HRI)</v>
    <v>8</v>
    <v>9</v>
    <v>Finance</v>
    <v>5</v>
    <v>en-US</v>
    <v>a1uv52</v>
    <v>268435456</v>
    <v>1</v>
    <v>Powered by Refinitiv</v>
    <v>135.63</v>
    <v>34.950000000000003</v>
    <v>3.0972</v>
    <v>1.0397000000000001</v>
    <v>8.2769999999999996E-3</v>
    <v>USD</v>
    <v>Herc Holdings Inc. is an equipment rental supplier. The Company conducts operations under the Herc Rentals brand in the United States and Canada and under the Hertz Equipment Rental brand in other international locations. The Company sells used equipment and contractor supplies such as construction consumables, tools, small equipment and safety supplies. It provides repair, maintenance and equipment management services and safety training to customers. It also offers equipment re-rental services and provides on-site support and ancillary services. The Company’s fleet includes aerial, earthmoving, material handling, trucks and trailers, air compressors, compaction and lighting. The Company's ProContractor business focuses on professional grade tools and equipment. The Company’s ProSolutions business offers industry-specific solutions-based services, which includes power generation, climate control, remediation and restoration, and studio and production equipment.</v>
    <v>4800</v>
    <v>New York Stock Exchange</v>
    <v>XNYS</v>
    <v>XNYS</v>
    <v>27500 Riverview Center Blvd, BONITA SPRINGS, FL, 34134-4325 US</v>
    <v>127.41</v>
    <v>Professional &amp; Commercial Services</v>
    <v>Stock</v>
    <v>44426.632676145309</v>
    <v>192</v>
    <v>124.325</v>
    <v>3754688668</v>
    <v>HERC HOLDINGS INC.</v>
    <v>HERC HOLDINGS INC.</v>
    <v>124.325</v>
    <v>24.218299999999999</v>
    <v>125.61</v>
    <v>126.6497</v>
    <v>29646250</v>
    <v>HRI</v>
    <v>HERC HOLDINGS INC. (XNYS:HRI)</v>
    <v>24981</v>
    <v>190899</v>
    <v>2005</v>
  </rv>
  <rv s="4">
    <v>193</v>
  </rv>
  <rv s="0">
    <v>https://www.bing.com/financeapi/forcetrigger?t=a1v177&amp;q=XNYS%3aHY&amp;form=skydnc</v>
    <v>Learn more on Bing</v>
  </rv>
  <rv s="5">
    <v>7</v>
    <v>HYSTER-YALE MATERIALS HANDLING, INC. (XNYS:HY)</v>
    <v>8</v>
    <v>9</v>
    <v>Finance</v>
    <v>5</v>
    <v>en-US</v>
    <v>a1v177</v>
    <v>268435456</v>
    <v>1</v>
    <v>Powered by Refinitiv</v>
    <v>102.17</v>
    <v>35.26</v>
    <v>1.1149</v>
    <v>1.87</v>
    <v>3.2230000000000002E-2</v>
    <v>USD</v>
    <v>Hyster-Yale Materials Handling, Inc. is a lift truck manufacturer. The Company designs, engineers, manufactures, sells and services a line of lift trucks, attachments and aftermarket parts marketed globally under the Hyster and Yale brand names, mainly to independent Hyster and Yale retail dealerships. The Company operates through five segments: the Americas, EMEA, JAPIC, Bolzoni and Nuvera. The Company offers a range of solutions, including attachments and hydrogen fuel cell power products, telematics, automation and fleet management services, as well as an array of other power options for its lift trucks. The Company's segments for the lift truck business include three management units: the Americas, EMEA and JAPIC. Americas includes operations in the United States, Canada, Mexico, Brazil, Latin America and its corporate headquarters. EMEA includes operations in Europe, the Middle East and Africa. JAPIC includes operations in the Asia and Pacific regions including China.</v>
    <v>7600</v>
    <v>New York Stock Exchange</v>
    <v>XNYS</v>
    <v>XNYS</v>
    <v>5875 Landerbrook Dr Ste 300, CLEVELAND, OH, 44124-4069 US</v>
    <v>59.89</v>
    <v>Machinery, Equipment &amp; Components</v>
    <v>Stock</v>
    <v>44426.628273321097</v>
    <v>195</v>
    <v>58.36</v>
    <v>1007401305</v>
    <v>HYSTER-YALE MATERIALS HANDLING, INC.</v>
    <v>HYSTER-YALE MATERIALS HANDLING, INC.</v>
    <v>58.36</v>
    <v>38.030900000000003</v>
    <v>58.02</v>
    <v>59.89</v>
    <v>16820860</v>
    <v>HY</v>
    <v>HYSTER-YALE MATERIALS HANDLING, INC. (XNYS:HY)</v>
    <v>5969</v>
    <v>44536</v>
    <v>1999</v>
  </rv>
  <rv s="4">
    <v>196</v>
  </rv>
  <rv s="0">
    <v>https://www.bing.com/financeapi/forcetrigger?t=a1xtmw&amp;q=XNAS%3aMNTX&amp;form=skydnc</v>
    <v>Learn more on Bing</v>
  </rv>
  <rv s="5">
    <v>7</v>
    <v>MANITEX INTERNATIONAL, INC. (XNAS:MNTX)</v>
    <v>8</v>
    <v>9</v>
    <v>Finance</v>
    <v>5</v>
    <v>en-US</v>
    <v>a1xtmw</v>
    <v>268435456</v>
    <v>1</v>
    <v>Powered by Refinitiv</v>
    <v>9.6199999999999992</v>
    <v>3.49</v>
    <v>1.1173</v>
    <v>-8.9899999999999994E-2</v>
    <v>-1.2417000000000001E-2</v>
    <v>USD</v>
    <v>Manitex International, Inc. is a provider of engineered specialty lifting and loading products. The Company operates in three business segments: the Lifting Equipment segment, the A.S.V., LLC (ASV) segment and the Equipment Distribution segment. Through its Lifting Equipment segment, the Company designs, manufactures and distributes a diverse group of products that serve various functions and are used in a range of industries. In the ASV segment, the Company manufactures a line of compact rubber tracked and skid steer loaders. In the Equipment Distribution segment, the Company markets products used primarily for infrastructure development and commercial construction applications that include road and bridge construction, general contracting, roofing, scrap handling, and sign construction and maintenance. The Company, through its subsidiary Manitex, Inc., markets a line of boom trucks, truck cranes and sign cranes.</v>
    <v>470</v>
    <v>Nasdaq Stock Market</v>
    <v>XNAS</v>
    <v>XNAS</v>
    <v>9725 Industrial Dr, BRIDGEVIEW, IL, 60455-2304 US</v>
    <v>7.23</v>
    <v>Machinery, Equipment &amp; Components</v>
    <v>Stock</v>
    <v>44426.624459953127</v>
    <v>198</v>
    <v>7.15</v>
    <v>143328500</v>
    <v>MANITEX INTERNATIONAL, INC.</v>
    <v>MANITEX INTERNATIONAL, INC.</v>
    <v>7.18</v>
    <v>110.2435</v>
    <v>7.24</v>
    <v>7.1501000000000001</v>
    <v>19906730</v>
    <v>MNTX</v>
    <v>MANITEX INTERNATIONAL, INC. (XNAS:MNTX)</v>
    <v>9877</v>
    <v>31656</v>
    <v>2003</v>
  </rv>
  <rv s="4">
    <v>199</v>
  </rv>
  <rv s="0">
    <v>https://www.bing.com/financeapi/forcetrigger?t=a249lh&amp;q=XNAS%3aTITN&amp;form=skydnc</v>
    <v>Learn more on Bing</v>
  </rv>
  <rv s="5">
    <v>7</v>
    <v>TITAN MACHINERY INC. (XNAS:TITN)</v>
    <v>8</v>
    <v>9</v>
    <v>Finance</v>
    <v>10</v>
    <v>en-US</v>
    <v>a249lh</v>
    <v>268435456</v>
    <v>1</v>
    <v>Powered by Refinitiv</v>
    <v>35.24</v>
    <v>11.751099999999999</v>
    <v>1.7761</v>
    <v>0.24</v>
    <v>8.5710000000000005E-3</v>
    <v>USD</v>
    <v>Titan Machinery Inc. owns and operates a network of service agricultural and construction equipment stores in the United States and Europe. The Company engages in four principal business activities: new and used equipment sales; parts sales; repair and maintenance services, and equipment rental and other activities. It has three business segments: Agriculture, Construction and International. Its agricultural equipment includes machinery and attachments for large-scale farming, and home and garden purposes. Its construction equipment includes heavy construction and light industrial machinery for commercial and residential construction, road and highway construction, and mining operations. It sells new agricultural and construction equipment. It provides in-store and on-site repair and maintenance services. It also rents equipment and provides ancillary services, such as equipment transportation, global positioning system signal subscriptions, and finance and insurance products.</v>
    <v>2249</v>
    <v>Nasdaq Stock Market</v>
    <v>XNAS</v>
    <v>XNAS</v>
    <v>644 E Beaton Dr, WEST FARGO, ND, 58078-2648 US</v>
    <v>28.5</v>
    <v>Machinery, Equipment &amp; Components</v>
    <v>Stock</v>
    <v>44426.621979120311</v>
    <v>201</v>
    <v>27.73</v>
    <v>635982026</v>
    <v>TITAN MACHINERY INC.</v>
    <v>TITAN MACHINERY INC.</v>
    <v>27.97</v>
    <v>22.8383</v>
    <v>28</v>
    <v>28.24</v>
    <v>22520610</v>
    <v>TITN</v>
    <v>TITAN MACHINERY INC. (XNAS:TITN)</v>
    <v>17190</v>
    <v>96203</v>
    <v>2007</v>
  </rv>
  <rv s="4">
    <v>202</v>
  </rv>
  <rv s="0">
    <v>http://en.wikipedia.org/wiki/United_Rentals</v>
    <v>Wikipedia</v>
  </rv>
  <rv s="1">
    <v>35</v>
    <v>204</v>
  </rv>
  <rv s="2">
    <v>6</v>
    <v>https://www.bing.com/th?id=AMMS_8bddfd3d284093f5e01477d5c35fe06b&amp;qlt=95</v>
    <v>205</v>
    <v>0</v>
    <v>https://www.bing.com/images/search?form=xlimg&amp;q=united+rentals</v>
    <v>Image of UNITED RENTALS, INC.</v>
  </rv>
  <rv s="0">
    <v>https://www.bing.com/financeapi/forcetrigger?t=a24zec&amp;q=XNYS%3aURI&amp;form=skydnc</v>
    <v>Learn more on Bing</v>
  </rv>
  <rv s="3">
    <v>0</v>
    <v>UNITED RENTALS, INC. (XNYS:URI)</v>
    <v>3</v>
    <v>4</v>
    <v>Finance</v>
    <v>5</v>
    <v>en-US</v>
    <v>a24zec</v>
    <v>268435456</v>
    <v>1</v>
    <v>Powered by Refinitiv</v>
    <v>364.29989999999998</v>
    <v>159.01</v>
    <v>2.0253999999999999</v>
    <v>3.51</v>
    <v>1.0170999999999999E-2</v>
    <v>USD</v>
    <v>United Rentals, Inc. is a holding company. The Company is an equipment rental company, which operates throughout the United States and Canada. It operates through two segments: general rentals, and trench, power and pump. The general rentals segment includes the rental of construction, aerial, industrial and homeowner equipment and related services and activities. The trench, power and pump segment includes the rental of specialty construction products and related services. Its general rentals segment includes the rental of general construction and industrial equipment, such as backhoes, skid-steer loaders, forklifts and material handling equipment; aerial work platforms, such as boom lifts and scissor lifts, and general tools and light equipment, such as pressure washers, water pumps and power tools. As of October 17, 2018, it operated 1075 rental locations. It conducts its operations through its subsidiary, United Rentals (North America), Inc. (URNA) and subsidiaries of URNA.</v>
    <v>18250</v>
    <v>New York Stock Exchange</v>
    <v>XNYS</v>
    <v>XNYS</v>
    <v>100 Stamford Pl Fl 7, STAMFORD, CT, 06902-6740 US</v>
    <v>349.9</v>
    <v>206</v>
    <v>Professional &amp; Commercial Services</v>
    <v>Stock</v>
    <v>44426.632665717189</v>
    <v>207</v>
    <v>341.55</v>
    <v>25235926705</v>
    <v>UNITED RENTALS, INC.</v>
    <v>UNITED RENTALS, INC.</v>
    <v>343.16</v>
    <v>25.046700000000001</v>
    <v>345.1</v>
    <v>348.61</v>
    <v>72390140</v>
    <v>URI</v>
    <v>UNITED RENTALS, INC. (XNYS:URI)</v>
    <v>109477</v>
    <v>726163</v>
    <v>1998</v>
  </rv>
  <rv s="4">
    <v>208</v>
  </rv>
  <rv s="0">
    <v>https://www.bing.com/financeapi/forcetrigger?t=bwvfcw&amp;q=XNAS%3aPTRA&amp;form=skydnc</v>
    <v>Learn more on Bing</v>
  </rv>
  <rv s="11">
    <v>25</v>
    <v>PROTERRA INC (XNAS:PTRA)</v>
    <v>8</v>
    <v>26</v>
    <v>Finance</v>
    <v>10</v>
    <v>en-US</v>
    <v>bwvfcw</v>
    <v>268435456</v>
    <v>1</v>
    <v>Powered by Refinitiv</v>
    <v>31.06</v>
    <v>9.02</v>
    <v>-0.22</v>
    <v>-2.3454000000000003E-2</v>
    <v>USD</v>
    <v>Proterra Inc is engaged in the design and manufacture of zero-emission electric transit vehicles and electric vehicle (EV) technology solutions for commercial applications. The Company is focused on providing solutions that enables commercial vehicle electrification through three business units: Proterra Powered, Proterra Energy and Proterra Transit. Proterra Powered designs, develops, manufactures, sells and integrates battery systems and electrification solutions into vehicles for commercial vehicle original equipment manufacturer (OEM) customers. Proterra Transit designs, develops, manufactures, and sells electric transit buses for North American public transit agencies, airports, universities and other commercial transit fleets. Proterra Energy provides turnkey fleet-scale, charging solutions and software services, ranging from fleet and energy management software-as-a-service, to fleet planning, hardware, infrastructure, installation, utility engagement and charging optimization.</v>
    <v>Nasdaq Stock Market</v>
    <v>XNAS</v>
    <v>XNAS</v>
    <v>1815 Rollins Road, BURLINGAME, CA, 94010 US</v>
    <v>9.4700000000000006</v>
    <v>Automobiles &amp; Auto Parts</v>
    <v>Stock</v>
    <v>44426.622636967186</v>
    <v>210</v>
    <v>9.02</v>
    <v>1944669832</v>
    <v>PROTERRA INC</v>
    <v>PROTERRA INC</v>
    <v>9.4450000000000003</v>
    <v>9.3800000000000008</v>
    <v>9.16</v>
    <v>PTRA</v>
    <v>PROTERRA INC (XNAS:PTRA)</v>
    <v>885910</v>
    <v>2461163</v>
  </rv>
  <rv s="4">
    <v>211</v>
  </rv>
  <rv s="0">
    <v>http://en.wikipedia.org/wiki/Siemens</v>
    <v>Wikipedia</v>
  </rv>
  <rv s="1">
    <v>35</v>
    <v>213</v>
  </rv>
  <rv s="2">
    <v>6</v>
    <v>https://www.bing.com/th?id=AMMS_0aac5db834e09734ca5476d6ddeea063&amp;qlt=95</v>
    <v>214</v>
    <v>0</v>
    <v>https://www.bing.com/images/search?form=xlimg&amp;q=siemens</v>
    <v>Image of Siemens AG</v>
  </rv>
  <rv s="0">
    <v>https://www.bing.com/financeapi/forcetrigger?t=aftpzr&amp;q=XETR%3aSIE&amp;form=skydnc</v>
    <v>Learn more on Bing</v>
  </rv>
  <rv s="12">
    <v>27</v>
    <v>Siemens AG (XETR:SIE)</v>
    <v>3</v>
    <v>28</v>
    <v>Finance</v>
    <v>18</v>
    <v>en-US</v>
    <v>aftpzr</v>
    <v>268435456</v>
    <v>1</v>
    <v>Powered by Refinitiv</v>
    <v>145.96</v>
    <v>98.5</v>
    <v>1.1135999999999999</v>
    <v>0.26</v>
    <v>1.823E-3</v>
    <v>EUR</v>
    <v>Siemens AG is a Germany-based technology company. It operates through seven segments: Digital Industries, which offers products and system solutions for automation used in discrete and process industries; Smart Infrastructure, which supplies and intelligently connects energy systems and building technologies; Gas and Power, which offers products, solutions and services for generating electricity, for producing and transporting oil and gas, as well as for downstream and oil and gas-related operations; Mobility, which combines all Siemens businesses in the area of passenger and freight transportation; Siemens Healthineers, which supplies technology to the healthcare industry and engages in diagnostic imaging and laboratory diagnostics; Siemens Gamesa Renewable Energy, which designs,and produces wind turbines, and sales wind farms, and Financial Services (SFS), which offers leasing solutions and equipment, project and structured financing in the form of debt and equity investments.</v>
    <v>299000</v>
    <v>Xetra</v>
    <v>XETR</v>
    <v>XETR</v>
    <v>Werner-von-Siemens-Strasse 1, MUENCHEN, BAYERN, 80333 DE</v>
    <v>143</v>
    <v>215</v>
    <v>Consumer Goods Conglomerates</v>
    <v>Stock</v>
    <v>44426.622662037036</v>
    <v>216</v>
    <v>141.54</v>
    <v>121210000000</v>
    <v>Siemens AG</v>
    <v>Siemens AG</v>
    <v>142.6</v>
    <v>23.12</v>
    <v>142.6</v>
    <v>142.86000000000001</v>
    <v>850000000</v>
    <v>SIE</v>
    <v>Siemens AG (XETR:SIE)</v>
    <v>361395</v>
    <v>1996</v>
  </rv>
  <rv s="4">
    <v>217</v>
  </rv>
  <rv s="0">
    <v>https://www.bing.com/financeapi/forcetrigger?t=a1rwjc&amp;q=XNYS%3aEME&amp;form=skydnc</v>
    <v>Learn more on Bing</v>
  </rv>
  <rv s="5">
    <v>7</v>
    <v>EMCOR GROUP, INC. (XNYS:EME)</v>
    <v>8</v>
    <v>9</v>
    <v>Finance</v>
    <v>5</v>
    <v>en-US</v>
    <v>a1rwjc</v>
    <v>268435456</v>
    <v>1</v>
    <v>Powered by Refinitiv</v>
    <v>129.44999999999999</v>
    <v>63.69</v>
    <v>1.2224999999999999</v>
    <v>1.1200000000000001</v>
    <v>9.4940000000000007E-3</v>
    <v>USD</v>
    <v>EMCOR Group, Inc. is an electrical and mechanical construction, and facilities services firm in the United States. The Company provides building services and industrial services. Its segments are United States electrical construction and facilities services; United States mechanical construction and facilities services; United States building services; United States industrial services, and United Kingdom building services. As of December 31, 2016, its services were provided to a range of commercial, industrial, utility and institutional customers through approximately 75 operating subsidiaries and joint venture entities. It is providing construction services relating to electrical and mechanical systems in various types of non-residential and certain residential facilities, and in providing services relating to the operation, maintenance and management of facilities, including refineries and petrochemical plants. It operates various electrical and mechanical systems.</v>
    <v>33000</v>
    <v>New York Stock Exchange</v>
    <v>XNYS</v>
    <v>XNYS</v>
    <v>301 Merritt 7 Fl 6, NORWALK, CT, 06851-1052 US</v>
    <v>119.38</v>
    <v>Construction &amp; Engineering</v>
    <v>Stock</v>
    <v>44426.63260673594</v>
    <v>219</v>
    <v>116.565</v>
    <v>6401528133</v>
    <v>EMCOR GROUP, INC.</v>
    <v>EMCOR GROUP, INC.</v>
    <v>117.72</v>
    <v>20.077200000000001</v>
    <v>117.97</v>
    <v>119.09</v>
    <v>53753700</v>
    <v>EME</v>
    <v>EMCOR GROUP, INC. (XNYS:EME)</v>
    <v>23785</v>
    <v>220516</v>
    <v>1987</v>
  </rv>
  <rv s="4">
    <v>220</v>
  </rv>
  <rv s="0">
    <v>http://en.wikipedia.org/wiki/Eaton_Corporation</v>
    <v>Wikipedia</v>
  </rv>
  <rv s="1">
    <v>35</v>
    <v>222</v>
  </rv>
  <rv s="2">
    <v>6</v>
    <v>https://www.bing.com/th?id=AMMS_14ad49c25a18dfc708edac82950da0d6&amp;qlt=95</v>
    <v>223</v>
    <v>0</v>
    <v>https://www.bing.com/images/search?form=xlimg&amp;q=eaton+corporation</v>
    <v>Image of EATON CORPORATION PUBLIC LIMITED COMPANY</v>
  </rv>
  <rv s="0">
    <v>https://www.bing.com/financeapi/forcetrigger?t=a1safr&amp;q=XNYS%3aETN&amp;form=skydnc</v>
    <v>Learn more on Bing</v>
  </rv>
  <rv s="3">
    <v>0</v>
    <v>EATON CORPORATION PUBLIC LIMITED COMPANY (XNYS:ETN)</v>
    <v>3</v>
    <v>4</v>
    <v>Finance</v>
    <v>5</v>
    <v>en-US</v>
    <v>a1safr</v>
    <v>268435456</v>
    <v>1</v>
    <v>Powered by Refinitiv</v>
    <v>168.9</v>
    <v>96.24</v>
    <v>1.1465000000000001</v>
    <v>1.05</v>
    <v>6.2909999999999997E-3</v>
    <v>USD</v>
    <v>Eaton Corporation plc (Eaton) is a power management company. The Company provides solutions that help its customers manage electrical and mechanical power. Its segments include Electrical Products, Electrical Systems and Services, Aerospace, Vehicle and eMobility. The Electrical Products segment consists of electrical components, industrial components, residential products, single phase power quality, fire detection, wiring devices and circuit protection. The Aerospace segment is a supplier of aerospace fuel and pneumatic systems for commercial and military use. The Vehicle segment engages in the design, manufacture, marketing and supply of drivetrain, powertrain systems and critical components for cars, light trucks and commercial vehicles. The eMobility segment manufactures and supplies electrical and electronic components and systems.</v>
    <v>85000</v>
    <v>New York Stock Exchange</v>
    <v>XNYS</v>
    <v>XNYS</v>
    <v>Eaton Hse, 30 Pembroke Road, DUBLIN, IRELAND-NA IE</v>
    <v>168.3</v>
    <v>224</v>
    <v>Machinery, Equipment &amp; Components</v>
    <v>Stock</v>
    <v>44426.633039803128</v>
    <v>225</v>
    <v>166.44</v>
    <v>66944869999</v>
    <v>EATON CORPORATION PUBLIC LIMITED COMPANY</v>
    <v>EATON CORPORATION PUBLIC LIMITED COMPANY</v>
    <v>166.92</v>
    <v>35.546199999999999</v>
    <v>166.9</v>
    <v>167.95</v>
    <v>398600000</v>
    <v>ETN</v>
    <v>EATON CORPORATION PUBLIC LIMITED COMPANY (XNYS:ETN)</v>
    <v>359885</v>
    <v>1611028</v>
    <v>2012</v>
  </rv>
  <rv s="4">
    <v>226</v>
  </rv>
  <rv s="0">
    <v>http://en.wikipedia.org/wiki/General_Electric</v>
    <v>Wikipedia</v>
  </rv>
  <rv s="1">
    <v>35</v>
    <v>228</v>
  </rv>
  <rv s="2">
    <v>6</v>
    <v>https://www.bing.com/th?id=AMMS_301c5fbc1963a22028790c2c83b0dc3c&amp;qlt=95</v>
    <v>229</v>
    <v>0</v>
    <v>https://www.bing.com/images/search?form=xlimg&amp;q=general+electric</v>
    <v>Image of GENERAL ELECTRIC COMPANY</v>
  </rv>
  <rv s="0">
    <v>https://www.bing.com/financeapi/forcetrigger?t=afs1qh&amp;q=XETR%3aGCP&amp;form=skydnc</v>
    <v>Learn more on Bing</v>
  </rv>
  <rv s="12">
    <v>27</v>
    <v>GENERAL ELECTRIC COMPANY (XETR:GCP)</v>
    <v>3</v>
    <v>29</v>
    <v>Finance</v>
    <v>18</v>
    <v>en-US</v>
    <v>afs1qh</v>
    <v>268435456</v>
    <v>1</v>
    <v>Powered by Refinitiv</v>
    <v>97.632000000000005</v>
    <v>40.24</v>
    <v>1.0829</v>
    <v>0.98</v>
    <v>1.1249E-2</v>
    <v>EUR</v>
    <v>General Electric Company is an industrial company. The Company operates through its industrial segments, Power, Renewable Energy, Aviation and Healthcare, and its financial services segment, Capital. Its segments include Power, which serves power generation, industrial, government and other customers with products and services related to energy production; Renewable Energy, which provides solutions for renewable energy; Aviation, which includes commercial and military aircraft engines, and integrated digital components, electric power and mechanical aircraft systems; Healthcare, which provides healthcare technologies in medical imaging, digital solutions, patient monitoring and diagnostics, and drug discovery, and Capital, which is a financial services division.</v>
    <v>174000</v>
    <v>Xetra</v>
    <v>XETR</v>
    <v>XETR</v>
    <v>5 NECCO STREET, BOSTON, MA, 02210 US</v>
    <v>88.5</v>
    <v>230</v>
    <v>Consumer Goods Conglomerates</v>
    <v>Stock</v>
    <v>44426.622662037036</v>
    <v>231</v>
    <v>86.11</v>
    <v>111544500000</v>
    <v>GENERAL ELECTRIC COMPANY</v>
    <v>GENERAL ELECTRIC COMPANY</v>
    <v>86.5</v>
    <v>186.67</v>
    <v>87.12</v>
    <v>88.1</v>
    <v>1097663000</v>
    <v>GCP</v>
    <v>GENERAL ELECTRIC COMPANY (XETR:GCP)</v>
    <v>4015</v>
    <v>1892</v>
  </rv>
  <rv s="4">
    <v>232</v>
  </rv>
  <rv s="0">
    <v>https://www.bing.com/financeapi/forcetrigger?t=a1y8cw&amp;q=XNAS%3aMYRG&amp;form=skydnc</v>
    <v>Learn more on Bing</v>
  </rv>
  <rv s="5">
    <v>7</v>
    <v>MYR GROUP INC. (XNAS:MYRG)</v>
    <v>8</v>
    <v>9</v>
    <v>Finance</v>
    <v>5</v>
    <v>en-US</v>
    <v>a1y8cw</v>
    <v>268435456</v>
    <v>1</v>
    <v>Powered by Refinitiv</v>
    <v>101.61</v>
    <v>33.68</v>
    <v>1.107</v>
    <v>0.35</v>
    <v>3.5590000000000001E-3</v>
    <v>USD</v>
    <v>MYR Group Inc. is a holding company. The Company, through its subsidiaries, provides specialty electrical construction services. The Company performs construction services in two segments: Transmission and Distribution (T&amp;D), and Commercial and Industrial (C&amp;I). The Company provides C&amp;I electrical contracting services to general contractors, commercial and industrial facility owners, local governments and developers in the western and northeastern United States and western Canada. The Company's T&amp;D segment serves the T&amp;D sector of the electric utility industry. The Company provides a range of services on electric transmission and distribution networks and substation facilities, such as design, engineering, procurement, construction and upgrade. The Company's C&amp;I segment provides services, such as the design, installation, maintenance and repair of commercial and industrial wiring, installation of traffic networks and the installation of bridge, roadway and tunnel lighting.</v>
    <v>7200</v>
    <v>Nasdaq Stock Market</v>
    <v>XNAS</v>
    <v>XNAS</v>
    <v>12150 EAST 112TH AVENUE, HENDERSON, CO, 80640 US</v>
    <v>99.31</v>
    <v>Construction &amp; Engineering</v>
    <v>Stock</v>
    <v>44426.631680844534</v>
    <v>234</v>
    <v>97.72</v>
    <v>1664481939</v>
    <v>MYR GROUP INC.</v>
    <v>MYR GROUP INC.</v>
    <v>98.2</v>
    <v>21.900700000000001</v>
    <v>98.33</v>
    <v>98.68</v>
    <v>16867470</v>
    <v>MYRG</v>
    <v>MYR GROUP INC. (XNAS:MYRG)</v>
    <v>15986</v>
    <v>92682</v>
    <v>1982</v>
  </rv>
  <rv s="4">
    <v>235</v>
  </rv>
  <rv s="0">
    <v>https://www.bing.com/financeapi/forcetrigger?t=ae7lz2&amp;q=XPAR%3aALO&amp;form=skydnc</v>
    <v>Learn more on Bing</v>
  </rv>
  <rv s="6">
    <v>12</v>
    <v>Alstom SA (XPAR:ALO)</v>
    <v>8</v>
    <v>30</v>
    <v>Finance</v>
    <v>18</v>
    <v>en-US</v>
    <v>ae7lz2</v>
    <v>268435456</v>
    <v>1</v>
    <v>Powered by Refinitiv</v>
    <v>49.7</v>
    <v>33.909999999999997</v>
    <v>0.68940000000000001</v>
    <v>0.38</v>
    <v>1.0454000000000001E-2</v>
    <v>EUR</v>
    <v>Alstom SA is a France-based manufacturer of infrastructures for rail transport sector. The Company’s offer includes a range of solutions including rolling stock, systems, services as well as signaling for passenger and freight railway transportation. The Company’s railway services include maintenance, modernization, management of spare parts, support and technical assistance services included. The Company’s railway infrastructures include infrastructures for the track laying, lines electrical power systems, electromechanical equipment, telecommunication devices and traveler information in station, terminals for automatic purchase of tickets, access to escalators, lifts for disabled, automatic landing doors on platforms, ventilation, air conditioning, and lighting systems, among others. Alstom markets its products and services worldwide.</v>
    <v>44830</v>
    <v>Euronext Paris</v>
    <v>XPAR</v>
    <v>XPAR</v>
    <v>48, rue Albert Dhalenne, SAINT-OUEN, ILE-DE-FRANCE, 93400 FR</v>
    <v>36.770000000000003</v>
    <v>Machinery, Equipment &amp; Components</v>
    <v>Stock</v>
    <v>44426.622662037036</v>
    <v>237</v>
    <v>36.380000000000003</v>
    <v>13518590000</v>
    <v>Alstom SA</v>
    <v>Alstom SA</v>
    <v>36.450000000000003</v>
    <v>38.086799999999997</v>
    <v>36.35</v>
    <v>36.729999999999997</v>
    <v>371900700</v>
    <v>ALO</v>
    <v>Alstom SA (XPAR:ALO)</v>
    <v>755919</v>
    <v>1992</v>
  </rv>
  <rv s="4">
    <v>238</v>
  </rv>
  <rv s="0">
    <v>https://www.bing.com/financeapi/forcetrigger?t=a1zc52&amp;q=XNYS%3aORN&amp;form=skydnc</v>
    <v>Learn more on Bing</v>
  </rv>
  <rv s="5">
    <v>7</v>
    <v>ORION GROUP HOLDINGS, INC. (XNYS:ORN)</v>
    <v>8</v>
    <v>9</v>
    <v>Finance</v>
    <v>5</v>
    <v>en-US</v>
    <v>a1zc52</v>
    <v>268435456</v>
    <v>1</v>
    <v>Powered by Refinitiv</v>
    <v>6.67</v>
    <v>2.46</v>
    <v>0.97529999999999994</v>
    <v>5.5E-2</v>
    <v>1.0185E-2</v>
    <v>USD</v>
    <v>Orion Group Holdings, Inc., formerly Orion Marine Group, Inc., is engaged in heavy civil construction project management business. The Company specializes in marine construction. It provides a range of heavy civil marine construction services to federal agencies, state and municipal governments, and private commercial and industrial customers. Its heavy civil marine construction and project management services include new construction, dredging, repair and maintenance, and other related specialty services. It provides heavy civil marine construction services on, over and under the water in the continental United States, Alaska, Canada and the Caribbean Basin. It provides heavy civil marine construction services through projects that are obtained primarily through a competitive bid or contract process. It also provides tilt-wall construction services, parking structures, concrete slabs for commercial and institutional applications, curbs, gutters and paving, among other capabilities.</v>
    <v>550</v>
    <v>New York Stock Exchange</v>
    <v>XNYS</v>
    <v>XNYS</v>
    <v>12000 Aerospace Ave Ste 300, HOUSTON, TX, 77034-5588 US</v>
    <v>5.5049999999999999</v>
    <v>Construction &amp; Engineering</v>
    <v>Stock</v>
    <v>44426.631945150002</v>
    <v>240</v>
    <v>5.35</v>
    <v>168622559</v>
    <v>ORION GROUP HOLDINGS, INC.</v>
    <v>ORION GROUP HOLDINGS, INC.</v>
    <v>5.35</v>
    <v>8.2506000000000004</v>
    <v>5.4</v>
    <v>5.4550000000000001</v>
    <v>30911560</v>
    <v>ORN</v>
    <v>ORION GROUP HOLDINGS, INC. (XNYS:ORN)</v>
    <v>53146</v>
    <v>198683</v>
    <v>2004</v>
  </rv>
  <rv s="4">
    <v>241</v>
  </rv>
  <rv s="0">
    <v>http://en.wikipedia.org/wiki/Lindsay_Corporation</v>
    <v>Wikipedia</v>
  </rv>
  <rv s="1">
    <v>35</v>
    <v>243</v>
  </rv>
  <rv s="2">
    <v>6</v>
    <v>https://www.bing.com/th?id=AMMS_354122d3ccef40679c24e79262c1554c&amp;qlt=95</v>
    <v>244</v>
    <v>0</v>
    <v>https://www.bing.com/images/search?form=xlimg&amp;q=lindsay+manufacturing</v>
    <v>Image of LINDSAY CORPORATION</v>
  </rv>
  <rv s="0">
    <v>https://www.bing.com/financeapi/forcetrigger?t=a1x1k2&amp;q=XNYS%3aLNN&amp;form=skydnc</v>
    <v>Learn more on Bing</v>
  </rv>
  <rv s="3">
    <v>0</v>
    <v>LINDSAY CORPORATION (XNYS:LNN)</v>
    <v>3</v>
    <v>4</v>
    <v>Finance</v>
    <v>5</v>
    <v>en-US</v>
    <v>a1x1k2</v>
    <v>268435456</v>
    <v>1</v>
    <v>Powered by Refinitiv</v>
    <v>179.26499999999999</v>
    <v>91.41</v>
    <v>0.315</v>
    <v>0.87</v>
    <v>5.2300000000000003E-3</v>
    <v>USD</v>
    <v>Lindsay Corporation, along with its subsidiaries, provides a range of water management and road infrastructure products and services. The Company operates through two segments: Irrigation Segment and Infrastructure Segment. The Irrigation Segment includes the manufacture and marketing of center pivot, lateral move, and hose reel irrigation systems, which are used primarily in the agricultural industry. The Infrastructure Segment includes the manufacture and marketing of moveable barriers, specialty barriers, crash cushions and end terminals, road marking and road safety equipment, large diameter steel tubing, and railroad signals and structures. It also manufactures and markets hose reel travelers under the Perrot and Greenfield brands in Europe and South Africa. It produces or markets chemical injection systems, variable rate irrigation systems, flow meters, weather stations, soil moisture sensors, and remote monitoring and control systems, which it sells under its GrowSmart brand.</v>
    <v>1125</v>
    <v>New York Stock Exchange</v>
    <v>XNYS</v>
    <v>XNYS</v>
    <v>18135 Burke Street, Suite 100, OMAHA, NE, 68022 US</v>
    <v>168.27</v>
    <v>245</v>
    <v>Machinery, Equipment &amp; Components</v>
    <v>Stock</v>
    <v>44426.632687928126</v>
    <v>246</v>
    <v>165.55</v>
    <v>1824016072</v>
    <v>LINDSAY CORPORATION</v>
    <v>LINDSAY CORPORATION</v>
    <v>166.78</v>
    <v>35.550800000000002</v>
    <v>166.36</v>
    <v>167.23</v>
    <v>10907230</v>
    <v>LNN</v>
    <v>LINDSAY CORPORATION (XNYS:LNN)</v>
    <v>4876</v>
    <v>34919</v>
    <v>1974</v>
  </rv>
  <rv s="4">
    <v>247</v>
  </rv>
  <rv s="0">
    <v>https://www.bing.com/financeapi/forcetrigger?t=a1nnmw&amp;q=XNYS%3aAQUA&amp;form=skydnc</v>
    <v>Learn more on Bing</v>
  </rv>
  <rv s="5">
    <v>7</v>
    <v>EVOQUA WATER TECHNOLOGIES CORP. (XNYS:AQUA)</v>
    <v>8</v>
    <v>9</v>
    <v>Finance</v>
    <v>5</v>
    <v>en-US</v>
    <v>a1nnmw</v>
    <v>268435456</v>
    <v>1</v>
    <v>Powered by Refinitiv</v>
    <v>38.554299999999998</v>
    <v>18.600000000000001</v>
    <v>1.8795999999999999</v>
    <v>-0.04</v>
    <v>-1.06E-3</v>
    <v>USD</v>
    <v>Evoqua Water Technologies Corp. provides a range of product brands and water and wastewater treatment systems and technologies, as well as mobile and emergency water supply solutions and service contract options through its branch network. It operates through two segments: Integrated Solutions and Services and Applied Product Technologies. Integrated Solutions and Services provides services and solutions in collaboration with the customers backed by life-cycle services including on-demand water, outsourced water, recycle/reuse and emergency response service alternatives to enhance operational reliability, performance and environmental compliance. Applied Product Technologies provides a range of products and technologies specified by global water treatment designers, original equipment managers, engineering firms and integrators. The Company focuses on water purification services and equipment that serves the healthcare, laboratory, power, microelectronics, food and beverage markets.</v>
    <v>4020</v>
    <v>New York Stock Exchange</v>
    <v>XNYS</v>
    <v>XNYS</v>
    <v>210 6th Ave, PITTSBURGH, PA, 15222-2602 US</v>
    <v>38.06</v>
    <v>Professional &amp; Commercial Services</v>
    <v>Stock</v>
    <v>44426.63239630781</v>
    <v>249</v>
    <v>37.53</v>
    <v>4536389000</v>
    <v>EVOQUA WATER TECHNOLOGIES CORP.</v>
    <v>EVOQUA WATER TECHNOLOGIES CORP.</v>
    <v>37.56</v>
    <v>82.379900000000006</v>
    <v>37.729999999999997</v>
    <v>37.69</v>
    <v>120232900</v>
    <v>AQUA</v>
    <v>EVOQUA WATER TECHNOLOGIES CORP. (XNYS:AQUA)</v>
    <v>98366</v>
    <v>836012</v>
    <v>2013</v>
  </rv>
  <rv s="4">
    <v>250</v>
  </rv>
  <rv s="0">
    <v>https://www.bing.com/financeapi/forcetrigger?t=a1onhw&amp;q=XNYS%3aBMI&amp;form=skydnc</v>
    <v>Learn more on Bing</v>
  </rv>
  <rv s="5">
    <v>7</v>
    <v>BADGER METER, INC. (XNYS:BMI)</v>
    <v>8</v>
    <v>9</v>
    <v>Finance</v>
    <v>5</v>
    <v>en-US</v>
    <v>a1onhw</v>
    <v>268435456</v>
    <v>1</v>
    <v>Powered by Refinitiv</v>
    <v>111.77</v>
    <v>60.01</v>
    <v>0.76339999999999997</v>
    <v>-0.24</v>
    <v>-2.3240000000000001E-3</v>
    <v>USD</v>
    <v>Badger Meter, Inc. is a manufacturer and marketer of products incorporating flow measurement, control and communication solutions, serving water utilities, municipalities, and commercial and industrial customers around the world. The Company's products measure water, oil, chemicals and other fluids, provide and communicate timely measurement data. Its product lines include two categories: sales of water meters and related technologies to municipal water utilities (municipal water), and sales of meters to various industries for water and other fluids (flow instrumentation). The municipal water offering includes mechanical and ultrasonic (electronic) water meters and related technologies and services used by water utilities as the basis for generating water and wastewater. The flow instrumentation category includes the sale of meters and valves around the world to measure and control materials flowing through a pipe or pipeline, including air, steam, oil, and other liquids and gases.</v>
    <v>1602</v>
    <v>New York Stock Exchange</v>
    <v>XNYS</v>
    <v>XNYS</v>
    <v>4545 W Brown Deer Rd, MILWAUKEE, WI, 53223-2413 US</v>
    <v>103.82</v>
    <v>Machinery, Equipment &amp; Components</v>
    <v>Stock</v>
    <v>44426.633075693753</v>
    <v>252</v>
    <v>102.07</v>
    <v>3006628020</v>
    <v>BADGER METER, INC.</v>
    <v>BADGER METER, INC.</v>
    <v>102.97</v>
    <v>51.680399999999999</v>
    <v>103.29</v>
    <v>103.05</v>
    <v>29176400</v>
    <v>BMI</v>
    <v>BADGER METER, INC. (XNYS:BMI)</v>
    <v>10573</v>
    <v>95943</v>
    <v>1905</v>
  </rv>
  <rv s="4">
    <v>253</v>
  </rv>
  <rv s="0">
    <v>https://www.bing.com/financeapi/forcetrigger?t=a1r1r7&amp;q=XNYS%3aDHR&amp;form=skydnc</v>
    <v>Learn more on Bing</v>
  </rv>
  <rv s="5">
    <v>7</v>
    <v>DANAHER CORPORATION (XNYS:DHR)</v>
    <v>8</v>
    <v>9</v>
    <v>Finance</v>
    <v>5</v>
    <v>en-US</v>
    <v>a1r1r7</v>
    <v>268435456</v>
    <v>1</v>
    <v>Powered by Refinitiv</v>
    <v>323.42</v>
    <v>192.51</v>
    <v>0.69969999999999999</v>
    <v>-2.16</v>
    <v>-6.7300000000000007E-3</v>
    <v>USD</v>
    <v>Danaher Corporation (Danaher) designs, manufactures and markets professional, medical, industrial and commercial products and services. The Company operates through three segments: Life Sciences, which offers a range of instruments and consumables that are used by customers to study the basic building blocks of life, including genes, proteins, metabolites and cells, in order to understand the causes of disease, identify new therapies, and test and manufacture new drugs and vaccines; Diagnostics, which offers analytical instruments, reagents, consumables, software and services, and Environmental &amp; Applied Solutions, which offers products and services that help protect important resources and keep global food and water supplies safe. Its business research and development, manufacturing, sales, distribution, service and administrative facilities are located in over 60 countries.</v>
    <v>67000</v>
    <v>New York Stock Exchange</v>
    <v>XNYS</v>
    <v>XNYS</v>
    <v>2200 Pennsylvania Ave NW Ste 800w, WASHINGTON, DC, 20037-1731 US</v>
    <v>323.42</v>
    <v>Healthcare Equipment &amp; Supplies</v>
    <v>Stock</v>
    <v>44426.633027546093</v>
    <v>255</v>
    <v>318.08</v>
    <v>227584053484</v>
    <v>DANAHER CORPORATION</v>
    <v>DANAHER CORPORATION</v>
    <v>321.24</v>
    <v>43.487200000000001</v>
    <v>320.95</v>
    <v>318.79000000000002</v>
    <v>713899600</v>
    <v>DHR</v>
    <v>DANAHER CORPORATION (XNYS:DHR)</v>
    <v>1343175</v>
    <v>1924500</v>
    <v>1986</v>
  </rv>
  <rv s="4">
    <v>256</v>
  </rv>
  <rv s="0">
    <v>https://www.bing.com/financeapi/forcetrigger?t=a1s677&amp;q=XNAS%3aERII&amp;form=skydnc</v>
    <v>Learn more on Bing</v>
  </rv>
  <rv s="5">
    <v>7</v>
    <v>ENERGY RECOVERY, INC. (XNAS:ERII)</v>
    <v>8</v>
    <v>9</v>
    <v>Finance</v>
    <v>5</v>
    <v>en-US</v>
    <v>a1s677</v>
    <v>268435456</v>
    <v>1</v>
    <v>Powered by Refinitiv</v>
    <v>23.69</v>
    <v>7.87</v>
    <v>1.2246999999999999</v>
    <v>0.3</v>
    <v>1.6008999999999999E-2</v>
    <v>USD</v>
    <v>Energy Recovery, Inc. is an energy solutions provider to industrial fluid flow markets. The Company's solutions convert wasted pressure energy into a reusable asset and preserve or eliminate pumping technology in hostile processing environments. Its segments include Water, Oil &amp; Gas, and Corporate. The Water Segment focuses on products sold for use in reverse osmosis water desalination. The Oil &amp; Gas Segment consists of products sold for use in hydraulic fracturing, gas processing, and chemical processing. The Company offers energy recovery devices (ERDs) in the water desalination market with its pressure exchanger (PX) and turbocharger technologies. The Company offers VorTeq hydraulic fracturing system, IsoBoost, and IsoGen product lines to the oil and gas market. The Company's customers include engineering, procurement and construction companies, original equipment manufacturers, international oil companies, national oil companies, and exploration and production companies.</v>
    <v>216</v>
    <v>Nasdaq Stock Market</v>
    <v>XNAS</v>
    <v>XNAS</v>
    <v>1717 Doolittle Dr, SAN LEANDRO, CA, 94577-2231 US</v>
    <v>19.05</v>
    <v>Machinery, Equipment &amp; Components</v>
    <v>Stock</v>
    <v>44426.632786562499</v>
    <v>258</v>
    <v>18.399999999999999</v>
    <v>1088179792</v>
    <v>ENERGY RECOVERY, INC.</v>
    <v>ENERGY RECOVERY, INC.</v>
    <v>18.649999999999999</v>
    <v>65.044799999999995</v>
    <v>18.739999999999998</v>
    <v>19.04</v>
    <v>57152300</v>
    <v>ERII</v>
    <v>ENERGY RECOVERY, INC. (XNAS:ERII)</v>
    <v>33815</v>
    <v>265113</v>
    <v>2001</v>
  </rv>
  <rv s="4">
    <v>259</v>
  </rv>
  <rv s="0">
    <v>https://www.bing.com/financeapi/forcetrigger?t=a1sr9c&amp;q=XNAS%3aFELE&amp;form=skydnc</v>
    <v>Learn more on Bing</v>
  </rv>
  <rv s="5">
    <v>7</v>
    <v>FRANKLIN ELECTRIC CO., INC. (XNAS:FELE)</v>
    <v>8</v>
    <v>9</v>
    <v>Finance</v>
    <v>5</v>
    <v>en-US</v>
    <v>a1sr9c</v>
    <v>268435456</v>
    <v>1</v>
    <v>Powered by Refinitiv</v>
    <v>87.7</v>
    <v>55.9</v>
    <v>0.97219999999999995</v>
    <v>-0.18</v>
    <v>-2.189E-3</v>
    <v>USD</v>
    <v>Franklin Electric Co., Inc. designs, manufactures and distributes water and fuel pumping systems, consisting of submersible motors, pumps, electronic controls and related parts and equipment. The Company's segments include Water Systems segment, Fueling Systems segment and Distribution segments. Its Water Systems segment is engaged in the production and marketing of water pumping systems and offers motors, pumps, drives, electronic controls and monitoring devices. It also designs, manufactures and sells motors, pumps, electronic controls and related parts and equipment for use in groundwater, wastewater and fuel transfer applications. Its Fueling Systems is engaged in the production and marketing of fuel pumping systems, fuel containment systems, and monitoring and control systems. The Company's Distribution Segment is operated as a collection of wholly owned groundwater distributors known as the Headwater Companies. Headwater Companies delivers groundwater equipments.</v>
    <v>5400</v>
    <v>Nasdaq Stock Market</v>
    <v>XNAS</v>
    <v>XNAS</v>
    <v>9255 Coverdale Rd, FORT WAYNE, IN, 46809-9613 US</v>
    <v>82.74</v>
    <v>Machinery, Equipment &amp; Components</v>
    <v>Stock</v>
    <v>44426.631750439061</v>
    <v>261</v>
    <v>81.41</v>
    <v>3809782522</v>
    <v>FRANKLIN ELECTRIC CO., INC.</v>
    <v>FRANKLIN ELECTRIC CO., INC.</v>
    <v>81.89</v>
    <v>29.280999999999999</v>
    <v>82.23</v>
    <v>82.05</v>
    <v>46432450</v>
    <v>FELE</v>
    <v>FRANKLIN ELECTRIC CO., INC. (XNAS:FELE)</v>
    <v>14457</v>
    <v>124848</v>
    <v>1946</v>
  </rv>
  <rv s="4">
    <v>262</v>
  </rv>
  <rv s="0">
    <v>https://www.bing.com/financeapi/forcetrigger?t=a1xoz2&amp;q=XNYS%3aMLI&amp;form=skydnc</v>
    <v>Learn more on Bing</v>
  </rv>
  <rv s="5">
    <v>7</v>
    <v>MUELLER INDUSTRIES, INC. (XNYS:MLI)</v>
    <v>8</v>
    <v>9</v>
    <v>Finance</v>
    <v>5</v>
    <v>en-US</v>
    <v>a1xoz2</v>
    <v>268435456</v>
    <v>1</v>
    <v>Powered by Refinitiv</v>
    <v>48.06</v>
    <v>26.065000000000001</v>
    <v>1.1841999999999999</v>
    <v>0.1</v>
    <v>2.2370000000000003E-3</v>
    <v>USD</v>
    <v>Mueller Industries, Inc. is a manufacturer of copper, brass, aluminum and plastic products. The Company operates through three segments: Piping Systems, Industrial Metals and Climate. The Company's products include copper tube and fittings; line sets; brass and copper alloy rod, bar, and shapes; aluminum and brass forgings; aluminum impact extrusions; plastic fittings and valves; refrigeration valves and fittings; fabricated tubular products, and steel nipples. The Company also resells imported brass and plastic plumbing valves, malleable iron fittings, faucets, and plumbing specialty products. The Company's operations are located throughout the United States and in Canada, Mexico, Great Britain, South Korea, and China. The Company markets its products to the heating, ventilation, and air-conditioning (HVAC), plumbing, refrigeration, hardware, and other industries.</v>
    <v>5007</v>
    <v>New York Stock Exchange</v>
    <v>XNYS</v>
    <v>XNYS</v>
    <v>150 Schilling Blvd Ste 100, COLLIERVILLE, TN, 38017-7187 US</v>
    <v>45.164999999999999</v>
    <v>Machinery, Equipment &amp; Components</v>
    <v>Stock</v>
    <v>44426.633036388281</v>
    <v>264</v>
    <v>44.35</v>
    <v>2561061329</v>
    <v>MUELLER INDUSTRIES, INC.</v>
    <v>MUELLER INDUSTRIES, INC.</v>
    <v>44.4</v>
    <v>10.0905</v>
    <v>44.71</v>
    <v>44.81</v>
    <v>57153790</v>
    <v>MLI</v>
    <v>MUELLER INDUSTRIES, INC. (XNYS:MLI)</v>
    <v>26850</v>
    <v>218204</v>
    <v>1990</v>
  </rv>
  <rv s="4">
    <v>265</v>
  </rv>
  <rv s="0">
    <v>http://en.wikipedia.org/wiki/Mueller_Water_Products</v>
    <v>Wikipedia</v>
  </rv>
  <rv s="1">
    <v>35</v>
    <v>267</v>
  </rv>
  <rv s="2">
    <v>6</v>
    <v>https://www.bing.com/th?id=AMMS_b8e29b2b85a38f7e741d0122cb41ca66&amp;qlt=95</v>
    <v>268</v>
    <v>0</v>
    <v>https://www.bing.com/images/search?form=xlimg&amp;q=mueller+water+products</v>
    <v>Image of MUELLER WATER PRODUCTS, INC.</v>
  </rv>
  <rv s="0">
    <v>https://www.bing.com/financeapi/forcetrigger?t=a1y6ec&amp;q=XNYS%3aMWA&amp;form=skydnc</v>
    <v>Learn more on Bing</v>
  </rv>
  <rv s="3">
    <v>0</v>
    <v>MUELLER WATER PRODUCTS, INC. (XNYS:MWA)</v>
    <v>3</v>
    <v>4</v>
    <v>Finance</v>
    <v>5</v>
    <v>en-US</v>
    <v>a1y6ec</v>
    <v>268435456</v>
    <v>1</v>
    <v>Powered by Refinitiv</v>
    <v>15.89</v>
    <v>10.08</v>
    <v>1.3015000000000001</v>
    <v>0.14000000000000001</v>
    <v>9.1149999999999998E-3</v>
    <v>USD</v>
    <v>Mueller Water Products, Inc. is a manufacturer and marketer of products and services used in the transmission, distribution and measurement of water in North America. The Company operates through three segments: Mueller Co., Anvil and Mueller Technologies. The Mueller Co. segment manufactures valves for water and gas systems, and dry-barrel and wet-barrel fire hydrants. The Anvil segment manufactures and sources a range of products, including a range of fittings, couplings, hangers and related products. The Mueller Technologies segment offers metering systems, leak detection, pipe condition assessment and other products and services for the water infrastructure industry. The Mueller Technologies segment includes Mueller Systems and Echologics businesses. The Company offers a range of water infrastructure, flow control and piping component system products and services in the United States and Canada.</v>
    <v>3100</v>
    <v>New York Stock Exchange</v>
    <v>XNYS</v>
    <v>XNYS</v>
    <v>110 Corporate Dr Ste 10, PO Box 3180, PORTSMOUTH, NH, 03801-6822 US</v>
    <v>15.61</v>
    <v>269</v>
    <v>Machinery, Equipment &amp; Components</v>
    <v>Stock</v>
    <v>44426.632306666404</v>
    <v>270</v>
    <v>15.39</v>
    <v>2457683100</v>
    <v>MUELLER WATER PRODUCTS, INC.</v>
    <v>MUELLER WATER PRODUCTS, INC.</v>
    <v>15.39</v>
    <v>31.013400000000001</v>
    <v>15.36</v>
    <v>15.5</v>
    <v>158560200</v>
    <v>MWA</v>
    <v>MUELLER WATER PRODUCTS, INC. (XNYS:MWA)</v>
    <v>337701</v>
    <v>813473</v>
    <v>2005</v>
  </rv>
  <rv s="4">
    <v>271</v>
  </rv>
  <rv s="0">
    <v>https://www.bing.com/financeapi/forcetrigger?t=a1yx3m&amp;q=XNAS%3aNWPX&amp;form=skydnc</v>
    <v>Learn more on Bing</v>
  </rv>
  <rv s="5">
    <v>7</v>
    <v>NORTHWEST PIPE COMPANY (XNAS:NWPX)</v>
    <v>8</v>
    <v>9</v>
    <v>Finance</v>
    <v>5</v>
    <v>en-US</v>
    <v>a1yx3m</v>
    <v>268435456</v>
    <v>1</v>
    <v>Powered by Refinitiv</v>
    <v>38.075000000000003</v>
    <v>24.31</v>
    <v>0.87880000000000003</v>
    <v>-0.17</v>
    <v>-6.5359999999999993E-3</v>
    <v>USD</v>
    <v>Northwest Pipe Company is a manufacturer of engineered steel pipe water systems. The Company produces steel pipeline systems for use in drinking water infrastructure, and has approximately eight manufacturing facilities, located in Portland, Oregon; Denver, Colorado; Adelanto, California; Parkersburg, West Virginia; Saginaw, Texas; St. Louis, Missouri; Salt Lake City, Utah, and Monterrey, Mexico. The Company, through Water Transmission Group, produces engineered welded steel pipe products for use in water transmission applications. The Company's solutions-based products are used in water transmission, plant piping, tunnels and river crossings applications. The Company also provides bar-wrapped concrete cylinder pipe, reinforced concrete pipe and T-Lock, a proprietary polyvinyl chloride (PVC) lining for concrete pipe sewer applications.</v>
    <v>956</v>
    <v>Nasdaq Stock Market</v>
    <v>XNAS</v>
    <v>XNAS</v>
    <v>201 NE Park Plaza Dr Ste 100, VANCOUVER, WA, 98684-5874 US</v>
    <v>25.84</v>
    <v>Metals &amp; Mining</v>
    <v>Stock</v>
    <v>44426.632053923437</v>
    <v>273</v>
    <v>25.84</v>
    <v>255055528</v>
    <v>NORTHWEST PIPE COMPANY</v>
    <v>NORTHWEST PIPE COMPANY</v>
    <v>25.84</v>
    <v>15.3325</v>
    <v>26.01</v>
    <v>25.84</v>
    <v>9870570</v>
    <v>NWPX</v>
    <v>NORTHWEST PIPE COMPANY (XNAS:NWPX)</v>
    <v>1161</v>
    <v>45384</v>
    <v>1966</v>
  </rv>
  <rv s="4">
    <v>274</v>
  </rv>
  <rv s="0">
    <v>http://fr.wikipedia.org/wiki/Pentair</v>
    <v>Wikipedia</v>
  </rv>
  <rv s="1">
    <v>35</v>
    <v>276</v>
  </rv>
  <rv s="2">
    <v>6</v>
    <v>https://www.bing.com/th?id=AMMS_b2aac92861f48b364da7184961e87e0a&amp;qlt=95</v>
    <v>277</v>
    <v>0</v>
    <v>https://www.bing.com/images/search?form=xlimg&amp;q=pentair</v>
    <v>Image of PENTAIR PUBLIC LIMITED COMPANY</v>
  </rv>
  <rv s="0">
    <v>https://www.bing.com/financeapi/forcetrigger?t=a212zr&amp;q=XNYS%3aPNR&amp;form=skydnc</v>
    <v>Learn more on Bing</v>
  </rv>
  <rv s="3">
    <v>0</v>
    <v>PENTAIR PUBLIC LIMITED COMPANY (XNYS:PNR)</v>
    <v>3</v>
    <v>4</v>
    <v>Finance</v>
    <v>10</v>
    <v>en-US</v>
    <v>a212zr</v>
    <v>268435456</v>
    <v>1</v>
    <v>Powered by Refinitiv</v>
    <v>80.400000000000006</v>
    <v>43.195</v>
    <v>1.1576</v>
    <v>-0.21</v>
    <v>-2.6619999999999999E-3</v>
    <v>USD</v>
    <v>Pentair plc is a diversified industrial manufacturing company. The Company is engaged in Water Quality Systems business and Flow and Filtration Solutions business. The Water Quality Systems business designs, manufactures, markets and services water system products and solutions to meet filtration and fluid management challenges in food and beverage, water, swimming pools and aquaculture applications. The Flow and Filtration Solutions business is involved in the entire water, water treatment and wastewater system from filtration, desalination, water supply to water disposal, process and control.</v>
    <v>9750</v>
    <v>New York Stock Exchange</v>
    <v>XNYS</v>
    <v>XNYS</v>
    <v>Regal House, 70 London Road, Twickenham, LONDON, UNITED KINGDOM-NA, TW1 3QS GB</v>
    <v>79.16</v>
    <v>278</v>
    <v>Machinery, Equipment &amp; Components</v>
    <v>Stock</v>
    <v>44426.622642800779</v>
    <v>279</v>
    <v>78.34</v>
    <v>13050108708</v>
    <v>PENTAIR PUBLIC LIMITED COMPANY</v>
    <v>PENTAIR PUBLIC LIMITED COMPANY</v>
    <v>78.680000000000007</v>
    <v>27.864100000000001</v>
    <v>78.89</v>
    <v>78.680000000000007</v>
    <v>165863100</v>
    <v>PNR</v>
    <v>PENTAIR PUBLIC LIMITED COMPANY (XNYS:PNR)</v>
    <v>165005</v>
    <v>1122665</v>
    <v>2013</v>
  </rv>
  <rv s="4">
    <v>280</v>
  </rv>
  <rv s="0">
    <v>https://www.bing.com/financeapi/forcetrigger?t=a22dmw&amp;q=XNYS%3aRXN&amp;form=skydnc</v>
    <v>Learn more on Bing</v>
  </rv>
  <rv s="5">
    <v>7</v>
    <v>REXNORD CORPORATION (XNYS:RXN)</v>
    <v>8</v>
    <v>9</v>
    <v>Finance</v>
    <v>5</v>
    <v>en-US</v>
    <v>a22dmw</v>
    <v>268435456</v>
    <v>1</v>
    <v>Powered by Refinitiv</v>
    <v>61.45</v>
    <v>28.1</v>
    <v>1.4486000000000001</v>
    <v>1.34</v>
    <v>2.2620000000000001E-2</v>
    <v>USD</v>
    <v>Rexnord Corporation is a multi-platform industrial company. The Company operates through two segments: Process &amp; Motion Control platform, and Water Management platform. The Process &amp; Motion Control platform designs, manufactures, markets and services a range of engineered mechanical components used within systems. The Process &amp; Motion Control portfolio includes motion control products, shaft management products, aerospace components and related value-added services. Its Process &amp; Motion Control brands include Rexnord, Rex, Euroflex, Falk, FlatTop, Link-Belt, Thomas and Tollok. The Water Management platform designs, procures and markets products that provide and enhance water quality, safety, flow control and conservation. The Water Management product portfolio includes professional grade water control and safety, water distribution and drainage, finish plumbing and site works products. Its products are marketed and sold under various brand names, including Zurn, Wilkins and VAG.</v>
    <v>6570</v>
    <v>New York Stock Exchange</v>
    <v>XNYS</v>
    <v>XNYS</v>
    <v>511 W Freshwater Way, MILWAUKEE, WI, 53204-4113 US</v>
    <v>60.72</v>
    <v>Machinery, Equipment &amp; Components</v>
    <v>Stock</v>
    <v>44426.632425555472</v>
    <v>282</v>
    <v>59.16</v>
    <v>7174281000</v>
    <v>REXNORD CORPORATION</v>
    <v>REXNORD CORPORATION</v>
    <v>59.18</v>
    <v>35.561199999999999</v>
    <v>59.24</v>
    <v>60.58</v>
    <v>121105400</v>
    <v>RXN</v>
    <v>REXNORD CORPORATION (XNYS:RXN)</v>
    <v>256500</v>
    <v>696555</v>
    <v>2006</v>
  </rv>
  <rv s="4">
    <v>283</v>
  </rv>
</rvData>
</file>

<file path=xl/richData/rdrichvaluestructure.xml><?xml version="1.0" encoding="utf-8"?>
<rvStructures xmlns="http://schemas.microsoft.com/office/spreadsheetml/2017/richdata" count="13">
  <s t="_hyperlink">
    <k n="Address" t="s"/>
    <k n="Text" t="s"/>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s>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xchange" t="s"/>
    <k n="Exchange abbreviation" t="s"/>
    <k n="ExchangeID" t="s"/>
    <k n="Headquarters" t="s"/>
    <k n="High"/>
    <k n="Industry" t="s"/>
    <k n="Instrument type" t="s"/>
    <k n="Last trade time"/>
    <k n="LearnMoreOnLink" t="r"/>
    <k n="Low"/>
    <k n="Market cap"/>
    <k n="Name" t="s"/>
    <k n="Official name" t="s"/>
    <k n="Open"/>
    <k n="Previous close"/>
    <k n="Price"/>
    <k n="Ticker symbol" t="s"/>
    <k n="UniqueName" t="s"/>
    <k n="Volume"/>
    <k n="Volume average"/>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Year incorporated"/>
  </s>
</rvStructures>
</file>

<file path=xl/richData/rdsupportingpropertybag.xml><?xml version="1.0" encoding="utf-8"?>
<supportingPropertyBags xmlns="http://schemas.microsoft.com/office/spreadsheetml/2017/richdata2">
  <spbArrays count="9">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a count="37">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Description</v>
      <v t="s">Headquarters</v>
      <v t="s">Industry</v>
      <v t="s">Instrument type</v>
      <v t="s">_Flags</v>
      <v t="s">UniqueName</v>
      <v t="s">_DisplayString</v>
      <v t="s">LearnMoreOnLink</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spbArrays>
  <spbData count="31">
    <spb s="0">
      <v>0</v>
      <v>Name</v>
      <v>LearnMoreOnLink</v>
    </spb>
    <spb s="1">
      <v>0</v>
      <v>0</v>
    </spb>
    <spb s="2">
      <v>0</v>
      <v>0</v>
      <v>0</v>
    </spb>
    <spb s="3">
      <v>1</v>
      <v>2</v>
      <v>2</v>
      <v>2</v>
      <v>2</v>
    </spb>
    <spb s="4">
      <v>1</v>
      <v>2</v>
      <v>2</v>
      <v>1</v>
      <v>3</v>
      <v>1</v>
      <v>4</v>
      <v>1</v>
      <v>1</v>
      <v>5</v>
      <v>5</v>
      <v>6</v>
      <v>7</v>
      <v>1</v>
      <v>1</v>
      <v>1</v>
      <v>5</v>
      <v>8</v>
      <v>9</v>
      <v>10</v>
      <v>5</v>
    </spb>
    <spb s="5">
      <v>Real-Time Nasdaq Last Sale</v>
      <v>from previous close</v>
      <v>from previous close</v>
      <v>Source: Nasdaq Last Sale</v>
      <v>GMT</v>
    </spb>
    <spb s="6">
      <v>Powered by Refinitiv</v>
    </spb>
    <spb s="0">
      <v>1</v>
      <v>Name</v>
      <v>LearnMoreOnLink</v>
    </spb>
    <spb s="7">
      <v>2</v>
      <v>2</v>
      <v>2</v>
      <v>2</v>
    </spb>
    <spb s="8">
      <v>1</v>
      <v>2</v>
      <v>2</v>
      <v>1</v>
      <v>3</v>
      <v>1</v>
      <v>1</v>
      <v>1</v>
      <v>5</v>
      <v>5</v>
      <v>6</v>
      <v>7</v>
      <v>1</v>
      <v>1</v>
      <v>1</v>
      <v>5</v>
      <v>8</v>
      <v>9</v>
      <v>10</v>
      <v>5</v>
    </spb>
    <spb s="5">
      <v>Delayed 15 minutes</v>
      <v>from previous close</v>
      <v>from previous close</v>
      <v>Source: Nasdaq</v>
      <v>GMT</v>
    </spb>
    <spb s="8">
      <v>1</v>
      <v>2</v>
      <v>2</v>
      <v>1</v>
      <v>3</v>
      <v>1</v>
      <v>1</v>
      <v>1</v>
      <v>5</v>
      <v>5</v>
      <v>6</v>
      <v>11</v>
      <v>1</v>
      <v>1</v>
      <v>1</v>
      <v>5</v>
      <v>8</v>
      <v>9</v>
      <v>10</v>
      <v>5</v>
    </spb>
    <spb s="0">
      <v>2</v>
      <v>Name</v>
      <v>LearnMoreOnLink</v>
    </spb>
    <spb s="9">
      <v>12</v>
      <v>2</v>
      <v>2</v>
      <v>12</v>
      <v>3</v>
      <v>12</v>
      <v>12</v>
      <v>12</v>
      <v>5</v>
      <v>5</v>
      <v>6</v>
      <v>11</v>
      <v>12</v>
      <v>12</v>
      <v>12</v>
      <v>8</v>
      <v>9</v>
      <v>10</v>
      <v>5</v>
    </spb>
    <spb s="10">
      <v>Delayed 20 minutes</v>
      <v>from previous close</v>
      <v>from previous close</v>
      <v>GMT</v>
    </spb>
    <spb s="0">
      <v>3</v>
      <v>Name</v>
      <v>LearnMoreOnLink</v>
    </spb>
    <spb s="11">
      <v>1</v>
      <v>2</v>
      <v>1</v>
      <v>3</v>
      <v>1</v>
      <v>1</v>
      <v>1</v>
      <v>5</v>
      <v>5</v>
      <v>6</v>
      <v>7</v>
      <v>1</v>
      <v>1</v>
      <v>1</v>
      <v>5</v>
      <v>8</v>
      <v>9</v>
      <v>10</v>
      <v>5</v>
    </spb>
    <spb s="9">
      <v>13</v>
      <v>2</v>
      <v>2</v>
      <v>13</v>
      <v>3</v>
      <v>13</v>
      <v>13</v>
      <v>13</v>
      <v>5</v>
      <v>5</v>
      <v>6</v>
      <v>14</v>
      <v>13</v>
      <v>13</v>
      <v>13</v>
      <v>8</v>
      <v>9</v>
      <v>10</v>
      <v>5</v>
    </spb>
    <spb s="10">
      <v>Delayed 15 minutes</v>
      <v>from previous close</v>
      <v>from previous close</v>
      <v>GMT</v>
    </spb>
    <spb s="0">
      <v>4</v>
      <v>Name</v>
      <v>LearnMoreOnLink</v>
    </spb>
    <spb s="12">
      <v>1</v>
      <v>1</v>
      <v>3</v>
      <v>1</v>
      <v>1</v>
      <v>1</v>
      <v>5</v>
      <v>5</v>
      <v>6</v>
      <v>7</v>
      <v>1</v>
      <v>1</v>
      <v>1</v>
      <v>5</v>
      <v>8</v>
      <v>9</v>
      <v>10</v>
      <v>5</v>
    </spb>
    <spb s="0">
      <v>5</v>
      <v>Name</v>
      <v>LearnMoreOnLink</v>
    </spb>
    <spb s="13">
      <v>1</v>
      <v>2</v>
      <v>1</v>
      <v>3</v>
      <v>1</v>
      <v>1</v>
      <v>1</v>
      <v>5</v>
      <v>5</v>
      <v>6</v>
      <v>7</v>
      <v>1</v>
      <v>1</v>
      <v>1</v>
      <v>5</v>
      <v>8</v>
      <v>10</v>
      <v>5</v>
    </spb>
    <spb s="0">
      <v>6</v>
      <v>Name</v>
      <v>LearnMoreOnLink</v>
    </spb>
    <spb s="14">
      <v>1</v>
      <v>2</v>
      <v>1</v>
      <v>3</v>
      <v>1</v>
      <v>1</v>
      <v>1</v>
      <v>5</v>
      <v>5</v>
      <v>6</v>
      <v>7</v>
      <v>1</v>
      <v>1</v>
      <v>1</v>
      <v>5</v>
      <v>8</v>
      <v>9</v>
      <v>10</v>
      <v>5</v>
    </spb>
    <spb s="0">
      <v>7</v>
      <v>Name</v>
      <v>LearnMoreOnLink</v>
    </spb>
    <spb s="15">
      <v>1</v>
      <v>1</v>
      <v>3</v>
      <v>1</v>
      <v>1</v>
      <v>1</v>
      <v>5</v>
      <v>6</v>
      <v>7</v>
      <v>1</v>
      <v>1</v>
      <v>1</v>
      <v>5</v>
      <v>8</v>
      <v>10</v>
    </spb>
    <spb s="0">
      <v>8</v>
      <v>Name</v>
      <v>LearnMoreOnLink</v>
    </spb>
    <spb s="16">
      <v>15</v>
      <v>2</v>
      <v>2</v>
      <v>15</v>
      <v>3</v>
      <v>15</v>
      <v>4</v>
      <v>15</v>
      <v>15</v>
      <v>5</v>
      <v>5</v>
      <v>6</v>
      <v>16</v>
      <v>15</v>
      <v>15</v>
      <v>15</v>
      <v>8</v>
      <v>9</v>
      <v>10</v>
      <v>5</v>
    </spb>
    <spb s="16">
      <v>15</v>
      <v>2</v>
      <v>2</v>
      <v>15</v>
      <v>3</v>
      <v>15</v>
      <v>4</v>
      <v>15</v>
      <v>15</v>
      <v>5</v>
      <v>5</v>
      <v>6</v>
      <v>7</v>
      <v>15</v>
      <v>15</v>
      <v>15</v>
      <v>8</v>
      <v>9</v>
      <v>10</v>
      <v>5</v>
    </spb>
    <spb s="9">
      <v>15</v>
      <v>2</v>
      <v>2</v>
      <v>15</v>
      <v>3</v>
      <v>15</v>
      <v>15</v>
      <v>15</v>
      <v>5</v>
      <v>5</v>
      <v>6</v>
      <v>16</v>
      <v>15</v>
      <v>15</v>
      <v>15</v>
      <v>8</v>
      <v>9</v>
      <v>10</v>
      <v>5</v>
    </spb>
  </spbData>
</supportingPropertyBags>
</file>

<file path=xl/richData/rdsupportingpropertybagstructure.xml><?xml version="1.0" encoding="utf-8"?>
<spbStructures xmlns="http://schemas.microsoft.com/office/spreadsheetml/2017/richdata2" count="17">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name" t="s"/>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Low" t="i"/>
    <k n="P/E" t="i"/>
    <k n="Beta" t="i"/>
    <k n="High" t="i"/>
    <k n="Name" t="i"/>
    <k n="Open" t="i"/>
    <k n="Price" t="i"/>
    <k n="Change" t="i"/>
    <k n="Volume" t="i"/>
    <k n="Employees" t="i"/>
    <k n="Change (%)" t="i"/>
    <k n="Market cap" t="i"/>
    <k n="52 week low" t="i"/>
    <k n="52 week high" t="i"/>
    <k n="Previous close" t="i"/>
    <k n="Last trade time" t="i"/>
    <k n="Year incorporated" t="i"/>
    <k n="`%EntityServiceId" t="i"/>
    <k n="Shares outstanding" t="i"/>
  </s>
  <s>
    <k n="Price" t="s"/>
    <k n="Change" t="s"/>
    <k n="Change (%)" t="s"/>
    <k n="Last trade ti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Low" t="i"/>
    <k n="P/E" t="i"/>
    <k n="High" t="i"/>
    <k n="Name" t="i"/>
    <k n="Open" t="i"/>
    <k n="Price" t="i"/>
    <k n="Change" t="i"/>
    <k n="Volume" t="i"/>
    <k n="Employees" t="i"/>
    <k n="Change (%)" t="i"/>
    <k n="Market cap" t="i"/>
    <k n="52 week low" t="i"/>
    <k n="52 week high" t="i"/>
    <k n="Previous close" t="i"/>
    <k n="Volume average" t="i"/>
    <k n="Last trade time" t="i"/>
    <k n="`%EntityServiceId" t="i"/>
    <k n="Shares outstanding" t="i"/>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Low" t="i"/>
    <k n="High" t="i"/>
    <k n="Name" t="i"/>
    <k n="Open" t="i"/>
    <k n="Price" t="i"/>
    <k n="Change" t="i"/>
    <k n="Volume" t="i"/>
    <k n="Change (%)" t="i"/>
    <k n="Market cap" t="i"/>
    <k n="52 week low" t="i"/>
    <k n="52 week high" t="i"/>
    <k n="Previous close" t="i"/>
    <k n="Volume average" t="i"/>
    <k n="Last trade time" t="i"/>
    <k n="`%EntityServiceId" t="i"/>
  </s>
  <s>
    <k n="Low" t="i"/>
    <k n="P/E" t="i"/>
    <k n="Beta" t="i"/>
    <k n="High" t="i"/>
    <k n="Name" t="i"/>
    <k n="Open" t="i"/>
    <k n="Image" t="i"/>
    <k n="Price" t="i"/>
    <k n="Change" t="i"/>
    <k n="Volume" t="i"/>
    <k n="Employees" t="i"/>
    <k n="Change (%)" t="i"/>
    <k n="Market cap" t="i"/>
    <k n="52 week low" t="i"/>
    <k n="52 week high" t="i"/>
    <k n="Previous close" t="i"/>
    <k n="Last trade time" t="i"/>
    <k n="Year incorporated" t="i"/>
    <k n="`%EntityService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4">
    <x:dxf>
      <x:numFmt numFmtId="186" formatCode="_([$$-409]* #,##0.00_);_([$$-409]* \(#,##0.00\);_([$$-409]* &quot;-&quot;??_);_(@_)"/>
    </x:dxf>
    <x:dxf>
      <x:numFmt numFmtId="4" formatCode="#,##0.00"/>
    </x:dxf>
    <x:dxf>
      <x:numFmt numFmtId="3" formatCode="#,##0"/>
    </x:dxf>
    <x:dxf>
      <x:numFmt numFmtId="14" formatCode="0.00%"/>
    </x:dxf>
    <x:dxf>
      <x:numFmt numFmtId="185" formatCode="_([$$-409]* #,##0_);_([$$-409]* \(#,##0\);_([$$-409]* &quot;-&quot;_);_(@_)"/>
    </x:dxf>
    <x:dxf>
      <x:numFmt numFmtId="27" formatCode="m/d/yy\ h:mm"/>
    </x:dxf>
    <x:dxf>
      <x:numFmt numFmtId="1" formatCode="0"/>
    </x:dxf>
    <x:dxf>
      <x:numFmt numFmtId="2" formatCode="0.00"/>
    </x:dxf>
    <x:dxf>
      <x:numFmt numFmtId="184" formatCode="_([$$-1009]* #,##0_);_([$$-1009]* \(#,##0\);_([$$-1009]* &quot;-&quot;_);_(@_)"/>
    </x:dxf>
    <x:dxf>
      <x:numFmt numFmtId="183" formatCode="_([$$-1009]* #,##0.00_);_([$$-1009]* \(#,##0.00\);_([$$-1009]* &quot;-&quot;??_);_(@_)"/>
    </x:dxf>
    <x:dxf>
      <x:numFmt numFmtId="182" formatCode="_([$HK$-C04]* #,##0.00_);_([$HK$-C04]* \(#,##0.00\);_([$HK$-C04]* &quot;-&quot;??_);_(@_)"/>
    </x:dxf>
    <x:dxf>
      <x:numFmt numFmtId="181" formatCode="_([$$-1004]* #,##0_);_([$$-1004]* \(#,##0\);_([$$-1004]* &quot;-&quot;_);_(@_)"/>
    </x:dxf>
    <x:dxf>
      <x:numFmt numFmtId="176" formatCode="_([$€-2]\ * #,##0.00_);_([$€-2]\ * \(#,##0.00\);_([$€-2]\ * &quot;-&quot;??_);_(@_)"/>
    </x:dxf>
    <x:dxf>
      <x:numFmt numFmtId="175" formatCode="_([$€-2]\ * #,##0_);_([$€-2]\ * \(#,##0\);_([$€-2]\ * &quot;-&quot;_);_(@_)"/>
    </x:dxf>
  </dxfs>
  <richProperties>
    <rPr n="IsTitleField" t="b"/>
    <rPr n="IsHeroField" t="b"/>
  </richProperties>
  <richStyles>
    <rSty dxfid="0"/>
    <rSty dxfid="1"/>
    <rSty>
      <rpv i="0">1</rpv>
    </rSty>
    <rSty>
      <rpv i="1">1</rpv>
    </rSty>
    <rSty dxfid="2"/>
    <rSty dxfid="3"/>
    <rSty dxfid="4"/>
    <rSty dxfid="5"/>
    <rSty dxfid="6"/>
    <rSty dxfid="7"/>
    <rSty dxfid="8"/>
    <rSty dxfid="9"/>
    <rSty dxfid="10"/>
    <rSty dxfid="11"/>
    <rSty dxfid="12"/>
    <rSty dxfid="13"/>
  </richStyles>
</richStyleSheet>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66"/>
  <sheetViews>
    <sheetView showGridLines="0" workbookViewId="0">
      <pane xSplit="3" ySplit="1" topLeftCell="D2" activePane="bottomRight" state="frozen"/>
      <selection pane="topRight"/>
      <selection pane="bottomLeft"/>
      <selection pane="bottomRight" activeCell="D45" sqref="D45"/>
    </sheetView>
  </sheetViews>
  <sheetFormatPr baseColWidth="10" defaultColWidth="16.33203125" defaultRowHeight="20" customHeight="1" x14ac:dyDescent="0.15"/>
  <cols>
    <col min="1" max="1" width="16.33203125" style="1" customWidth="1"/>
    <col min="2" max="2" width="30.1640625" style="1" customWidth="1"/>
    <col min="3" max="3" width="29" style="1" customWidth="1"/>
    <col min="4" max="5" width="16.33203125" style="1" customWidth="1"/>
    <col min="6" max="16384" width="16.33203125" style="1"/>
  </cols>
  <sheetData>
    <row r="1" spans="1:4" ht="20.25" customHeight="1" x14ac:dyDescent="0.15">
      <c r="A1" s="2" t="s">
        <v>0</v>
      </c>
      <c r="B1" s="2" t="s">
        <v>1</v>
      </c>
      <c r="C1" s="2" t="s">
        <v>2</v>
      </c>
      <c r="D1" s="2" t="s">
        <v>4</v>
      </c>
    </row>
    <row r="2" spans="1:4" ht="20.25" customHeight="1" x14ac:dyDescent="0.15">
      <c r="A2" s="4" t="s">
        <v>5</v>
      </c>
      <c r="B2" s="4" t="s">
        <v>6</v>
      </c>
      <c r="C2" s="4" t="s">
        <v>7</v>
      </c>
      <c r="D2" s="5">
        <f>SUMIF(Airport!A2:A9,$A2,Airport!F2:F9)+SUMIF(Broadband!A2:A12,$A2,Broadband!F2:F12)+SUMIF(Concrete_Asphalt_Steel!A2:A14,$A2,Concrete_Asphalt_Steel!F2:F14)+SUMIF(Environmental!A2:A13,$A2,Environmental!F2:F13)+SUMIF(Equip_Rental_Transpo!A2:A9,$A2,Equip_Rental_Transpo!F2:F9)+SUMIF('EV Charging'!A2:A9,$A2,'EV Charging'!F2:F9)+SUMIF(Grid!A2:A12,$A2,Grid!F2:F12)+SUMIF('Mass Transit'!A2:A9,$A2,'Mass Transit'!F2:F9)+SUMIF(Ports!A2:A9,$A2,Ports!F2:F9)+SUMIF(Rails!A2:A9,$A2,Rails!F2:F9)+SUMIF('Roads and Bridges'!A2:A12,$A2,'Roads and Bridges'!F2:F12)+SUMIF(Water!A2:A24,$A2,Water!F2:F24)+SUMIF('EV Buses'!A2:A8,$A2,'EV Buses'!F2:F8)</f>
        <v>6.9485445632631412E-2</v>
      </c>
    </row>
    <row r="3" spans="1:4" ht="20" customHeight="1" x14ac:dyDescent="0.15">
      <c r="A3" s="7" t="s">
        <v>8</v>
      </c>
      <c r="B3" s="7" t="s">
        <v>9</v>
      </c>
      <c r="C3" s="7" t="s">
        <v>7</v>
      </c>
      <c r="D3" s="8">
        <f>SUMIF(Airport!A2:A9,$A3,Airport!F2:F9)+SUMIF(Broadband!A2:A12,$A3,Broadband!F2:F12)+SUMIF(Concrete_Asphalt_Steel!A2:A14,$A3,Concrete_Asphalt_Steel!F2:F14)+SUMIF(Environmental!A2:A13,$A3,Environmental!F2:F13)+SUMIF(Equip_Rental_Transpo!A2:A9,$A3,Equip_Rental_Transpo!F2:F9)+SUMIF('EV Charging'!A2:A9,$A3,'EV Charging'!F2:F9)+SUMIF(Grid!A2:A12,$A3,Grid!F2:F12)+SUMIF('Mass Transit'!A2:A9,$A3,'Mass Transit'!F2:F9)+SUMIF(Ports!A2:A9,$A3,Ports!F2:F9)+SUMIF(Rails!A2:A9,$A3,Rails!F2:F9)+SUMIF('Roads and Bridges'!A2:A12,$A3,'Roads and Bridges'!F2:F12)+SUMIF(Water!A2:A24,$A3,Water!F2:F24)+SUMIF('EV Buses'!A2:A8,$A3,'EV Buses'!F2:F8)</f>
        <v>5.7875907785794579E-2</v>
      </c>
    </row>
    <row r="4" spans="1:4" ht="20" customHeight="1" x14ac:dyDescent="0.15">
      <c r="A4" s="7" t="s">
        <v>10</v>
      </c>
      <c r="B4" s="7" t="s">
        <v>11</v>
      </c>
      <c r="C4" s="7" t="s">
        <v>7</v>
      </c>
      <c r="D4" s="8">
        <f>SUMIF(Airport!A2:A9,$A4,Airport!F2:F9)+SUMIF(Broadband!A2:A12,$A4,Broadband!F2:F12)+SUMIF(Concrete_Asphalt_Steel!A2:A14,$A4,Concrete_Asphalt_Steel!F2:F14)+SUMIF(Environmental!A2:A13,$A4,Environmental!F2:F13)+SUMIF(Equip_Rental_Transpo!A2:A9,$A4,Equip_Rental_Transpo!F2:F9)+SUMIF('EV Charging'!A2:A9,$A4,'EV Charging'!F2:F9)+SUMIF(Grid!A2:A12,$A4,Grid!F2:F12)+SUMIF('Mass Transit'!A2:A9,$A4,'Mass Transit'!F2:F9)+SUMIF(Ports!A2:A9,$A4,Ports!F2:F9)+SUMIF(Rails!A2:A9,$A4,Rails!F2:F9)+SUMIF('Roads and Bridges'!A2:A12,$A4,'Roads and Bridges'!F2:F12)+SUMIF(Water!A2:A24,$A4,Water!F2:F24)+SUMIF('EV Buses'!A2:A8,$A4,'EV Buses'!F2:F8)</f>
        <v>4.8755539222460544E-2</v>
      </c>
    </row>
    <row r="5" spans="1:4" ht="20" customHeight="1" x14ac:dyDescent="0.15">
      <c r="A5" s="7" t="s">
        <v>12</v>
      </c>
      <c r="B5" s="7" t="s">
        <v>13</v>
      </c>
      <c r="C5" s="7" t="s">
        <v>7</v>
      </c>
      <c r="D5" s="8">
        <f>SUMIF(Airport!A2:A9,$A5,Airport!F2:F9)+SUMIF(Broadband!A2:A12,$A5,Broadband!F2:F12)+SUMIF(Concrete_Asphalt_Steel!A2:A14,$A5,Concrete_Asphalt_Steel!F2:F14)+SUMIF(Environmental!A2:A13,$A5,Environmental!F2:F13)+SUMIF(Equip_Rental_Transpo!A2:A9,$A5,Equip_Rental_Transpo!F2:F9)+SUMIF('EV Charging'!A2:A9,$A5,'EV Charging'!F2:F9)+SUMIF(Grid!A2:A12,$A5,Grid!F2:F12)+SUMIF('Mass Transit'!A2:A9,$A5,'Mass Transit'!F2:F9)+SUMIF(Ports!A2:A9,$A5,Ports!F2:F9)+SUMIF(Rails!A2:A9,$A5,Rails!F2:F9)+SUMIF('Roads and Bridges'!A2:A12,$A5,'Roads and Bridges'!F2:F12)+SUMIF(Water!A2:A24,$A5,Water!F2:F24)+SUMIF('EV Buses'!A2:A8,$A5,'EV Buses'!F2:F8)</f>
        <v>4.7299357623050729E-2</v>
      </c>
    </row>
    <row r="6" spans="1:4" ht="20" customHeight="1" x14ac:dyDescent="0.15">
      <c r="A6" s="7" t="s">
        <v>14</v>
      </c>
      <c r="B6" s="7" t="s">
        <v>15</v>
      </c>
      <c r="C6" s="7" t="s">
        <v>7</v>
      </c>
      <c r="D6" s="8">
        <f>SUMIF(Airport!A2:A9,$A6,Airport!F2:F9)+SUMIF(Broadband!A2:A12,$A6,Broadband!F2:F12)+SUMIF(Concrete_Asphalt_Steel!A2:A14,$A6,Concrete_Asphalt_Steel!F2:F14)+SUMIF(Environmental!A2:A13,$A6,Environmental!F2:F13)+SUMIF(Equip_Rental_Transpo!A2:A9,$A6,Equip_Rental_Transpo!F2:F9)+SUMIF('EV Charging'!A2:A9,$A6,'EV Charging'!F2:F9)+SUMIF(Grid!A2:A12,$A6,Grid!F2:F12)+SUMIF('Mass Transit'!A2:A9,$A6,'Mass Transit'!F2:F9)+SUMIF(Ports!A2:A9,$A6,Ports!F2:F9)+SUMIF(Rails!A2:A9,$A6,Rails!F2:F9)+SUMIF('Roads and Bridges'!A2:A12,$A6,'Roads and Bridges'!F2:F12)+SUMIF(Water!A2:A24,$A6,Water!F2:F24)+SUMIF('EV Buses'!A2:A8,$A6,'EV Buses'!F2:F8)</f>
        <v>4.5830679894471336E-2</v>
      </c>
    </row>
    <row r="7" spans="1:4" ht="20" customHeight="1" x14ac:dyDescent="0.15">
      <c r="A7" s="7" t="s">
        <v>16</v>
      </c>
      <c r="B7" s="7" t="s">
        <v>17</v>
      </c>
      <c r="C7" s="7" t="s">
        <v>7</v>
      </c>
      <c r="D7" s="8">
        <f>SUMIF(Airport!A2:A9,$A7,Airport!F2:F9)+SUMIF(Broadband!A2:A12,$A7,Broadband!F2:F12)+SUMIF(Concrete_Asphalt_Steel!A2:A14,$A7,Concrete_Asphalt_Steel!F2:F14)+SUMIF(Environmental!A2:A13,$A7,Environmental!F2:F13)+SUMIF(Equip_Rental_Transpo!A2:A9,$A7,Equip_Rental_Transpo!F2:F9)+SUMIF('EV Charging'!A2:A9,$A7,'EV Charging'!F2:F9)+SUMIF(Grid!A2:A12,$A7,Grid!F2:F12)+SUMIF('Mass Transit'!A2:A9,$A7,'Mass Transit'!F2:F9)+SUMIF(Ports!A2:A9,$A7,Ports!F2:F9)+SUMIF(Rails!A2:A9,$A7,Rails!F2:F9)+SUMIF('Roads and Bridges'!A2:A12,$A7,'Roads and Bridges'!F2:F12)+SUMIF(Water!A2:A24,$A7,Water!F2:F24)+SUMIF('EV Buses'!A2:A8,$A7,'EV Buses'!F2:F8)</f>
        <v>3.8398806075277465E-2</v>
      </c>
    </row>
    <row r="8" spans="1:4" ht="20" customHeight="1" x14ac:dyDescent="0.15">
      <c r="A8" s="7" t="s">
        <v>18</v>
      </c>
      <c r="B8" s="7" t="s">
        <v>19</v>
      </c>
      <c r="C8" s="7" t="s">
        <v>7</v>
      </c>
      <c r="D8" s="8">
        <f>SUMIF(Airport!A2:A9,$A8,Airport!F2:F9)+SUMIF(Broadband!A2:A12,$A8,Broadband!F2:F12)+SUMIF(Concrete_Asphalt_Steel!A2:A14,$A8,Concrete_Asphalt_Steel!F2:F14)+SUMIF(Environmental!A2:A13,$A8,Environmental!F2:F13)+SUMIF(Equip_Rental_Transpo!A2:A9,$A8,Equip_Rental_Transpo!F2:F9)+SUMIF('EV Charging'!A2:A9,$A8,'EV Charging'!F2:F9)+SUMIF(Grid!A2:A12,$A8,Grid!F2:F12)+SUMIF('Mass Transit'!A2:A9,$A8,'Mass Transit'!F2:F9)+SUMIF(Ports!A2:A9,$A8,Ports!F2:F9)+SUMIF(Rails!A2:A9,$A8,Rails!F2:F9)+SUMIF('Roads and Bridges'!A2:A12,$A8,'Roads and Bridges'!F2:F12)+SUMIF(Water!A2:A24,$A8,Water!F2:F24)+SUMIF('EV Buses'!A2:A8,$A8,'EV Buses'!F2:F8)</f>
        <v>3.4269722346395241E-2</v>
      </c>
    </row>
    <row r="9" spans="1:4" ht="20" customHeight="1" x14ac:dyDescent="0.15">
      <c r="A9" s="7" t="s">
        <v>20</v>
      </c>
      <c r="B9" s="7" t="s">
        <v>21</v>
      </c>
      <c r="C9" s="7" t="s">
        <v>7</v>
      </c>
      <c r="D9" s="8">
        <f>SUMIF(Airport!A2:A9,$A9,Airport!F2:F9)+SUMIF(Broadband!A2:A12,$A9,Broadband!F2:F12)+SUMIF(Concrete_Asphalt_Steel!A2:A14,$A9,Concrete_Asphalt_Steel!F2:F14)+SUMIF(Environmental!A2:A13,$A9,Environmental!F2:F13)+SUMIF(Equip_Rental_Transpo!A2:A9,$A9,Equip_Rental_Transpo!F2:F9)+SUMIF('EV Charging'!A2:A9,$A9,'EV Charging'!F2:F9)+SUMIF(Grid!A2:A12,$A9,Grid!F2:F12)+SUMIF('Mass Transit'!A2:A9,$A9,'Mass Transit'!F2:F9)+SUMIF(Ports!A2:A9,$A9,Ports!F2:F9)+SUMIF(Rails!A2:A9,$A9,Rails!F2:F9)+SUMIF('Roads and Bridges'!A2:A12,$A9,'Roads and Bridges'!F2:F12)+SUMIF(Water!A2:A24,$A9,Water!F2:F24)+SUMIF('EV Buses'!A2:A8,$A9,'EV Buses'!F2:F8)</f>
        <v>2.7976740701454329E-2</v>
      </c>
    </row>
    <row r="10" spans="1:4" ht="20" customHeight="1" x14ac:dyDescent="0.15">
      <c r="A10" s="7" t="s">
        <v>22</v>
      </c>
      <c r="B10" s="7" t="s">
        <v>23</v>
      </c>
      <c r="C10" s="7" t="s">
        <v>7</v>
      </c>
      <c r="D10" s="8">
        <f>SUMIF(Airport!A2:A9,$A10,Airport!F2:F9)+SUMIF(Broadband!A2:A12,$A10,Broadband!F2:F12)+SUMIF(Concrete_Asphalt_Steel!A2:A14,$A10,Concrete_Asphalt_Steel!F2:F14)+SUMIF(Environmental!A2:A13,$A10,Environmental!F2:F13)+SUMIF(Equip_Rental_Transpo!A2:A9,$A10,Equip_Rental_Transpo!F2:F9)+SUMIF('EV Charging'!A2:A9,$A10,'EV Charging'!F2:F9)+SUMIF(Grid!A2:A12,$A10,Grid!F2:F12)+SUMIF('Mass Transit'!A2:A9,$A10,'Mass Transit'!F2:F9)+SUMIF(Ports!A2:A9,$A10,Ports!F2:F9)+SUMIF(Rails!A2:A9,$A10,Rails!F2:F9)+SUMIF('Roads and Bridges'!A2:A12,$A10,'Roads and Bridges'!F2:F12)+SUMIF(Water!A2:A24,$A10,Water!F2:F24)+SUMIF('EV Buses'!A2:A8,$A10,'EV Buses'!F2:F8)</f>
        <v>2.30633000136229E-2</v>
      </c>
    </row>
    <row r="11" spans="1:4" ht="20" customHeight="1" x14ac:dyDescent="0.15">
      <c r="A11" s="7" t="s">
        <v>24</v>
      </c>
      <c r="B11" s="7" t="s">
        <v>25</v>
      </c>
      <c r="C11" s="7" t="s">
        <v>7</v>
      </c>
      <c r="D11" s="8">
        <f>SUMIF(Airport!A2:A9,$A11,Airport!F2:F9)+SUMIF(Broadband!A2:A12,$A11,Broadband!F2:F12)+SUMIF(Concrete_Asphalt_Steel!A2:A14,$A11,Concrete_Asphalt_Steel!F2:F14)+SUMIF(Environmental!A2:A13,$A11,Environmental!F2:F13)+SUMIF(Equip_Rental_Transpo!A2:A9,$A11,Equip_Rental_Transpo!F2:F9)+SUMIF('EV Charging'!A2:A9,$A11,'EV Charging'!F2:F9)+SUMIF(Grid!A2:A12,$A11,Grid!F2:F12)+SUMIF('Mass Transit'!A2:A9,$A11,'Mass Transit'!F2:F9)+SUMIF(Ports!A2:A9,$A11,Ports!F2:F9)+SUMIF(Rails!A2:A9,$A11,Rails!F2:F9)+SUMIF('Roads and Bridges'!A2:A12,$A11,'Roads and Bridges'!F2:F12)+SUMIF(Water!A2:A24,$A11,Water!F2:F24)+SUMIF('EV Buses'!A2:A8,$A11,'EV Buses'!F2:F8)</f>
        <v>2.2230468556395541E-2</v>
      </c>
    </row>
    <row r="12" spans="1:4" ht="20" customHeight="1" x14ac:dyDescent="0.15">
      <c r="A12" s="7" t="s">
        <v>26</v>
      </c>
      <c r="B12" s="7" t="s">
        <v>27</v>
      </c>
      <c r="C12" s="7" t="s">
        <v>28</v>
      </c>
      <c r="D12" s="8">
        <f>SUMIF(Airport!A2:A9,$A12,Airport!F2:F9)+SUMIF(Broadband!A2:A12,$A12,Broadband!F2:F12)+SUMIF(Concrete_Asphalt_Steel!A2:A14,$A12,Concrete_Asphalt_Steel!F2:F14)+SUMIF(Environmental!A2:A13,$A12,Environmental!F2:F13)+SUMIF(Equip_Rental_Transpo!A2:A9,$A12,Equip_Rental_Transpo!F2:F9)+SUMIF('EV Charging'!A2:A9,$A12,'EV Charging'!F2:F9)+SUMIF(Grid!A2:A12,$A12,Grid!F2:F12)+SUMIF('Mass Transit'!A2:A9,$A12,'Mass Transit'!F2:F9)+SUMIF(Ports!A2:A9,$A12,Ports!F2:F9)+SUMIF(Rails!A2:A9,$A12,Rails!F2:F9)+SUMIF('Roads and Bridges'!A2:A12,$A12,'Roads and Bridges'!F2:F12)+SUMIF(Water!A2:A24,$A12,Water!F2:F24)+SUMIF('EV Buses'!A2:A8,$A12,'EV Buses'!F2:F8)</f>
        <v>2.0283436582320007E-2</v>
      </c>
    </row>
    <row r="13" spans="1:4" ht="20" customHeight="1" x14ac:dyDescent="0.15">
      <c r="A13" s="7" t="s">
        <v>29</v>
      </c>
      <c r="B13" s="7" t="s">
        <v>30</v>
      </c>
      <c r="C13" s="7" t="s">
        <v>7</v>
      </c>
      <c r="D13" s="8">
        <f>SUMIF(Airport!A2:A9,$A13,Airport!F2:F9)+SUMIF(Broadband!A2:A12,$A13,Broadband!F2:F12)+SUMIF(Concrete_Asphalt_Steel!A2:A14,$A13,Concrete_Asphalt_Steel!F2:F14)+SUMIF(Environmental!A2:A13,$A13,Environmental!F2:F13)+SUMIF(Equip_Rental_Transpo!A2:A9,$A13,Equip_Rental_Transpo!F2:F9)+SUMIF('EV Charging'!A2:A9,$A13,'EV Charging'!F2:F9)+SUMIF(Grid!A2:A12,$A13,Grid!F2:F12)+SUMIF('Mass Transit'!A2:A9,$A13,'Mass Transit'!F2:F9)+SUMIF(Ports!A2:A9,$A13,Ports!F2:F9)+SUMIF(Rails!A2:A9,$A13,Rails!F2:F9)+SUMIF('Roads and Bridges'!A2:A12,$A13,'Roads and Bridges'!F2:F12)+SUMIF(Water!A2:A24,$A13,Water!F2:F24)+SUMIF('EV Buses'!A2:A8,$A13,'EV Buses'!F2:F8)</f>
        <v>1.9830589596420929E-2</v>
      </c>
    </row>
    <row r="14" spans="1:4" ht="20" customHeight="1" x14ac:dyDescent="0.15">
      <c r="A14" s="7" t="s">
        <v>31</v>
      </c>
      <c r="B14" s="7" t="s">
        <v>32</v>
      </c>
      <c r="C14" s="7" t="s">
        <v>28</v>
      </c>
      <c r="D14" s="8">
        <f>SUMIF(Airport!A2:A9,$A14,Airport!F2:F9)+SUMIF(Broadband!A2:A12,$A14,Broadband!F2:F12)+SUMIF(Concrete_Asphalt_Steel!A2:A14,$A14,Concrete_Asphalt_Steel!F2:F14)+SUMIF(Environmental!A2:A13,$A14,Environmental!F2:F13)+SUMIF(Equip_Rental_Transpo!A2:A9,$A14,Equip_Rental_Transpo!F2:F9)+SUMIF('EV Charging'!A2:A9,$A14,'EV Charging'!F2:F9)+SUMIF(Grid!A2:A12,$A14,Grid!F2:F12)+SUMIF('Mass Transit'!A2:A9,$A14,'Mass Transit'!F2:F9)+SUMIF(Ports!A2:A9,$A14,Ports!F2:F9)+SUMIF(Rails!A2:A9,$A14,Rails!F2:F9)+SUMIF('Roads and Bridges'!A2:A12,$A14,'Roads and Bridges'!F2:F12)+SUMIF(Water!A2:A24,$A14,Water!F2:F24)+SUMIF('EV Buses'!A2:A8,$A14,'EV Buses'!F2:F8)</f>
        <v>1.9373175708395064E-2</v>
      </c>
    </row>
    <row r="15" spans="1:4" ht="20" customHeight="1" x14ac:dyDescent="0.15">
      <c r="A15" s="7" t="s">
        <v>33</v>
      </c>
      <c r="B15" s="7" t="s">
        <v>34</v>
      </c>
      <c r="C15" s="7" t="s">
        <v>35</v>
      </c>
      <c r="D15" s="8">
        <f>SUMIF(Airport!A2:A9,$A15,Airport!F2:F9)+SUMIF(Broadband!A2:A12,$A15,Broadband!F2:F12)+SUMIF(Concrete_Asphalt_Steel!A2:A14,$A15,Concrete_Asphalt_Steel!F2:F14)+SUMIF(Environmental!A2:A13,$A15,Environmental!F2:F13)+SUMIF(Equip_Rental_Transpo!A2:A9,$A15,Equip_Rental_Transpo!F2:F9)+SUMIF('EV Charging'!A2:A9,$A15,'EV Charging'!F2:F9)+SUMIF(Grid!A2:A12,$A15,Grid!F2:F12)+SUMIF('Mass Transit'!A2:A9,$A15,'Mass Transit'!F2:F9)+SUMIF(Ports!A2:A9,$A15,Ports!F2:F9)+SUMIF(Rails!A2:A9,$A15,Rails!F2:F9)+SUMIF('Roads and Bridges'!A2:A12,$A15,'Roads and Bridges'!F2:F12)+SUMIF(Water!A2:A24,$A15,Water!F2:F24)+SUMIF('EV Buses'!A2:A8,$A15,'EV Buses'!F2:F8)</f>
        <v>1.851483278008733E-2</v>
      </c>
    </row>
    <row r="16" spans="1:4" ht="20" customHeight="1" x14ac:dyDescent="0.15">
      <c r="A16" s="7" t="s">
        <v>36</v>
      </c>
      <c r="B16" s="7" t="s">
        <v>37</v>
      </c>
      <c r="C16" s="7" t="s">
        <v>35</v>
      </c>
      <c r="D16" s="8">
        <f>SUMIF(Airport!A2:A9,$A16,Airport!F2:F9)+SUMIF(Broadband!A2:A12,$A16,Broadband!F2:F12)+SUMIF(Concrete_Asphalt_Steel!A2:A14,$A16,Concrete_Asphalt_Steel!F2:F14)+SUMIF(Environmental!A2:A13,$A16,Environmental!F2:F13)+SUMIF(Equip_Rental_Transpo!A2:A9,$A16,Equip_Rental_Transpo!F2:F9)+SUMIF('EV Charging'!A2:A9,$A16,'EV Charging'!F2:F9)+SUMIF(Grid!A2:A12,$A16,Grid!F2:F12)+SUMIF('Mass Transit'!A2:A9,$A16,'Mass Transit'!F2:F9)+SUMIF(Ports!A2:A9,$A16,Ports!F2:F9)+SUMIF(Rails!A2:A9,$A16,Rails!F2:F9)+SUMIF('Roads and Bridges'!A2:A12,$A16,'Roads and Bridges'!F2:F12)+SUMIF(Water!A2:A24,$A16,Water!F2:F24)+SUMIF('EV Buses'!A2:A8,$A16,'EV Buses'!F2:F8)</f>
        <v>1.8485403167195644E-2</v>
      </c>
    </row>
    <row r="17" spans="1:4" ht="20" customHeight="1" x14ac:dyDescent="0.15">
      <c r="A17" s="7" t="s">
        <v>38</v>
      </c>
      <c r="B17" s="7" t="s">
        <v>39</v>
      </c>
      <c r="C17" s="7" t="s">
        <v>35</v>
      </c>
      <c r="D17" s="8">
        <f>SUMIF(Airport!A2:A9,$A17,Airport!F2:F9)+SUMIF(Broadband!A2:A12,$A17,Broadband!F2:F12)+SUMIF(Concrete_Asphalt_Steel!A2:A14,$A17,Concrete_Asphalt_Steel!F2:F14)+SUMIF(Environmental!A2:A13,$A17,Environmental!F2:F13)+SUMIF(Equip_Rental_Transpo!A2:A9,$A17,Equip_Rental_Transpo!F2:F9)+SUMIF('EV Charging'!A2:A9,$A17,'EV Charging'!F2:F9)+SUMIF(Grid!A2:A12,$A17,Grid!F2:F12)+SUMIF('Mass Transit'!A2:A9,$A17,'Mass Transit'!F2:F9)+SUMIF(Ports!A2:A9,$A17,Ports!F2:F9)+SUMIF(Rails!A2:A9,$A17,Rails!F2:F9)+SUMIF('Roads and Bridges'!A2:A12,$A17,'Roads and Bridges'!F2:F12)+SUMIF(Water!A2:A24,$A17,Water!F2:F24)+SUMIF('EV Buses'!A2:A8,$A17,'EV Buses'!F2:F8)</f>
        <v>1.8237110288386017E-2</v>
      </c>
    </row>
    <row r="18" spans="1:4" ht="20" customHeight="1" x14ac:dyDescent="0.15">
      <c r="A18" s="7" t="s">
        <v>40</v>
      </c>
      <c r="B18" s="7" t="s">
        <v>41</v>
      </c>
      <c r="C18" s="7" t="s">
        <v>28</v>
      </c>
      <c r="D18" s="8">
        <f>SUMIF(Airport!A2:A9,$A18,Airport!F2:F9)+SUMIF(Broadband!A2:A12,$A18,Broadband!F2:F12)+SUMIF(Concrete_Asphalt_Steel!A2:A14,$A18,Concrete_Asphalt_Steel!F2:F14)+SUMIF(Environmental!A2:A13,$A18,Environmental!F2:F13)+SUMIF(Equip_Rental_Transpo!A2:A9,$A18,Equip_Rental_Transpo!F2:F9)+SUMIF('EV Charging'!A2:A9,$A18,'EV Charging'!F2:F9)+SUMIF(Grid!A2:A12,$A18,Grid!F2:F12)+SUMIF('Mass Transit'!A2:A9,$A18,'Mass Transit'!F2:F9)+SUMIF(Ports!A2:A9,$A18,Ports!F2:F9)+SUMIF(Rails!A2:A9,$A18,Rails!F2:F9)+SUMIF('Roads and Bridges'!A2:A12,$A18,'Roads and Bridges'!F2:F12)+SUMIF(Water!A2:A24,$A18,Water!F2:F24)+SUMIF('EV Buses'!A2:A8,$A18,'EV Buses'!F2:F8)</f>
        <v>1.8176356280597349E-2</v>
      </c>
    </row>
    <row r="19" spans="1:4" ht="20" customHeight="1" x14ac:dyDescent="0.15">
      <c r="A19" s="7" t="s">
        <v>42</v>
      </c>
      <c r="B19" s="7" t="s">
        <v>43</v>
      </c>
      <c r="C19" s="7" t="s">
        <v>7</v>
      </c>
      <c r="D19" s="8">
        <f>SUMIF(Airport!A2:A9,$A19,Airport!F2:F9)+SUMIF(Broadband!A2:A12,$A19,Broadband!F2:F12)+SUMIF(Concrete_Asphalt_Steel!A2:A14,$A19,Concrete_Asphalt_Steel!F2:F14)+SUMIF(Environmental!A2:A13,$A19,Environmental!F2:F13)+SUMIF(Equip_Rental_Transpo!A2:A9,$A19,Equip_Rental_Transpo!F2:F9)+SUMIF('EV Charging'!A2:A9,$A19,'EV Charging'!F2:F9)+SUMIF(Grid!A2:A12,$A19,Grid!F2:F12)+SUMIF('Mass Transit'!A2:A9,$A19,'Mass Transit'!F2:F9)+SUMIF(Ports!A2:A9,$A19,Ports!F2:F9)+SUMIF(Rails!A2:A9,$A19,Rails!F2:F9)+SUMIF('Roads and Bridges'!A2:A12,$A19,'Roads and Bridges'!F2:F12)+SUMIF(Water!A2:A24,$A19,Water!F2:F24)+SUMIF('EV Buses'!A2:A8,$A19,'EV Buses'!F2:F8)</f>
        <v>1.8050251750276386E-2</v>
      </c>
    </row>
    <row r="20" spans="1:4" ht="20" customHeight="1" x14ac:dyDescent="0.15">
      <c r="A20" s="7" t="s">
        <v>44</v>
      </c>
      <c r="B20" s="7" t="s">
        <v>45</v>
      </c>
      <c r="C20" s="7" t="s">
        <v>7</v>
      </c>
      <c r="D20" s="8">
        <f>SUMIF(Airport!A2:A9,$A20,Airport!F2:F9)+SUMIF(Broadband!A2:A12,$A20,Broadband!F2:F12)+SUMIF(Concrete_Asphalt_Steel!A2:A14,$A20,Concrete_Asphalt_Steel!F2:F14)+SUMIF(Environmental!A2:A13,$A20,Environmental!F2:F13)+SUMIF(Equip_Rental_Transpo!A2:A9,$A20,Equip_Rental_Transpo!F2:F9)+SUMIF('EV Charging'!A2:A9,$A20,'EV Charging'!F2:F9)+SUMIF(Grid!A2:A12,$A20,Grid!F2:F12)+SUMIF('Mass Transit'!A2:A9,$A20,'Mass Transit'!F2:F9)+SUMIF(Ports!A2:A9,$A20,Ports!F2:F9)+SUMIF(Rails!A2:A9,$A20,Rails!F2:F9)+SUMIF('Roads and Bridges'!A2:A12,$A20,'Roads and Bridges'!F2:F12)+SUMIF(Water!A2:A24,$A20,Water!F2:F24)+SUMIF('EV Buses'!A2:A8,$A20,'EV Buses'!F2:F8)</f>
        <v>1.7419481722813702E-2</v>
      </c>
    </row>
    <row r="21" spans="1:4" ht="20" customHeight="1" x14ac:dyDescent="0.15">
      <c r="A21" s="7" t="s">
        <v>46</v>
      </c>
      <c r="B21" s="7" t="s">
        <v>47</v>
      </c>
      <c r="C21" s="7" t="s">
        <v>35</v>
      </c>
      <c r="D21" s="8">
        <f>SUMIF(Airport!A2:A9,$A21,Airport!F2:F9)+SUMIF(Broadband!A2:A12,$A21,Broadband!F2:F12)+SUMIF(Concrete_Asphalt_Steel!A2:A14,$A21,Concrete_Asphalt_Steel!F2:F14)+SUMIF(Environmental!A2:A13,$A21,Environmental!F2:F13)+SUMIF(Equip_Rental_Transpo!A2:A9,$A21,Equip_Rental_Transpo!F2:F9)+SUMIF('EV Charging'!A2:A9,$A21,'EV Charging'!F2:F9)+SUMIF(Grid!A2:A12,$A21,Grid!F2:F12)+SUMIF('Mass Transit'!A2:A9,$A21,'Mass Transit'!F2:F9)+SUMIF(Ports!A2:A9,$A21,Ports!F2:F9)+SUMIF(Rails!A2:A9,$A21,Rails!F2:F9)+SUMIF('Roads and Bridges'!A2:A12,$A21,'Roads and Bridges'!F2:F12)+SUMIF(Water!A2:A24,$A21,Water!F2:F24)+SUMIF('EV Buses'!A2:A8,$A21,'EV Buses'!F2:F8)</f>
        <v>1.7163249987140954E-2</v>
      </c>
    </row>
    <row r="22" spans="1:4" ht="20" customHeight="1" x14ac:dyDescent="0.15">
      <c r="A22" s="7" t="s">
        <v>48</v>
      </c>
      <c r="B22" s="7" t="s">
        <v>49</v>
      </c>
      <c r="C22" s="7" t="s">
        <v>7</v>
      </c>
      <c r="D22" s="8">
        <f>SUMIF(Airport!A2:A9,$A22,Airport!F2:F9)+SUMIF(Broadband!A2:A12,$A22,Broadband!F2:F12)+SUMIF(Concrete_Asphalt_Steel!A2:A14,$A22,Concrete_Asphalt_Steel!F2:F14)+SUMIF(Environmental!A2:A13,$A22,Environmental!F2:F13)+SUMIF(Equip_Rental_Transpo!A2:A9,$A22,Equip_Rental_Transpo!F2:F9)+SUMIF('EV Charging'!A2:A9,$A22,'EV Charging'!F2:F9)+SUMIF(Grid!A2:A12,$A22,Grid!F2:F12)+SUMIF('Mass Transit'!A2:A9,$A22,'Mass Transit'!F2:F9)+SUMIF(Ports!A2:A9,$A22,Ports!F2:F9)+SUMIF(Rails!A2:A9,$A22,Rails!F2:F9)+SUMIF('Roads and Bridges'!A2:A12,$A22,'Roads and Bridges'!F2:F12)+SUMIF(Water!A2:A24,$A22,Water!F2:F24)+SUMIF('EV Buses'!A2:A8,$A22,'EV Buses'!F2:F8)</f>
        <v>1.710224930833015E-2</v>
      </c>
    </row>
    <row r="23" spans="1:4" ht="20" customHeight="1" x14ac:dyDescent="0.15">
      <c r="A23" s="7" t="s">
        <v>50</v>
      </c>
      <c r="B23" s="7" t="s">
        <v>51</v>
      </c>
      <c r="C23" s="7" t="s">
        <v>28</v>
      </c>
      <c r="D23" s="8">
        <f>SUMIF(Airport!A2:A9,$A23,Airport!F2:F9)+SUMIF(Broadband!A2:A12,$A23,Broadband!F2:F12)+SUMIF(Concrete_Asphalt_Steel!A2:A14,$A23,Concrete_Asphalt_Steel!F2:F14)+SUMIF(Environmental!A2:A13,$A23,Environmental!F2:F13)+SUMIF(Equip_Rental_Transpo!A2:A9,$A23,Equip_Rental_Transpo!F2:F9)+SUMIF('EV Charging'!A2:A9,$A23,'EV Charging'!F2:F9)+SUMIF(Grid!A2:A12,$A23,Grid!F2:F12)+SUMIF('Mass Transit'!A2:A9,$A23,'Mass Transit'!F2:F9)+SUMIF(Ports!A2:A9,$A23,Ports!F2:F9)+SUMIF(Rails!A2:A9,$A23,Rails!F2:F9)+SUMIF('Roads and Bridges'!A2:A12,$A23,'Roads and Bridges'!F2:F12)+SUMIF(Water!A2:A24,$A23,Water!F2:F24)+SUMIF('EV Buses'!A2:A8,$A23,'EV Buses'!F2:F8)</f>
        <v>1.6879661168234084E-2</v>
      </c>
    </row>
    <row r="24" spans="1:4" ht="20" customHeight="1" x14ac:dyDescent="0.15">
      <c r="A24" s="7" t="s">
        <v>52</v>
      </c>
      <c r="B24" s="7" t="s">
        <v>53</v>
      </c>
      <c r="C24" s="7" t="s">
        <v>7</v>
      </c>
      <c r="D24" s="8">
        <f>SUMIF(Airport!A2:A9,$A24,Airport!F2:F9)+SUMIF(Broadband!A2:A12,$A24,Broadband!F2:F12)+SUMIF(Concrete_Asphalt_Steel!A2:A14,$A24,Concrete_Asphalt_Steel!F2:F14)+SUMIF(Environmental!A2:A13,$A24,Environmental!F2:F13)+SUMIF(Equip_Rental_Transpo!A2:A9,$A24,Equip_Rental_Transpo!F2:F9)+SUMIF('EV Charging'!A2:A9,$A24,'EV Charging'!F2:F9)+SUMIF(Grid!A2:A12,$A24,Grid!F2:F12)+SUMIF('Mass Transit'!A2:A9,$A24,'Mass Transit'!F2:F9)+SUMIF(Ports!A2:A9,$A24,Ports!F2:F9)+SUMIF(Rails!A2:A9,$A24,Rails!F2:F9)+SUMIF('Roads and Bridges'!A2:A12,$A24,'Roads and Bridges'!F2:F12)+SUMIF(Water!A2:A24,$A24,Water!F2:F24)+SUMIF('EV Buses'!A2:A8,$A24,'EV Buses'!F2:F8)</f>
        <v>1.6482631666071671E-2</v>
      </c>
    </row>
    <row r="25" spans="1:4" ht="20" customHeight="1" x14ac:dyDescent="0.15">
      <c r="A25" s="7" t="s">
        <v>54</v>
      </c>
      <c r="B25" s="7" t="s">
        <v>55</v>
      </c>
      <c r="C25" s="7" t="s">
        <v>35</v>
      </c>
      <c r="D25" s="8">
        <f>SUMIF(Airport!A2:A9,$A25,Airport!F2:F9)+SUMIF(Broadband!A2:A12,$A25,Broadband!F2:F12)+SUMIF(Concrete_Asphalt_Steel!A2:A14,$A25,Concrete_Asphalt_Steel!F2:F14)+SUMIF(Environmental!A2:A13,$A25,Environmental!F2:F13)+SUMIF(Equip_Rental_Transpo!A2:A9,$A25,Equip_Rental_Transpo!F2:F9)+SUMIF('EV Charging'!A2:A9,$A25,'EV Charging'!F2:F9)+SUMIF(Grid!A2:A12,$A25,Grid!F2:F12)+SUMIF('Mass Transit'!A2:A9,$A25,'Mass Transit'!F2:F9)+SUMIF(Ports!A2:A9,$A25,Ports!F2:F9)+SUMIF(Rails!A2:A9,$A25,Rails!F2:F9)+SUMIF('Roads and Bridges'!A2:A12,$A25,'Roads and Bridges'!F2:F12)+SUMIF(Water!A2:A24,$A25,Water!F2:F24)+SUMIF('EV Buses'!A2:A8,$A25,'EV Buses'!F2:F8)</f>
        <v>1.6311567679256934E-2</v>
      </c>
    </row>
    <row r="26" spans="1:4" ht="20" customHeight="1" x14ac:dyDescent="0.15">
      <c r="A26" s="7" t="s">
        <v>56</v>
      </c>
      <c r="B26" s="7" t="s">
        <v>57</v>
      </c>
      <c r="C26" s="7" t="s">
        <v>28</v>
      </c>
      <c r="D26" s="8">
        <f>SUMIF(Airport!A2:A9,$A26,Airport!F2:F9)+SUMIF(Broadband!A2:A12,$A26,Broadband!F2:F12)+SUMIF(Concrete_Asphalt_Steel!A2:A14,$A26,Concrete_Asphalt_Steel!F2:F14)+SUMIF(Environmental!A2:A13,$A26,Environmental!F2:F13)+SUMIF(Equip_Rental_Transpo!A2:A9,$A26,Equip_Rental_Transpo!F2:F9)+SUMIF('EV Charging'!A2:A9,$A26,'EV Charging'!F2:F9)+SUMIF(Grid!A2:A12,$A26,Grid!F2:F12)+SUMIF('Mass Transit'!A2:A9,$A26,'Mass Transit'!F2:F9)+SUMIF(Ports!A2:A9,$A26,Ports!F2:F9)+SUMIF(Rails!A2:A9,$A26,Rails!F2:F9)+SUMIF('Roads and Bridges'!A2:A12,$A26,'Roads and Bridges'!F2:F12)+SUMIF(Water!A2:A24,$A26,Water!F2:F24)+SUMIF('EV Buses'!A2:A8,$A26,'EV Buses'!F2:F8)</f>
        <v>1.5927176250753249E-2</v>
      </c>
    </row>
    <row r="27" spans="1:4" ht="20" customHeight="1" x14ac:dyDescent="0.15">
      <c r="A27" s="7" t="s">
        <v>58</v>
      </c>
      <c r="B27" s="7" t="s">
        <v>59</v>
      </c>
      <c r="C27" s="7" t="s">
        <v>35</v>
      </c>
      <c r="D27" s="8">
        <f>SUMIF(Airport!A2:A9,$A27,Airport!F2:F9)+SUMIF(Broadband!A2:A12,$A27,Broadband!F2:F12)+SUMIF(Concrete_Asphalt_Steel!A2:A14,$A27,Concrete_Asphalt_Steel!F2:F14)+SUMIF(Environmental!A2:A13,$A27,Environmental!F2:F13)+SUMIF(Equip_Rental_Transpo!A2:A9,$A27,Equip_Rental_Transpo!F2:F9)+SUMIF('EV Charging'!A2:A9,$A27,'EV Charging'!F2:F9)+SUMIF(Grid!A2:A12,$A27,Grid!F2:F12)+SUMIF('Mass Transit'!A2:A9,$A27,'Mass Transit'!F2:F9)+SUMIF(Ports!A2:A9,$A27,Ports!F2:F9)+SUMIF(Rails!A2:A9,$A27,Rails!F2:F9)+SUMIF('Roads and Bridges'!A2:A12,$A27,'Roads and Bridges'!F2:F12)+SUMIF(Water!A2:A24,$A27,Water!F2:F24)+SUMIF('EV Buses'!A2:A8,$A27,'EV Buses'!F2:F8)</f>
        <v>1.4948920256696212E-2</v>
      </c>
    </row>
    <row r="28" spans="1:4" ht="20" customHeight="1" x14ac:dyDescent="0.15">
      <c r="A28" s="7" t="s">
        <v>60</v>
      </c>
      <c r="B28" s="7" t="s">
        <v>61</v>
      </c>
      <c r="C28" s="7" t="s">
        <v>35</v>
      </c>
      <c r="D28" s="8">
        <f>SUMIF(Airport!A2:A9,$A28,Airport!F2:F9)+SUMIF(Broadband!A2:A12,$A28,Broadband!F2:F12)+SUMIF(Concrete_Asphalt_Steel!A2:A14,$A28,Concrete_Asphalt_Steel!F2:F14)+SUMIF(Environmental!A2:A13,$A28,Environmental!F2:F13)+SUMIF(Equip_Rental_Transpo!A2:A9,$A28,Equip_Rental_Transpo!F2:F9)+SUMIF('EV Charging'!A2:A9,$A28,'EV Charging'!F2:F9)+SUMIF(Grid!A2:A12,$A28,Grid!F2:F12)+SUMIF('Mass Transit'!A2:A9,$A28,'Mass Transit'!F2:F9)+SUMIF(Ports!A2:A9,$A28,Ports!F2:F9)+SUMIF(Rails!A2:A9,$A28,Rails!F2:F9)+SUMIF('Roads and Bridges'!A2:A12,$A28,'Roads and Bridges'!F2:F12)+SUMIF(Water!A2:A24,$A28,Water!F2:F24)+SUMIF('EV Buses'!A2:A8,$A28,'EV Buses'!F2:F8)</f>
        <v>1.3317315995317493E-2</v>
      </c>
    </row>
    <row r="29" spans="1:4" ht="20" customHeight="1" x14ac:dyDescent="0.15">
      <c r="A29" s="7" t="s">
        <v>62</v>
      </c>
      <c r="B29" s="7" t="s">
        <v>63</v>
      </c>
      <c r="C29" s="7" t="s">
        <v>35</v>
      </c>
      <c r="D29" s="8">
        <f>SUMIF(Airport!A2:A9,$A29,Airport!F2:F9)+SUMIF(Broadband!A2:A12,$A29,Broadband!F2:F12)+SUMIF(Concrete_Asphalt_Steel!A2:A14,$A29,Concrete_Asphalt_Steel!F2:F14)+SUMIF(Environmental!A2:A13,$A29,Environmental!F2:F13)+SUMIF(Equip_Rental_Transpo!A2:A9,$A29,Equip_Rental_Transpo!F2:F9)+SUMIF('EV Charging'!A2:A9,$A29,'EV Charging'!F2:F9)+SUMIF(Grid!A2:A12,$A29,Grid!F2:F12)+SUMIF('Mass Transit'!A2:A9,$A29,'Mass Transit'!F2:F9)+SUMIF(Ports!A2:A9,$A29,Ports!F2:F9)+SUMIF(Rails!A2:A9,$A29,Rails!F2:F9)+SUMIF('Roads and Bridges'!A2:A12,$A29,'Roads and Bridges'!F2:F12)+SUMIF(Water!A2:A24,$A29,Water!F2:F24)+SUMIF('EV Buses'!A2:A8,$A29,'EV Buses'!F2:F8)</f>
        <v>1.270405739211578E-2</v>
      </c>
    </row>
    <row r="30" spans="1:4" ht="20" customHeight="1" x14ac:dyDescent="0.15">
      <c r="A30" s="7" t="s">
        <v>64</v>
      </c>
      <c r="B30" s="7" t="s">
        <v>65</v>
      </c>
      <c r="C30" s="7" t="s">
        <v>7</v>
      </c>
      <c r="D30" s="8">
        <f>SUMIF(Airport!A2:A9,$A30,Airport!F2:F9)+SUMIF(Broadband!A2:A12,$A30,Broadband!F2:F12)+SUMIF(Concrete_Asphalt_Steel!A2:A14,$A30,Concrete_Asphalt_Steel!F2:F14)+SUMIF(Environmental!A2:A13,$A30,Environmental!F2:F13)+SUMIF(Equip_Rental_Transpo!A2:A9,$A30,Equip_Rental_Transpo!F2:F9)+SUMIF('EV Charging'!A2:A9,$A30,'EV Charging'!F2:F9)+SUMIF(Grid!A2:A12,$A30,Grid!F2:F12)+SUMIF('Mass Transit'!A2:A9,$A30,'Mass Transit'!F2:F9)+SUMIF(Ports!A2:A9,$A30,Ports!F2:F9)+SUMIF(Rails!A2:A9,$A30,Rails!F2:F9)+SUMIF('Roads and Bridges'!A2:A12,$A30,'Roads and Bridges'!F2:F12)+SUMIF(Water!A2:A24,$A30,Water!F2:F24)+SUMIF('EV Buses'!A2:A8,$A30,'EV Buses'!F2:F8)</f>
        <v>1.2387076527374172E-2</v>
      </c>
    </row>
    <row r="31" spans="1:4" ht="20" customHeight="1" x14ac:dyDescent="0.15">
      <c r="A31" s="7" t="s">
        <v>66</v>
      </c>
      <c r="B31" s="7" t="s">
        <v>67</v>
      </c>
      <c r="C31" s="7" t="s">
        <v>7</v>
      </c>
      <c r="D31" s="8">
        <f>SUMIF(Airport!A2:A9,$A31,Airport!F2:F9)+SUMIF(Broadband!A2:A12,$A31,Broadband!F2:F12)+SUMIF(Concrete_Asphalt_Steel!A2:A14,$A31,Concrete_Asphalt_Steel!F2:F14)+SUMIF(Environmental!A2:A13,$A31,Environmental!F2:F13)+SUMIF(Equip_Rental_Transpo!A2:A9,$A31,Equip_Rental_Transpo!F2:F9)+SUMIF('EV Charging'!A2:A9,$A31,'EV Charging'!F2:F9)+SUMIF(Grid!A2:A12,$A31,Grid!F2:F12)+SUMIF('Mass Transit'!A2:A9,$A31,'Mass Transit'!F2:F9)+SUMIF(Ports!A2:A9,$A31,Ports!F2:F9)+SUMIF(Rails!A2:A9,$A31,Rails!F2:F9)+SUMIF('Roads and Bridges'!A2:A12,$A31,'Roads and Bridges'!F2:F12)+SUMIF(Water!A2:A24,$A31,Water!F2:F24)+SUMIF('EV Buses'!A2:A8,$A31,'EV Buses'!F2:F8)</f>
        <v>1.2046480631587232E-2</v>
      </c>
    </row>
    <row r="32" spans="1:4" ht="20" customHeight="1" x14ac:dyDescent="0.15">
      <c r="A32" s="7" t="s">
        <v>68</v>
      </c>
      <c r="B32" s="7" t="s">
        <v>69</v>
      </c>
      <c r="C32" s="7" t="s">
        <v>28</v>
      </c>
      <c r="D32" s="8">
        <f>SUMIF(Airport!A2:A9,$A32,Airport!F2:F9)+SUMIF(Broadband!A2:A12,$A32,Broadband!F2:F12)+SUMIF(Concrete_Asphalt_Steel!A2:A14,$A32,Concrete_Asphalt_Steel!F2:F14)+SUMIF(Environmental!A2:A13,$A32,Environmental!F2:F13)+SUMIF(Equip_Rental_Transpo!A2:A9,$A32,Equip_Rental_Transpo!F2:F9)+SUMIF('EV Charging'!A2:A9,$A32,'EV Charging'!F2:F9)+SUMIF(Grid!A2:A12,$A32,Grid!F2:F12)+SUMIF('Mass Transit'!A2:A9,$A32,'Mass Transit'!F2:F9)+SUMIF(Ports!A2:A9,$A32,Ports!F2:F9)+SUMIF(Rails!A2:A9,$A32,Rails!F2:F9)+SUMIF('Roads and Bridges'!A2:A12,$A32,'Roads and Bridges'!F2:F12)+SUMIF(Water!A2:A24,$A32,Water!F2:F24)+SUMIF('EV Buses'!A2:A8,$A32,'EV Buses'!F2:F8)</f>
        <v>1.1222879323722504E-2</v>
      </c>
    </row>
    <row r="33" spans="1:4" ht="20" customHeight="1" x14ac:dyDescent="0.15">
      <c r="A33" s="7" t="s">
        <v>70</v>
      </c>
      <c r="B33" s="7" t="s">
        <v>71</v>
      </c>
      <c r="C33" s="7" t="s">
        <v>35</v>
      </c>
      <c r="D33" s="8">
        <f>SUMIF(Airport!A2:A9,$A33,Airport!F2:F9)+SUMIF(Broadband!A2:A12,$A33,Broadband!F2:F12)+SUMIF(Concrete_Asphalt_Steel!A2:A14,$A33,Concrete_Asphalt_Steel!F2:F14)+SUMIF(Environmental!A2:A13,$A33,Environmental!F2:F13)+SUMIF(Equip_Rental_Transpo!A2:A9,$A33,Equip_Rental_Transpo!F2:F9)+SUMIF('EV Charging'!A2:A9,$A33,'EV Charging'!F2:F9)+SUMIF(Grid!A2:A12,$A33,Grid!F2:F12)+SUMIF('Mass Transit'!A2:A9,$A33,'Mass Transit'!F2:F9)+SUMIF(Ports!A2:A9,$A33,Ports!F2:F9)+SUMIF(Rails!A2:A9,$A33,Rails!F2:F9)+SUMIF('Roads and Bridges'!A2:A12,$A33,'Roads and Bridges'!F2:F12)+SUMIF(Water!A2:A24,$A33,Water!F2:F24)+SUMIF('EV Buses'!A2:A8,$A33,'EV Buses'!F2:F8)</f>
        <v>1.1180366200038105E-2</v>
      </c>
    </row>
    <row r="34" spans="1:4" ht="20" customHeight="1" x14ac:dyDescent="0.15">
      <c r="A34" s="7" t="s">
        <v>72</v>
      </c>
      <c r="B34" s="7" t="s">
        <v>73</v>
      </c>
      <c r="C34" s="7" t="s">
        <v>28</v>
      </c>
      <c r="D34" s="8">
        <f>SUMIF(Airport!A2:A9,$A34,Airport!F2:F9)+SUMIF(Broadband!A2:A12,$A34,Broadband!F2:F12)+SUMIF(Concrete_Asphalt_Steel!A2:A14,$A34,Concrete_Asphalt_Steel!F2:F14)+SUMIF(Environmental!A2:A13,$A34,Environmental!F2:F13)+SUMIF(Equip_Rental_Transpo!A2:A9,$A34,Equip_Rental_Transpo!F2:F9)+SUMIF('EV Charging'!A2:A9,$A34,'EV Charging'!F2:F9)+SUMIF(Grid!A2:A12,$A34,Grid!F2:F12)+SUMIF('Mass Transit'!A2:A9,$A34,'Mass Transit'!F2:F9)+SUMIF(Ports!A2:A9,$A34,Ports!F2:F9)+SUMIF(Rails!A2:A9,$A34,Rails!F2:F9)+SUMIF('Roads and Bridges'!A2:A12,$A34,'Roads and Bridges'!F2:F12)+SUMIF(Water!A2:A24,$A34,Water!F2:F24)+SUMIF('EV Buses'!A2:A8,$A34,'EV Buses'!F2:F8)</f>
        <v>1.1090489667236112E-2</v>
      </c>
    </row>
    <row r="35" spans="1:4" ht="20" customHeight="1" x14ac:dyDescent="0.15">
      <c r="A35" s="7" t="s">
        <v>74</v>
      </c>
      <c r="B35" s="7" t="s">
        <v>75</v>
      </c>
      <c r="C35" s="7" t="s">
        <v>28</v>
      </c>
      <c r="D35" s="8">
        <f>SUMIF(Airport!A2:A9,$A35,Airport!F2:F9)+SUMIF(Broadband!A2:A12,$A35,Broadband!F2:F12)+SUMIF(Concrete_Asphalt_Steel!A2:A14,$A35,Concrete_Asphalt_Steel!F2:F14)+SUMIF(Environmental!A2:A13,$A35,Environmental!F2:F13)+SUMIF(Equip_Rental_Transpo!A2:A9,$A35,Equip_Rental_Transpo!F2:F9)+SUMIF('EV Charging'!A2:A9,$A35,'EV Charging'!F2:F9)+SUMIF(Grid!A2:A12,$A35,Grid!F2:F12)+SUMIF('Mass Transit'!A2:A9,$A35,'Mass Transit'!F2:F9)+SUMIF(Ports!A2:A9,$A35,Ports!F2:F9)+SUMIF(Rails!A2:A9,$A35,Rails!F2:F9)+SUMIF('Roads and Bridges'!A2:A12,$A35,'Roads and Bridges'!F2:F12)+SUMIF(Water!A2:A24,$A35,Water!F2:F24)+SUMIF('EV Buses'!A2:A8,$A35,'EV Buses'!F2:F8)</f>
        <v>1.0953119740698181E-2</v>
      </c>
    </row>
    <row r="36" spans="1:4" ht="20" customHeight="1" x14ac:dyDescent="0.15">
      <c r="A36" s="7" t="s">
        <v>76</v>
      </c>
      <c r="B36" s="7" t="s">
        <v>77</v>
      </c>
      <c r="C36" s="7" t="s">
        <v>28</v>
      </c>
      <c r="D36" s="8">
        <f>SUMIF(Airport!A2:A9,$A36,Airport!F2:F9)+SUMIF(Broadband!A2:A12,$A36,Broadband!F2:F12)+SUMIF(Concrete_Asphalt_Steel!A2:A14,$A36,Concrete_Asphalt_Steel!F2:F14)+SUMIF(Environmental!A2:A13,$A36,Environmental!F2:F13)+SUMIF(Equip_Rental_Transpo!A2:A9,$A36,Equip_Rental_Transpo!F2:F9)+SUMIF('EV Charging'!A2:A9,$A36,'EV Charging'!F2:F9)+SUMIF(Grid!A2:A12,$A36,Grid!F2:F12)+SUMIF('Mass Transit'!A2:A9,$A36,'Mass Transit'!F2:F9)+SUMIF(Ports!A2:A9,$A36,Ports!F2:F9)+SUMIF(Rails!A2:A9,$A36,Rails!F2:F9)+SUMIF('Roads and Bridges'!A2:A12,$A36,'Roads and Bridges'!F2:F12)+SUMIF(Water!A2:A24,$A36,Water!F2:F24)+SUMIF('EV Buses'!A2:A8,$A36,'EV Buses'!F2:F8)</f>
        <v>1.0562123501043625E-2</v>
      </c>
    </row>
    <row r="37" spans="1:4" ht="20" customHeight="1" x14ac:dyDescent="0.15">
      <c r="A37" s="7" t="s">
        <v>78</v>
      </c>
      <c r="B37" s="7" t="s">
        <v>79</v>
      </c>
      <c r="C37" s="7" t="s">
        <v>80</v>
      </c>
      <c r="D37" s="8">
        <f>SUMIF(Airport!A2:A9,$A37,Airport!F2:F9)+SUMIF(Broadband!A2:A12,$A37,Broadband!F2:F12)+SUMIF(Concrete_Asphalt_Steel!A2:A14,$A37,Concrete_Asphalt_Steel!F2:F14)+SUMIF(Environmental!A2:A13,$A37,Environmental!F2:F13)+SUMIF(Equip_Rental_Transpo!A2:A9,$A37,Equip_Rental_Transpo!F2:F9)+SUMIF('EV Charging'!A2:A9,$A37,'EV Charging'!F2:F9)+SUMIF(Grid!A2:A12,$A37,Grid!F2:F12)+SUMIF('Mass Transit'!A2:A9,$A37,'Mass Transit'!F2:F9)+SUMIF(Ports!A2:A9,$A37,Ports!F2:F9)+SUMIF(Rails!A2:A9,$A37,Rails!F2:F9)+SUMIF('Roads and Bridges'!A2:A12,$A37,'Roads and Bridges'!F2:F12)+SUMIF(Water!A2:A24,$A37,Water!F2:F24)+SUMIF('EV Buses'!A2:A8,$A37,'EV Buses'!F2:F8)</f>
        <v>1.0562123501043625E-2</v>
      </c>
    </row>
    <row r="38" spans="1:4" ht="20" customHeight="1" x14ac:dyDescent="0.15">
      <c r="A38" s="7" t="s">
        <v>81</v>
      </c>
      <c r="B38" s="7" t="s">
        <v>82</v>
      </c>
      <c r="C38" s="7" t="s">
        <v>28</v>
      </c>
      <c r="D38" s="8">
        <f>SUMIF(Airport!A2:A9,$A38,Airport!F2:F9)+SUMIF(Broadband!A2:A12,$A38,Broadband!F2:F12)+SUMIF(Concrete_Asphalt_Steel!A2:A14,$A38,Concrete_Asphalt_Steel!F2:F14)+SUMIF(Environmental!A2:A13,$A38,Environmental!F2:F13)+SUMIF(Equip_Rental_Transpo!A2:A9,$A38,Equip_Rental_Transpo!F2:F9)+SUMIF('EV Charging'!A2:A9,$A38,'EV Charging'!F2:F9)+SUMIF(Grid!A2:A12,$A38,Grid!F2:F12)+SUMIF('Mass Transit'!A2:A9,$A38,'Mass Transit'!F2:F9)+SUMIF(Ports!A2:A9,$A38,Ports!F2:F9)+SUMIF(Rails!A2:A9,$A38,Rails!F2:F9)+SUMIF('Roads and Bridges'!A2:A12,$A38,'Roads and Bridges'!F2:F12)+SUMIF(Water!A2:A24,$A38,Water!F2:F24)+SUMIF('EV Buses'!A2:A8,$A38,'EV Buses'!F2:F8)</f>
        <v>1.0562123501043625E-2</v>
      </c>
    </row>
    <row r="39" spans="1:4" ht="20" customHeight="1" x14ac:dyDescent="0.15">
      <c r="A39" s="7" t="s">
        <v>83</v>
      </c>
      <c r="B39" s="7" t="s">
        <v>84</v>
      </c>
      <c r="C39" s="7" t="s">
        <v>28</v>
      </c>
      <c r="D39" s="8">
        <f>SUMIF(Airport!A2:A9,$A39,Airport!F2:F9)+SUMIF(Broadband!A2:A12,$A39,Broadband!F2:F12)+SUMIF(Concrete_Asphalt_Steel!A2:A14,$A39,Concrete_Asphalt_Steel!F2:F14)+SUMIF(Environmental!A2:A13,$A39,Environmental!F2:F13)+SUMIF(Equip_Rental_Transpo!A2:A9,$A39,Equip_Rental_Transpo!F2:F9)+SUMIF('EV Charging'!A2:A9,$A39,'EV Charging'!F2:F9)+SUMIF(Grid!A2:A12,$A39,Grid!F2:F12)+SUMIF('Mass Transit'!A2:A9,$A39,'Mass Transit'!F2:F9)+SUMIF(Ports!A2:A9,$A39,Ports!F2:F9)+SUMIF(Rails!A2:A9,$A39,Rails!F2:F9)+SUMIF('Roads and Bridges'!A2:A12,$A39,'Roads and Bridges'!F2:F12)+SUMIF(Water!A2:A24,$A39,Water!F2:F24)+SUMIF('EV Buses'!A2:A8,$A39,'EV Buses'!F2:F8)</f>
        <v>1.0562123501043625E-2</v>
      </c>
    </row>
    <row r="40" spans="1:4" ht="20" customHeight="1" x14ac:dyDescent="0.15">
      <c r="A40" s="7" t="s">
        <v>85</v>
      </c>
      <c r="B40" s="7" t="s">
        <v>86</v>
      </c>
      <c r="C40" s="7" t="s">
        <v>35</v>
      </c>
      <c r="D40" s="8">
        <f>SUMIF(Airport!A2:A9,$A40,Airport!F2:F9)+SUMIF(Broadband!A2:A12,$A40,Broadband!F2:F12)+SUMIF(Concrete_Asphalt_Steel!A2:A14,$A40,Concrete_Asphalt_Steel!F2:F14)+SUMIF(Environmental!A2:A13,$A40,Environmental!F2:F13)+SUMIF(Equip_Rental_Transpo!A2:A9,$A40,Equip_Rental_Transpo!F2:F9)+SUMIF('EV Charging'!A2:A9,$A40,'EV Charging'!F2:F9)+SUMIF(Grid!A2:A12,$A40,Grid!F2:F12)+SUMIF('Mass Transit'!A2:A9,$A40,'Mass Transit'!F2:F9)+SUMIF(Ports!A2:A9,$A40,Ports!F2:F9)+SUMIF(Rails!A2:A9,$A40,Rails!F2:F9)+SUMIF('Roads and Bridges'!A2:A12,$A40,'Roads and Bridges'!F2:F12)+SUMIF(Water!A2:A24,$A40,Water!F2:F24)+SUMIF('EV Buses'!A2:A8,$A40,'EV Buses'!F2:F8)</f>
        <v>1.055191936880882E-2</v>
      </c>
    </row>
    <row r="41" spans="1:4" ht="20" customHeight="1" x14ac:dyDescent="0.15">
      <c r="A41" s="7" t="s">
        <v>87</v>
      </c>
      <c r="B41" s="7" t="s">
        <v>88</v>
      </c>
      <c r="C41" s="7" t="s">
        <v>35</v>
      </c>
      <c r="D41" s="8">
        <f>SUMIF(Airport!A2:A9,$A41,Airport!F2:F9)+SUMIF(Broadband!A2:A12,$A41,Broadband!F2:F12)+SUMIF(Concrete_Asphalt_Steel!A2:A14,$A41,Concrete_Asphalt_Steel!F2:F14)+SUMIF(Environmental!A2:A13,$A41,Environmental!F2:F13)+SUMIF(Equip_Rental_Transpo!A2:A9,$A41,Equip_Rental_Transpo!F2:F9)+SUMIF('EV Charging'!A2:A9,$A41,'EV Charging'!F2:F9)+SUMIF(Grid!A2:A12,$A41,Grid!F2:F12)+SUMIF('Mass Transit'!A2:A9,$A41,'Mass Transit'!F2:F9)+SUMIF(Ports!A2:A9,$A41,Ports!F2:F9)+SUMIF(Rails!A2:A9,$A41,Rails!F2:F9)+SUMIF('Roads and Bridges'!A2:A12,$A41,'Roads and Bridges'!F2:F12)+SUMIF(Water!A2:A24,$A41,Water!F2:F24)+SUMIF('EV Buses'!A2:A8,$A41,'EV Buses'!F2:F8)</f>
        <v>1.0516183252696182E-2</v>
      </c>
    </row>
    <row r="42" spans="1:4" ht="20" customHeight="1" x14ac:dyDescent="0.15">
      <c r="A42" s="7" t="s">
        <v>89</v>
      </c>
      <c r="B42" s="7" t="s">
        <v>90</v>
      </c>
      <c r="C42" s="7" t="s">
        <v>28</v>
      </c>
      <c r="D42" s="8">
        <f>SUMIF(Airport!A2:A9,$A42,Airport!F2:F9)+SUMIF(Broadband!A2:A12,$A42,Broadband!F2:F12)+SUMIF(Concrete_Asphalt_Steel!A2:A14,$A42,Concrete_Asphalt_Steel!F2:F14)+SUMIF(Environmental!A2:A13,$A42,Environmental!F2:F13)+SUMIF(Equip_Rental_Transpo!A2:A9,$A42,Equip_Rental_Transpo!F2:F9)+SUMIF('EV Charging'!A2:A9,$A42,'EV Charging'!F2:F9)+SUMIF(Grid!A2:A12,$A42,Grid!F2:F12)+SUMIF('Mass Transit'!A2:A9,$A42,'Mass Transit'!F2:F9)+SUMIF(Ports!A2:A9,$A42,Ports!F2:F9)+SUMIF(Rails!A2:A9,$A42,Rails!F2:F9)+SUMIF('Roads and Bridges'!A2:A12,$A42,'Roads and Bridges'!F2:F12)+SUMIF(Water!A2:A24,$A42,Water!F2:F24)+SUMIF('EV Buses'!A2:A8,$A42,'EV Buses'!F2:F8)</f>
        <v>1.02149031414376E-2</v>
      </c>
    </row>
    <row r="43" spans="1:4" ht="20" customHeight="1" x14ac:dyDescent="0.15">
      <c r="A43" s="7" t="s">
        <v>91</v>
      </c>
      <c r="B43" s="7" t="s">
        <v>92</v>
      </c>
      <c r="C43" s="7" t="s">
        <v>28</v>
      </c>
      <c r="D43" s="8">
        <f>SUMIF(Airport!A2:A9,$A43,Airport!F2:F9)+SUMIF(Broadband!A2:A12,$A43,Broadband!F2:F12)+SUMIF(Concrete_Asphalt_Steel!A2:A14,$A43,Concrete_Asphalt_Steel!F2:F14)+SUMIF(Environmental!A2:A13,$A43,Environmental!F2:F13)+SUMIF(Equip_Rental_Transpo!A2:A9,$A43,Equip_Rental_Transpo!F2:F9)+SUMIF('EV Charging'!A2:A9,$A43,'EV Charging'!F2:F9)+SUMIF(Grid!A2:A12,$A43,Grid!F2:F12)+SUMIF('Mass Transit'!A2:A9,$A43,'Mass Transit'!F2:F9)+SUMIF(Ports!A2:A9,$A43,Ports!F2:F9)+SUMIF(Rails!A2:A9,$A43,Rails!F2:F9)+SUMIF('Roads and Bridges'!A2:A12,$A43,'Roads and Bridges'!F2:F12)+SUMIF(Water!A2:A24,$A43,Water!F2:F24)+SUMIF('EV Buses'!A2:A8,$A43,'EV Buses'!F2:F8)</f>
        <v>9.6317933055045553E-3</v>
      </c>
    </row>
    <row r="44" spans="1:4" ht="20" customHeight="1" x14ac:dyDescent="0.15">
      <c r="A44" s="7" t="s">
        <v>93</v>
      </c>
      <c r="B44" s="7" t="s">
        <v>94</v>
      </c>
      <c r="C44" s="7" t="s">
        <v>28</v>
      </c>
      <c r="D44" s="8">
        <f>SUMIF(Airport!A2:A9,$A44,Airport!F2:F9)+SUMIF(Broadband!A2:A12,$A44,Broadband!F2:F12)+SUMIF(Concrete_Asphalt_Steel!A2:A14,$A44,Concrete_Asphalt_Steel!F2:F14)+SUMIF(Environmental!A2:A13,$A44,Environmental!F2:F13)+SUMIF(Equip_Rental_Transpo!A2:A9,$A44,Equip_Rental_Transpo!F2:F9)+SUMIF('EV Charging'!A2:A9,$A44,'EV Charging'!F2:F9)+SUMIF(Grid!A2:A12,$A44,Grid!F2:F12)+SUMIF('Mass Transit'!A2:A9,$A44,'Mass Transit'!F2:F9)+SUMIF(Ports!A2:A9,$A44,Ports!F2:F9)+SUMIF(Rails!A2:A9,$A44,Rails!F2:F9)+SUMIF('Roads and Bridges'!A2:A12,$A44,'Roads and Bridges'!F2:F12)+SUMIF(Water!A2:A24,$A44,Water!F2:F24)+SUMIF('EV Buses'!A2:A8,$A44,'EV Buses'!F2:F8)</f>
        <v>9.2293920378218111E-3</v>
      </c>
    </row>
    <row r="45" spans="1:4" ht="20" customHeight="1" x14ac:dyDescent="0.15">
      <c r="A45" s="7" t="s">
        <v>95</v>
      </c>
      <c r="B45" s="7" t="s">
        <v>96</v>
      </c>
      <c r="C45" s="7" t="s">
        <v>28</v>
      </c>
      <c r="D45" s="8">
        <f>SUMIF(Airport!A2:A9,$A45,Airport!F2:F9)+SUMIF(Broadband!A2:A12,$A45,Broadband!F2:F12)+SUMIF(Concrete_Asphalt_Steel!A2:A14,$A45,Concrete_Asphalt_Steel!F2:F14)+SUMIF(Environmental!A2:A13,$A45,Environmental!F2:F13)+SUMIF(Equip_Rental_Transpo!A2:A9,$A45,Equip_Rental_Transpo!F2:F9)+SUMIF('EV Charging'!A2:A9,$A45,'EV Charging'!F2:F9)+SUMIF(Grid!A2:A12,$A45,Grid!F2:F12)+SUMIF('Mass Transit'!A2:A9,$A45,'Mass Transit'!F2:F9)+SUMIF(Ports!A2:A9,$A45,Ports!F2:F9)+SUMIF(Rails!A2:A9,$A45,Rails!F2:F9)+SUMIF('Roads and Bridges'!A2:A12,$A45,'Roads and Bridges'!F2:F12)+SUMIF(Water!A2:A24,$A45,Water!F2:F24)+SUMIF('EV Buses'!A2:A8,$A45,'EV Buses'!F2:F8)</f>
        <v>8.725922120940156E-3</v>
      </c>
    </row>
    <row r="46" spans="1:4" ht="20" customHeight="1" x14ac:dyDescent="0.15">
      <c r="A46" s="7" t="s">
        <v>97</v>
      </c>
      <c r="B46" s="7" t="s">
        <v>98</v>
      </c>
      <c r="C46" s="7" t="s">
        <v>28</v>
      </c>
      <c r="D46" s="8">
        <f>SUMIF(Airport!A2:A9,$A46,Airport!F2:F9)+SUMIF(Broadband!A2:A12,$A46,Broadband!F2:F12)+SUMIF(Concrete_Asphalt_Steel!A2:A14,$A46,Concrete_Asphalt_Steel!F2:F14)+SUMIF(Environmental!A2:A13,$A46,Environmental!F2:F13)+SUMIF(Equip_Rental_Transpo!A2:A9,$A46,Equip_Rental_Transpo!F2:F9)+SUMIF('EV Charging'!A2:A9,$A46,'EV Charging'!F2:F9)+SUMIF(Grid!A2:A12,$A46,Grid!F2:F12)+SUMIF('Mass Transit'!A2:A9,$A46,'Mass Transit'!F2:F9)+SUMIF(Ports!A2:A9,$A46,Ports!F2:F9)+SUMIF(Rails!A2:A9,$A46,Rails!F2:F9)+SUMIF('Roads and Bridges'!A2:A12,$A46,'Roads and Bridges'!F2:F12)+SUMIF(Water!A2:A24,$A46,Water!F2:F24)+SUMIF('EV Buses'!A2:A8,$A46,'EV Buses'!F2:F8)</f>
        <v>8.5925294192568443E-3</v>
      </c>
    </row>
    <row r="47" spans="1:4" ht="20" customHeight="1" x14ac:dyDescent="0.15">
      <c r="A47" s="7" t="s">
        <v>99</v>
      </c>
      <c r="B47" s="7" t="s">
        <v>100</v>
      </c>
      <c r="C47" s="7" t="s">
        <v>28</v>
      </c>
      <c r="D47" s="8">
        <f>SUMIF(Airport!A2:A9,$A47,Airport!F2:F9)+SUMIF(Broadband!A2:A12,$A47,Broadband!F2:F12)+SUMIF(Concrete_Asphalt_Steel!A2:A14,$A47,Concrete_Asphalt_Steel!F2:F14)+SUMIF(Environmental!A2:A13,$A47,Environmental!F2:F13)+SUMIF(Equip_Rental_Transpo!A2:A9,$A47,Equip_Rental_Transpo!F2:F9)+SUMIF('EV Charging'!A2:A9,$A47,'EV Charging'!F2:F9)+SUMIF(Grid!A2:A12,$A47,Grid!F2:F12)+SUMIF('Mass Transit'!A2:A9,$A47,'Mass Transit'!F2:F9)+SUMIF(Ports!A2:A9,$A47,Ports!F2:F9)+SUMIF(Rails!A2:A9,$A47,Rails!F2:F9)+SUMIF('Roads and Bridges'!A2:A12,$A47,'Roads and Bridges'!F2:F12)+SUMIF(Water!A2:A24,$A47,Water!F2:F24)+SUMIF('EV Buses'!A2:A8,$A47,'EV Buses'!F2:F8)</f>
        <v>8.4676341354817351E-3</v>
      </c>
    </row>
    <row r="48" spans="1:4" ht="20" customHeight="1" x14ac:dyDescent="0.15">
      <c r="A48" s="7" t="s">
        <v>101</v>
      </c>
      <c r="B48" s="7" t="s">
        <v>102</v>
      </c>
      <c r="C48" s="7" t="s">
        <v>28</v>
      </c>
      <c r="D48" s="8">
        <f>SUMIF(Airport!A2:A9,$A48,Airport!F2:F9)+SUMIF(Broadband!A2:A12,$A48,Broadband!F2:F12)+SUMIF(Concrete_Asphalt_Steel!A2:A14,$A48,Concrete_Asphalt_Steel!F2:F14)+SUMIF(Environmental!A2:A13,$A48,Environmental!F2:F13)+SUMIF(Equip_Rental_Transpo!A2:A9,$A48,Equip_Rental_Transpo!F2:F9)+SUMIF('EV Charging'!A2:A9,$A48,'EV Charging'!F2:F9)+SUMIF(Grid!A2:A12,$A48,Grid!F2:F12)+SUMIF('Mass Transit'!A2:A9,$A48,'Mass Transit'!F2:F9)+SUMIF(Ports!A2:A9,$A48,Ports!F2:F9)+SUMIF(Rails!A2:A9,$A48,Rails!F2:F9)+SUMIF('Roads and Bridges'!A2:A12,$A48,'Roads and Bridges'!F2:F12)+SUMIF(Water!A2:A24,$A48,Water!F2:F24)+SUMIF('EV Buses'!A2:A8,$A48,'EV Buses'!F2:F8)</f>
        <v>8.2834021459219156E-3</v>
      </c>
    </row>
    <row r="49" spans="1:4" ht="20" customHeight="1" x14ac:dyDescent="0.15">
      <c r="A49" s="7" t="s">
        <v>103</v>
      </c>
      <c r="B49" s="7" t="s">
        <v>104</v>
      </c>
      <c r="C49" s="7" t="s">
        <v>28</v>
      </c>
      <c r="D49" s="8">
        <f>SUMIF(Airport!A2:A9,$A49,Airport!F2:F9)+SUMIF(Broadband!A2:A12,$A49,Broadband!F2:F12)+SUMIF(Concrete_Asphalt_Steel!A2:A14,$A49,Concrete_Asphalt_Steel!F2:F14)+SUMIF(Environmental!A2:A13,$A49,Environmental!F2:F13)+SUMIF(Equip_Rental_Transpo!A2:A9,$A49,Equip_Rental_Transpo!F2:F9)+SUMIF('EV Charging'!A2:A9,$A49,'EV Charging'!F2:F9)+SUMIF(Grid!A2:A12,$A49,Grid!F2:F12)+SUMIF('Mass Transit'!A2:A9,$A49,'Mass Transit'!F2:F9)+SUMIF(Ports!A2:A9,$A49,Ports!F2:F9)+SUMIF(Rails!A2:A9,$A49,Rails!F2:F9)+SUMIF('Roads and Bridges'!A2:A12,$A49,'Roads and Bridges'!F2:F12)+SUMIF(Water!A2:A24,$A49,Water!F2:F24)+SUMIF('EV Buses'!A2:A8,$A49,'EV Buses'!F2:F8)</f>
        <v>7.3747817111054605E-3</v>
      </c>
    </row>
    <row r="50" spans="1:4" ht="20" customHeight="1" x14ac:dyDescent="0.15">
      <c r="A50" s="7" t="s">
        <v>105</v>
      </c>
      <c r="B50" s="7" t="s">
        <v>106</v>
      </c>
      <c r="C50" s="7" t="s">
        <v>28</v>
      </c>
      <c r="D50" s="8">
        <f>SUMIF(Airport!A2:A9,$A50,Airport!F2:F9)+SUMIF(Broadband!A2:A12,$A50,Broadband!F2:F12)+SUMIF(Concrete_Asphalt_Steel!A2:A14,$A50,Concrete_Asphalt_Steel!F2:F14)+SUMIF(Environmental!A2:A13,$A50,Environmental!F2:F13)+SUMIF(Equip_Rental_Transpo!A2:A9,$A50,Equip_Rental_Transpo!F2:F9)+SUMIF('EV Charging'!A2:A9,$A50,'EV Charging'!F2:F9)+SUMIF(Grid!A2:A12,$A50,Grid!F2:F12)+SUMIF('Mass Transit'!A2:A9,$A50,'Mass Transit'!F2:F9)+SUMIF(Ports!A2:A9,$A50,Ports!F2:F9)+SUMIF(Rails!A2:A9,$A50,Rails!F2:F9)+SUMIF('Roads and Bridges'!A2:A12,$A50,'Roads and Bridges'!F2:F12)+SUMIF(Water!A2:A24,$A50,Water!F2:F24)+SUMIF('EV Buses'!A2:A8,$A50,'EV Buses'!F2:F8)</f>
        <v>7.351815174560101E-3</v>
      </c>
    </row>
    <row r="51" spans="1:4" ht="20" customHeight="1" x14ac:dyDescent="0.15">
      <c r="A51" s="7" t="s">
        <v>107</v>
      </c>
      <c r="B51" s="7" t="s">
        <v>108</v>
      </c>
      <c r="C51" s="7" t="s">
        <v>28</v>
      </c>
      <c r="D51" s="8">
        <f>SUMIF(Airport!A2:A9,$A51,Airport!F2:F9)+SUMIF(Broadband!A2:A12,$A51,Broadband!F2:F12)+SUMIF(Concrete_Asphalt_Steel!A2:A14,$A51,Concrete_Asphalt_Steel!F2:F14)+SUMIF(Environmental!A2:A13,$A51,Environmental!F2:F13)+SUMIF(Equip_Rental_Transpo!A2:A9,$A51,Equip_Rental_Transpo!F2:F9)+SUMIF('EV Charging'!A2:A9,$A51,'EV Charging'!F2:F9)+SUMIF(Grid!A2:A12,$A51,Grid!F2:F12)+SUMIF('Mass Transit'!A2:A9,$A51,'Mass Transit'!F2:F9)+SUMIF(Ports!A2:A9,$A51,Ports!F2:F9)+SUMIF(Rails!A2:A9,$A51,Rails!F2:F9)+SUMIF('Roads and Bridges'!A2:A12,$A51,'Roads and Bridges'!F2:F12)+SUMIF(Water!A2:A24,$A51,Water!F2:F24)+SUMIF('EV Buses'!A2:A8,$A51,'EV Buses'!F2:F8)</f>
        <v>7.3155717305673738E-3</v>
      </c>
    </row>
    <row r="52" spans="1:4" ht="20" customHeight="1" x14ac:dyDescent="0.15">
      <c r="A52" s="7" t="s">
        <v>109</v>
      </c>
      <c r="B52" s="7" t="s">
        <v>110</v>
      </c>
      <c r="C52" s="7" t="s">
        <v>35</v>
      </c>
      <c r="D52" s="8">
        <f>SUMIF(Airport!A2:A9,$A52,Airport!F2:F9)+SUMIF(Broadband!A2:A12,$A52,Broadband!F2:F12)+SUMIF(Concrete_Asphalt_Steel!A2:A14,$A52,Concrete_Asphalt_Steel!F2:F14)+SUMIF(Environmental!A2:A13,$A52,Environmental!F2:F13)+SUMIF(Equip_Rental_Transpo!A2:A9,$A52,Equip_Rental_Transpo!F2:F9)+SUMIF('EV Charging'!A2:A9,$A52,'EV Charging'!F2:F9)+SUMIF(Grid!A2:A12,$A52,Grid!F2:F12)+SUMIF('Mass Transit'!A2:A9,$A52,'Mass Transit'!F2:F9)+SUMIF(Ports!A2:A9,$A52,Ports!F2:F9)+SUMIF(Rails!A2:A9,$A52,Rails!F2:F9)+SUMIF('Roads and Bridges'!A2:A12,$A52,'Roads and Bridges'!F2:F12)+SUMIF(Water!A2:A24,$A52,Water!F2:F24)+SUMIF('EV Buses'!A2:A8,$A52,'EV Buses'!F2:F8)</f>
        <v>7.1447426689192385E-3</v>
      </c>
    </row>
    <row r="53" spans="1:4" ht="20" customHeight="1" x14ac:dyDescent="0.15">
      <c r="A53" s="7" t="s">
        <v>111</v>
      </c>
      <c r="B53" s="7" t="s">
        <v>112</v>
      </c>
      <c r="C53" s="7" t="s">
        <v>28</v>
      </c>
      <c r="D53" s="8">
        <f>SUMIF(Airport!A2:A9,$A53,Airport!F2:F9)+SUMIF(Broadband!A2:A12,$A53,Broadband!F2:F12)+SUMIF(Concrete_Asphalt_Steel!A2:A14,$A53,Concrete_Asphalt_Steel!F2:F14)+SUMIF(Environmental!A2:A13,$A53,Environmental!F2:F13)+SUMIF(Equip_Rental_Transpo!A2:A9,$A53,Equip_Rental_Transpo!F2:F9)+SUMIF('EV Charging'!A2:A9,$A53,'EV Charging'!F2:F9)+SUMIF(Grid!A2:A12,$A53,Grid!F2:F12)+SUMIF('Mass Transit'!A2:A9,$A53,'Mass Transit'!F2:F9)+SUMIF(Ports!A2:A9,$A53,Ports!F2:F9)+SUMIF(Rails!A2:A9,$A53,Rails!F2:F9)+SUMIF('Roads and Bridges'!A2:A12,$A53,'Roads and Bridges'!F2:F12)+SUMIF(Water!A2:A24,$A53,Water!F2:F24)+SUMIF('EV Buses'!A2:A8,$A53,'EV Buses'!F2:F8)</f>
        <v>6.5747489219317662E-3</v>
      </c>
    </row>
    <row r="54" spans="1:4" ht="20" customHeight="1" x14ac:dyDescent="0.15">
      <c r="A54" s="7" t="s">
        <v>113</v>
      </c>
      <c r="B54" s="7" t="s">
        <v>114</v>
      </c>
      <c r="C54" s="7" t="s">
        <v>35</v>
      </c>
      <c r="D54" s="8">
        <f>SUMIF(Airport!A2:A9,$A54,Airport!F2:F9)+SUMIF(Broadband!A2:A12,$A54,Broadband!F2:F12)+SUMIF(Concrete_Asphalt_Steel!A2:A14,$A54,Concrete_Asphalt_Steel!F2:F14)+SUMIF(Environmental!A2:A13,$A54,Environmental!F2:F13)+SUMIF(Equip_Rental_Transpo!A2:A9,$A54,Equip_Rental_Transpo!F2:F9)+SUMIF('EV Charging'!A2:A9,$A54,'EV Charging'!F2:F9)+SUMIF(Grid!A2:A12,$A54,Grid!F2:F12)+SUMIF('Mass Transit'!A2:A9,$A54,'Mass Transit'!F2:F9)+SUMIF(Ports!A2:A9,$A54,Ports!F2:F9)+SUMIF(Rails!A2:A9,$A54,Rails!F2:F9)+SUMIF('Roads and Bridges'!A2:A12,$A54,'Roads and Bridges'!F2:F12)+SUMIF(Water!A2:A24,$A54,Water!F2:F24)+SUMIF('EV Buses'!A2:A8,$A54,'EV Buses'!F2:F8)</f>
        <v>6.0609450773708587E-3</v>
      </c>
    </row>
    <row r="55" spans="1:4" ht="20" customHeight="1" x14ac:dyDescent="0.15">
      <c r="A55" s="7" t="s">
        <v>115</v>
      </c>
      <c r="B55" s="7" t="s">
        <v>116</v>
      </c>
      <c r="C55" s="7" t="s">
        <v>35</v>
      </c>
      <c r="D55" s="8">
        <f>SUMIF(Airport!A2:A9,$A55,Airport!F2:F9)+SUMIF(Broadband!A2:A12,$A55,Broadband!F2:F12)+SUMIF(Concrete_Asphalt_Steel!A2:A14,$A55,Concrete_Asphalt_Steel!F2:F14)+SUMIF(Environmental!A2:A13,$A55,Environmental!F2:F13)+SUMIF(Equip_Rental_Transpo!A2:A9,$A55,Equip_Rental_Transpo!F2:F9)+SUMIF('EV Charging'!A2:A9,$A55,'EV Charging'!F2:F9)+SUMIF(Grid!A2:A12,$A55,Grid!F2:F12)+SUMIF('Mass Transit'!A2:A9,$A55,'Mass Transit'!F2:F9)+SUMIF(Ports!A2:A9,$A55,Ports!F2:F9)+SUMIF(Rails!A2:A9,$A55,Rails!F2:F9)+SUMIF('Roads and Bridges'!A2:A12,$A55,'Roads and Bridges'!F2:F12)+SUMIF(Water!A2:A24,$A55,Water!F2:F24)+SUMIF('EV Buses'!A2:A8,$A55,'EV Buses'!F2:F8)</f>
        <v>6.0258735677090457E-3</v>
      </c>
    </row>
    <row r="56" spans="1:4" ht="20" customHeight="1" x14ac:dyDescent="0.15">
      <c r="A56" s="7" t="s">
        <v>117</v>
      </c>
      <c r="B56" s="7" t="s">
        <v>118</v>
      </c>
      <c r="C56" s="7" t="s">
        <v>28</v>
      </c>
      <c r="D56" s="8">
        <f>SUMIF(Airport!A2:A9,$A56,Airport!F2:F9)+SUMIF(Broadband!A2:A12,$A56,Broadband!F2:F12)+SUMIF(Concrete_Asphalt_Steel!A2:A14,$A56,Concrete_Asphalt_Steel!F2:F14)+SUMIF(Environmental!A2:A13,$A56,Environmental!F2:F13)+SUMIF(Equip_Rental_Transpo!A2:A9,$A56,Equip_Rental_Transpo!F2:F9)+SUMIF('EV Charging'!A2:A9,$A56,'EV Charging'!F2:F9)+SUMIF(Grid!A2:A12,$A56,Grid!F2:F12)+SUMIF('Mass Transit'!A2:A9,$A56,'Mass Transit'!F2:F9)+SUMIF(Ports!A2:A9,$A56,Ports!F2:F9)+SUMIF(Rails!A2:A9,$A56,Rails!F2:F9)+SUMIF('Roads and Bridges'!A2:A12,$A56,'Roads and Bridges'!F2:F12)+SUMIF(Water!A2:A24,$A56,Water!F2:F24)+SUMIF('EV Buses'!A2:A8,$A56,'EV Buses'!F2:F8)</f>
        <v>5.1823789619772336E-3</v>
      </c>
    </row>
    <row r="57" spans="1:4" ht="20" customHeight="1" x14ac:dyDescent="0.15">
      <c r="A57" s="7" t="s">
        <v>119</v>
      </c>
      <c r="B57" s="7" t="s">
        <v>120</v>
      </c>
      <c r="C57" s="7" t="s">
        <v>35</v>
      </c>
      <c r="D57" s="8">
        <f>SUMIF(Airport!A2:A9,$A57,Airport!F2:F9)+SUMIF(Broadband!A2:A12,$A57,Broadband!F2:F12)+SUMIF(Concrete_Asphalt_Steel!A2:A14,$A57,Concrete_Asphalt_Steel!F2:F14)+SUMIF(Environmental!A2:A13,$A57,Environmental!F2:F13)+SUMIF(Equip_Rental_Transpo!A2:A9,$A57,Equip_Rental_Transpo!F2:F9)+SUMIF('EV Charging'!A2:A9,$A57,'EV Charging'!F2:F9)+SUMIF(Grid!A2:A12,$A57,Grid!F2:F12)+SUMIF('Mass Transit'!A2:A9,$A57,'Mass Transit'!F2:F9)+SUMIF(Ports!A2:A9,$A57,Ports!F2:F9)+SUMIF(Rails!A2:A9,$A57,Rails!F2:F9)+SUMIF('Roads and Bridges'!A2:A12,$A57,'Roads and Bridges'!F2:F12)+SUMIF(Water!A2:A24,$A57,Water!F2:F24)+SUMIF('EV Buses'!A2:A8,$A57,'EV Buses'!F2:F8)</f>
        <v>4.7959514240327097E-3</v>
      </c>
    </row>
    <row r="58" spans="1:4" ht="20" customHeight="1" x14ac:dyDescent="0.15">
      <c r="A58" s="7" t="s">
        <v>121</v>
      </c>
      <c r="B58" s="7" t="s">
        <v>122</v>
      </c>
      <c r="C58" s="7" t="s">
        <v>28</v>
      </c>
      <c r="D58" s="8">
        <f>SUMIF(Airport!A2:A9,$A58,Airport!F2:F9)+SUMIF(Broadband!A2:A12,$A58,Broadband!F2:F12)+SUMIF(Concrete_Asphalt_Steel!A2:A14,$A58,Concrete_Asphalt_Steel!F2:F14)+SUMIF(Environmental!A2:A13,$A58,Environmental!F2:F13)+SUMIF(Equip_Rental_Transpo!A2:A9,$A58,Equip_Rental_Transpo!F2:F9)+SUMIF('EV Charging'!A2:A9,$A58,'EV Charging'!F2:F9)+SUMIF(Grid!A2:A12,$A58,Grid!F2:F12)+SUMIF('Mass Transit'!A2:A9,$A58,'Mass Transit'!F2:F9)+SUMIF(Ports!A2:A9,$A58,Ports!F2:F9)+SUMIF(Rails!A2:A9,$A58,Rails!F2:F9)+SUMIF('Roads and Bridges'!A2:A12,$A58,'Roads and Bridges'!F2:F12)+SUMIF(Water!A2:A24,$A58,Water!F2:F24)+SUMIF('EV Buses'!A2:A8,$A58,'EV Buses'!F2:F8)</f>
        <v>3.9003522130675473E-3</v>
      </c>
    </row>
    <row r="59" spans="1:4" ht="20" customHeight="1" x14ac:dyDescent="0.15">
      <c r="A59" s="7" t="s">
        <v>123</v>
      </c>
      <c r="B59" s="7" t="s">
        <v>124</v>
      </c>
      <c r="C59" s="7" t="s">
        <v>35</v>
      </c>
      <c r="D59" s="8">
        <f>SUMIF(Airport!A2:A9,$A59,Airport!F2:F9)+SUMIF(Broadband!A2:A12,$A59,Broadband!F2:F12)+SUMIF(Concrete_Asphalt_Steel!A2:A14,$A59,Concrete_Asphalt_Steel!F2:F14)+SUMIF(Environmental!A2:A13,$A59,Environmental!F2:F13)+SUMIF(Equip_Rental_Transpo!A2:A9,$A59,Equip_Rental_Transpo!F2:F9)+SUMIF('EV Charging'!A2:A9,$A59,'EV Charging'!F2:F9)+SUMIF(Grid!A2:A12,$A59,Grid!F2:F12)+SUMIF('Mass Transit'!A2:A9,$A59,'Mass Transit'!F2:F9)+SUMIF(Ports!A2:A9,$A59,Ports!F2:F9)+SUMIF(Rails!A2:A9,$A59,Rails!F2:F9)+SUMIF('Roads and Bridges'!A2:A12,$A59,'Roads and Bridges'!F2:F12)+SUMIF(Water!A2:A24,$A59,Water!F2:F24)+SUMIF('EV Buses'!A2:A8,$A59,'EV Buses'!F2:F8)</f>
        <v>3.7318070785386042E-3</v>
      </c>
    </row>
    <row r="60" spans="1:4" ht="20" customHeight="1" x14ac:dyDescent="0.15">
      <c r="A60" s="7" t="s">
        <v>125</v>
      </c>
      <c r="B60" s="7" t="s">
        <v>126</v>
      </c>
      <c r="C60" s="7" t="s">
        <v>35</v>
      </c>
      <c r="D60" s="8">
        <f>SUMIF(Airport!A2:A9,$A60,Airport!F2:F9)+SUMIF(Broadband!A2:A12,$A60,Broadband!F2:F12)+SUMIF(Concrete_Asphalt_Steel!A2:A14,$A60,Concrete_Asphalt_Steel!F2:F14)+SUMIF(Environmental!A2:A13,$A60,Environmental!F2:F13)+SUMIF(Equip_Rental_Transpo!A2:A9,$A60,Equip_Rental_Transpo!F2:F9)+SUMIF('EV Charging'!A2:A9,$A60,'EV Charging'!F2:F9)+SUMIF(Grid!A2:A12,$A60,Grid!F2:F12)+SUMIF('Mass Transit'!A2:A9,$A60,'Mass Transit'!F2:F9)+SUMIF(Ports!A2:A9,$A60,Ports!F2:F9)+SUMIF(Rails!A2:A9,$A60,Rails!F2:F9)+SUMIF('Roads and Bridges'!A2:A12,$A60,'Roads and Bridges'!F2:F12)+SUMIF(Water!A2:A24,$A60,Water!F2:F24)+SUMIF('EV Buses'!A2:A8,$A60,'EV Buses'!F2:F8)</f>
        <v>3.7240166186393053E-3</v>
      </c>
    </row>
    <row r="61" spans="1:4" ht="20" customHeight="1" x14ac:dyDescent="0.15">
      <c r="A61" s="7" t="s">
        <v>127</v>
      </c>
      <c r="B61" s="7" t="s">
        <v>128</v>
      </c>
      <c r="C61" s="7" t="s">
        <v>28</v>
      </c>
      <c r="D61" s="8">
        <f>SUMIF(Airport!A2:A9,$A61,Airport!F2:F9)+SUMIF(Broadband!A2:A12,$A61,Broadband!F2:F12)+SUMIF(Concrete_Asphalt_Steel!A2:A14,$A61,Concrete_Asphalt_Steel!F2:F14)+SUMIF(Environmental!A2:A13,$A61,Environmental!F2:F13)+SUMIF(Equip_Rental_Transpo!A2:A9,$A61,Equip_Rental_Transpo!F2:F9)+SUMIF('EV Charging'!A2:A9,$A61,'EV Charging'!F2:F9)+SUMIF(Grid!A2:A12,$A61,Grid!F2:F12)+SUMIF('Mass Transit'!A2:A9,$A61,'Mass Transit'!F2:F9)+SUMIF(Ports!A2:A9,$A61,Ports!F2:F9)+SUMIF(Rails!A2:A9,$A61,Rails!F2:F9)+SUMIF('Roads and Bridges'!A2:A12,$A61,'Roads and Bridges'!F2:F12)+SUMIF(Water!A2:A24,$A61,Water!F2:F24)+SUMIF('EV Buses'!A2:A8,$A61,'EV Buses'!F2:F8)</f>
        <v>3.703997278929358E-3</v>
      </c>
    </row>
    <row r="62" spans="1:4" ht="20" customHeight="1" x14ac:dyDescent="0.15">
      <c r="A62" s="7" t="s">
        <v>129</v>
      </c>
      <c r="B62" s="7" t="s">
        <v>130</v>
      </c>
      <c r="C62" s="7" t="s">
        <v>28</v>
      </c>
      <c r="D62" s="8">
        <f>SUMIF(Airport!A2:A9,$A62,Airport!F2:F9)+SUMIF(Broadband!A2:A12,$A62,Broadband!F2:F12)+SUMIF(Concrete_Asphalt_Steel!A2:A14,$A62,Concrete_Asphalt_Steel!F2:F14)+SUMIF(Environmental!A2:A13,$A62,Environmental!F2:F13)+SUMIF(Equip_Rental_Transpo!A2:A9,$A62,Equip_Rental_Transpo!F2:F9)+SUMIF('EV Charging'!A2:A9,$A62,'EV Charging'!F2:F9)+SUMIF(Grid!A2:A12,$A62,Grid!F2:F12)+SUMIF('Mass Transit'!A2:A9,$A62,'Mass Transit'!F2:F9)+SUMIF(Ports!A2:A9,$A62,Ports!F2:F9)+SUMIF(Rails!A2:A9,$A62,Rails!F2:F9)+SUMIF('Roads and Bridges'!A2:A12,$A62,'Roads and Bridges'!F2:F12)+SUMIF(Water!A2:A24,$A62,Water!F2:F24)+SUMIF('EV Buses'!A2:A8,$A62,'EV Buses'!F2:F8)</f>
        <v>3.6218437302948502E-3</v>
      </c>
    </row>
    <row r="63" spans="1:4" ht="20.25" customHeight="1" x14ac:dyDescent="0.15">
      <c r="A63" s="10" t="s">
        <v>131</v>
      </c>
      <c r="B63" s="10" t="s">
        <v>132</v>
      </c>
      <c r="C63" s="10" t="s">
        <v>35</v>
      </c>
      <c r="D63" s="11">
        <f>SUMIF(Airport!A2:A9,$A63,Airport!F2:F9)+SUMIF(Broadband!A2:A12,$A63,Broadband!F2:F12)+SUMIF(Concrete_Asphalt_Steel!A2:A14,$A63,Concrete_Asphalt_Steel!F2:F14)+SUMIF(Environmental!A2:A13,$A63,Environmental!F2:F13)+SUMIF(Equip_Rental_Transpo!A2:A9,$A63,Equip_Rental_Transpo!F2:F9)+SUMIF('EV Charging'!A2:A9,$A63,'EV Charging'!F2:F9)+SUMIF(Grid!A2:A12,$A63,Grid!F2:F12)+SUMIF('Mass Transit'!A2:A9,$A63,'Mass Transit'!F2:F9)+SUMIF(Ports!A2:A9,$A63,Ports!F2:F9)+SUMIF(Rails!A2:A9,$A63,Rails!F2:F9)+SUMIF('Roads and Bridges'!A2:A12,$A63,'Roads and Bridges'!F2:F12)+SUMIF(Water!A2:A24,$A63,Water!F2:F24)+SUMIF('EV Buses'!A2:A8,$A63,'EV Buses'!F2:F8)</f>
        <v>3.4750666511554115E-3</v>
      </c>
    </row>
    <row r="64" spans="1:4" ht="20.25" customHeight="1" x14ac:dyDescent="0.15">
      <c r="A64" s="13"/>
      <c r="B64" s="13"/>
      <c r="C64" s="13"/>
      <c r="D64" s="13"/>
    </row>
    <row r="65" spans="1:4" ht="20" customHeight="1" x14ac:dyDescent="0.15">
      <c r="A65" s="14" t="s">
        <v>133</v>
      </c>
      <c r="B65" s="15"/>
      <c r="C65" s="15"/>
      <c r="D65" s="15"/>
    </row>
    <row r="66" spans="1:4" ht="20" customHeight="1" x14ac:dyDescent="0.15">
      <c r="A66" s="14" t="s">
        <v>134</v>
      </c>
      <c r="B66" s="15"/>
      <c r="C66" s="15"/>
      <c r="D66" s="15"/>
    </row>
  </sheetData>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13"/>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4.6640625" style="99" customWidth="1"/>
    <col min="2" max="2" width="31.5" style="99" customWidth="1"/>
    <col min="3" max="3" width="29.1640625" style="99" customWidth="1"/>
    <col min="4" max="4" width="29.83203125" style="99" customWidth="1"/>
    <col min="5" max="8" width="16.33203125" style="99" customWidth="1"/>
    <col min="9" max="16384" width="16.33203125" style="99"/>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'!$C39</f>
        <v>ACM</v>
      </c>
      <c r="B2" s="4" t="e" vm="1">
        <f>'Universe Weighting Workshhet - '!$D39</f>
        <v>#VALUE!</v>
      </c>
      <c r="C2" s="17" t="str">
        <f>'Universe Weighting Workshhet - '!$B39</f>
        <v>Construction/Engineering</v>
      </c>
      <c r="D2" s="37">
        <f>'Universe Weighting Workshhet - '!K39</f>
        <v>4.4553082245389941</v>
      </c>
      <c r="E2" s="19">
        <f>D2/SUM(D2:D13)</f>
        <v>1.6876923219855403E-2</v>
      </c>
      <c r="F2" s="19">
        <f>E2*'Category Weightings'!$C$10</f>
        <v>1.6071807981322367E-3</v>
      </c>
      <c r="G2" s="20"/>
    </row>
    <row r="3" spans="1:7" ht="20" customHeight="1" x14ac:dyDescent="0.15">
      <c r="A3" s="7" t="str">
        <f>'Universe Weighting Workshhet - '!$C40</f>
        <v>ATCX</v>
      </c>
      <c r="B3" s="7" t="e" vm="37">
        <f>'Universe Weighting Workshhet - '!$D40</f>
        <v>#VALUE!</v>
      </c>
      <c r="C3" s="21" t="str">
        <f>'Universe Weighting Workshhet - '!$B40</f>
        <v>Construction/Engineering</v>
      </c>
      <c r="D3" s="95">
        <f>'Universe Weighting Workshhet - '!K40</f>
        <v>24.75</v>
      </c>
      <c r="E3" s="23">
        <f>D3/SUM(D2:D13)</f>
        <v>9.3754198057675903E-2</v>
      </c>
      <c r="F3" s="23">
        <f>E3*'Category Weightings'!$C$10</f>
        <v>8.9281645060345499E-3</v>
      </c>
      <c r="G3" s="24"/>
    </row>
    <row r="4" spans="1:7" ht="20" customHeight="1" x14ac:dyDescent="0.15">
      <c r="A4" s="7" t="str">
        <f>'Universe Weighting Workshhet - '!$C41</f>
        <v>FLS</v>
      </c>
      <c r="B4" s="7" t="e" vm="38">
        <f>'Universe Weighting Workshhet - '!$D41</f>
        <v>#VALUE!</v>
      </c>
      <c r="C4" s="21" t="str">
        <f>'Universe Weighting Workshhet - '!$B41</f>
        <v>Equipment</v>
      </c>
      <c r="D4" s="95">
        <f>'Universe Weighting Workshhet - '!K41</f>
        <v>18.017790337017214</v>
      </c>
      <c r="E4" s="23">
        <f>D4/SUM(D2:D13)</f>
        <v>6.8252261972460246E-2</v>
      </c>
      <c r="F4" s="23">
        <f>E4*'Category Weightings'!$C$10</f>
        <v>6.4996281278436119E-3</v>
      </c>
      <c r="G4" s="24"/>
    </row>
    <row r="5" spans="1:7" ht="20" customHeight="1" x14ac:dyDescent="0.15">
      <c r="A5" s="7" t="str">
        <f>'Universe Weighting Workshhet - '!$C42</f>
        <v>GRC</v>
      </c>
      <c r="B5" s="7" t="e" vm="39">
        <f>'Universe Weighting Workshhet - '!$D42</f>
        <v>#VALUE!</v>
      </c>
      <c r="C5" s="21" t="str">
        <f>'Universe Weighting Workshhet - '!$B42</f>
        <v>Equipment</v>
      </c>
      <c r="D5" s="95">
        <f>'Universe Weighting Workshhet - '!K42</f>
        <v>34.027406559166977</v>
      </c>
      <c r="E5" s="23">
        <f>D5/SUM(D2:D13)</f>
        <v>0.12889746318938186</v>
      </c>
      <c r="F5" s="23">
        <f>E5*'Category Weightings'!$C$10</f>
        <v>1.2274839736321692E-2</v>
      </c>
      <c r="G5" s="24"/>
    </row>
    <row r="6" spans="1:7" ht="20" customHeight="1" x14ac:dyDescent="0.15">
      <c r="A6" s="7" t="str">
        <f>'Universe Weighting Workshhet - '!$C43</f>
        <v>IEX</v>
      </c>
      <c r="B6" s="7" t="e" vm="40">
        <f>'Universe Weighting Workshhet - '!$D43</f>
        <v>#VALUE!</v>
      </c>
      <c r="C6" s="21" t="str">
        <f>'Universe Weighting Workshhet - '!$B43</f>
        <v>Equipment</v>
      </c>
      <c r="D6" s="95">
        <f>'Universe Weighting Workshhet - '!K43</f>
        <v>7.5946927594618545</v>
      </c>
      <c r="E6" s="23">
        <f>D6/SUM(D2:D13)</f>
        <v>2.8769063804354903E-2</v>
      </c>
      <c r="F6" s="23">
        <f>E6*'Category Weightings'!$C$10</f>
        <v>2.7396632860309062E-3</v>
      </c>
      <c r="G6" s="24"/>
    </row>
    <row r="7" spans="1:7" ht="20" customHeight="1" x14ac:dyDescent="0.15">
      <c r="A7" s="7" t="str">
        <f>'Universe Weighting Workshhet - '!$C44</f>
        <v>MEG</v>
      </c>
      <c r="B7" s="7" t="e" vm="41">
        <f>'Universe Weighting Workshhet - '!$D44</f>
        <v>#VALUE!</v>
      </c>
      <c r="C7" s="21" t="str">
        <f>'Universe Weighting Workshhet - '!$B44</f>
        <v>Construction/Engineering</v>
      </c>
      <c r="D7" s="95">
        <f>'Universe Weighting Workshhet - '!K44</f>
        <v>95</v>
      </c>
      <c r="E7" s="23">
        <f>D7/SUM(D2:D13)</f>
        <v>0.35986459860522063</v>
      </c>
      <c r="F7" s="23">
        <f>E7*'Category Weightings'!$C$10</f>
        <v>3.4269722346395241E-2</v>
      </c>
      <c r="G7" s="24"/>
    </row>
    <row r="8" spans="1:7" ht="20" customHeight="1" x14ac:dyDescent="0.15">
      <c r="A8" s="7" t="str">
        <f>'Universe Weighting Workshhet - '!$C45</f>
        <v>NVEE</v>
      </c>
      <c r="B8" s="7" t="e" vm="3">
        <f>'Universe Weighting Workshhet - '!$D45</f>
        <v>#VALUE!</v>
      </c>
      <c r="C8" s="21" t="str">
        <f>'Universe Weighting Workshhet - '!$B45</f>
        <v>Construction/Engineering</v>
      </c>
      <c r="D8" s="95">
        <f>'Universe Weighting Workshhet - '!K45</f>
        <v>7.9799678662460947</v>
      </c>
      <c r="E8" s="23">
        <f>D8/SUM(D2:D13)</f>
        <v>3.0228504558623262E-2</v>
      </c>
      <c r="F8" s="23">
        <f>E8*'Category Weightings'!$C$10</f>
        <v>2.8786450853622082E-3</v>
      </c>
      <c r="G8" s="24"/>
    </row>
    <row r="9" spans="1:7" ht="20" customHeight="1" x14ac:dyDescent="0.15">
      <c r="A9" s="7" t="str">
        <f>'Universe Weighting Workshhet - '!$C46</f>
        <v>PRIM</v>
      </c>
      <c r="B9" s="7" t="e" vm="4">
        <f>'Universe Weighting Workshhet - '!$D46</f>
        <v>#VALUE!</v>
      </c>
      <c r="C9" s="21" t="str">
        <f>'Universe Weighting Workshhet - '!$B46</f>
        <v>Construction/Engineering</v>
      </c>
      <c r="D9" s="95">
        <f>'Universe Weighting Workshhet - '!K46</f>
        <v>3.9265199306027001</v>
      </c>
      <c r="E9" s="23">
        <f>D9/SUM(D2:D13)</f>
        <v>1.4873847565702522E-2</v>
      </c>
      <c r="F9" s="23">
        <f>E9*'Category Weightings'!$C$10</f>
        <v>1.4164289243088597E-3</v>
      </c>
      <c r="G9" s="24"/>
    </row>
    <row r="10" spans="1:7" ht="20" customHeight="1" x14ac:dyDescent="0.15">
      <c r="A10" s="7" t="str">
        <f>'Universe Weighting Workshhet - '!$C47</f>
        <v>STN</v>
      </c>
      <c r="B10" s="7" t="e" vm="5">
        <f>'Universe Weighting Workshhet - '!$D47</f>
        <v>#VALUE!</v>
      </c>
      <c r="C10" s="21" t="str">
        <f>'Universe Weighting Workshhet - '!$B47</f>
        <v>Construction/Engineering</v>
      </c>
      <c r="D10" s="95">
        <f>'Universe Weighting Workshhet - '!K47</f>
        <v>8.152331893161179</v>
      </c>
      <c r="E10" s="23">
        <f>D10/SUM(D2:D13)</f>
        <v>3.0881427836094592E-2</v>
      </c>
      <c r="F10" s="23">
        <f>E10*'Category Weightings'!$C$10</f>
        <v>2.9408226363610139E-3</v>
      </c>
      <c r="G10" s="24"/>
    </row>
    <row r="11" spans="1:7" ht="20" customHeight="1" x14ac:dyDescent="0.15">
      <c r="A11" s="7" t="str">
        <f>'Universe Weighting Workshhet - '!$C48</f>
        <v>TTEK</v>
      </c>
      <c r="B11" s="7" t="e" vm="42">
        <f>'Universe Weighting Workshhet - '!$D48</f>
        <v>#VALUE!</v>
      </c>
      <c r="C11" s="21" t="str">
        <f>'Universe Weighting Workshhet - '!$B48</f>
        <v>Construction/Engineering</v>
      </c>
      <c r="D11" s="95">
        <f>'Universe Weighting Workshhet - '!K48</f>
        <v>36.527145168425392</v>
      </c>
      <c r="E11" s="23">
        <f>D11/SUM(D2:D13)</f>
        <v>0.13836659404452661</v>
      </c>
      <c r="F11" s="23">
        <f>E11*'Category Weightings'!$C$10</f>
        <v>1.3176580242404324E-2</v>
      </c>
      <c r="G11" s="24"/>
    </row>
    <row r="12" spans="1:7" ht="20" customHeight="1" x14ac:dyDescent="0.15">
      <c r="A12" s="7" t="str">
        <f>'Universe Weighting Workshhet - '!$C49</f>
        <v>WSP.TO</v>
      </c>
      <c r="B12" s="7" t="e" vm="8">
        <f>'Universe Weighting Workshhet - '!$D49</f>
        <v>#VALUE!</v>
      </c>
      <c r="C12" s="21" t="str">
        <f>'Universe Weighting Workshhet - '!$B49</f>
        <v>Construction/Engineering</v>
      </c>
      <c r="D12" s="95">
        <f>'Universe Weighting Workshhet - '!K49</f>
        <v>8.1408960858044122</v>
      </c>
      <c r="E12" s="23">
        <f>D12/SUM(D2:D13)</f>
        <v>3.0838108444261228E-2</v>
      </c>
      <c r="F12" s="23">
        <f>E12*'Category Weightings'!$C$10</f>
        <v>2.936697352751295E-3</v>
      </c>
      <c r="G12" s="24"/>
    </row>
    <row r="13" spans="1:7" ht="20" customHeight="1" x14ac:dyDescent="0.15">
      <c r="A13" s="7" t="str">
        <f>'Universe Weighting Workshhet - '!$C50</f>
        <v>XYL</v>
      </c>
      <c r="B13" s="7" t="e" vm="43">
        <f>'Universe Weighting Workshhet - '!$D50</f>
        <v>#VALUE!</v>
      </c>
      <c r="C13" s="21" t="str">
        <f>'Universe Weighting Workshhet - '!$B50</f>
        <v>Equipment</v>
      </c>
      <c r="D13" s="95">
        <f>'Universe Weighting Workshhet - '!K50</f>
        <v>15.416119974504792</v>
      </c>
      <c r="E13" s="23">
        <f>D13/SUM(D2:D13)</f>
        <v>5.839700870184307E-2</v>
      </c>
      <c r="F13" s="23">
        <f>E13*'Category Weightings'!$C$10</f>
        <v>5.5611173808947055E-3</v>
      </c>
      <c r="G13" s="24"/>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9"/>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0" customWidth="1"/>
    <col min="2" max="2" width="29.5" style="100" customWidth="1"/>
    <col min="3" max="3" width="13.83203125" style="100" customWidth="1"/>
    <col min="4" max="4" width="29.83203125" style="100" customWidth="1"/>
    <col min="5" max="8" width="16.33203125" style="100" customWidth="1"/>
    <col min="9" max="16384" width="16.33203125" style="100"/>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'!C51</f>
        <v>ALTG</v>
      </c>
      <c r="B2" s="4" t="e" vm="44">
        <f>'Universe Weighting Workshhet - '!D51</f>
        <v>#VALUE!</v>
      </c>
      <c r="C2" s="17" t="str">
        <f>'Universe Weighting Workshhet - '!B51</f>
        <v>Equipment</v>
      </c>
      <c r="D2" s="37">
        <f>'Universe Weighting Workshhet - '!K51</f>
        <v>100</v>
      </c>
      <c r="E2" s="19">
        <f>D2/SUM(D2:D9)</f>
        <v>0.14082831334724832</v>
      </c>
      <c r="F2" s="19">
        <f>E2*'Category Weightings'!$C$14</f>
        <v>1.0562123501043625E-2</v>
      </c>
      <c r="G2" s="20"/>
    </row>
    <row r="3" spans="1:7" ht="20" customHeight="1" x14ac:dyDescent="0.15">
      <c r="A3" s="7" t="str">
        <f>'Universe Weighting Workshhet - '!C53</f>
        <v>DSKE</v>
      </c>
      <c r="B3" s="7" t="e" vm="46">
        <f>'Universe Weighting Workshhet - '!D53</f>
        <v>#VALUE!</v>
      </c>
      <c r="C3" s="21" t="str">
        <f>'Universe Weighting Workshhet - '!B53</f>
        <v>Transpo</v>
      </c>
      <c r="D3" s="95">
        <f>'Universe Weighting Workshhet - '!K53</f>
        <v>100</v>
      </c>
      <c r="E3" s="23">
        <f>D3/SUM(D2:D9)</f>
        <v>0.14082831334724832</v>
      </c>
      <c r="F3" s="23">
        <f>E3*'Category Weightings'!$C$14</f>
        <v>1.0562123501043625E-2</v>
      </c>
      <c r="G3" s="24"/>
    </row>
    <row r="4" spans="1:7" ht="20" customHeight="1" x14ac:dyDescent="0.15">
      <c r="A4" s="7" t="str">
        <f>'Universe Weighting Workshhet - '!C54</f>
        <v>GENC</v>
      </c>
      <c r="B4" s="7" t="e" vm="47">
        <f>'Universe Weighting Workshhet - '!D54</f>
        <v>#VALUE!</v>
      </c>
      <c r="C4" s="21" t="str">
        <f>'Universe Weighting Workshhet - '!B54</f>
        <v>Equipment</v>
      </c>
      <c r="D4" s="95">
        <f>'Universe Weighting Workshhet - '!K54</f>
        <v>100</v>
      </c>
      <c r="E4" s="23">
        <f>D4/SUM(D2:D9)</f>
        <v>0.14082831334724832</v>
      </c>
      <c r="F4" s="23">
        <f>E4*'Category Weightings'!$C$14</f>
        <v>1.0562123501043625E-2</v>
      </c>
      <c r="G4" s="24"/>
    </row>
    <row r="5" spans="1:7" ht="20" customHeight="1" x14ac:dyDescent="0.15">
      <c r="A5" s="7" t="str">
        <f>'Universe Weighting Workshhet - '!C55</f>
        <v>HEES</v>
      </c>
      <c r="B5" s="7" t="e" vm="48">
        <f>'Universe Weighting Workshhet - '!D55</f>
        <v>#VALUE!</v>
      </c>
      <c r="C5" s="21" t="str">
        <f>'Universe Weighting Workshhet - '!B55</f>
        <v>Equipment</v>
      </c>
      <c r="D5" s="95">
        <f>'Universe Weighting Workshhet - '!K55</f>
        <v>100</v>
      </c>
      <c r="E5" s="23">
        <f>D5/SUM(D2:D9)</f>
        <v>0.14082831334724832</v>
      </c>
      <c r="F5" s="23">
        <f>E5*'Category Weightings'!$C$14</f>
        <v>1.0562123501043625E-2</v>
      </c>
      <c r="G5" s="24"/>
    </row>
    <row r="6" spans="1:7" ht="20" customHeight="1" x14ac:dyDescent="0.15">
      <c r="A6" s="7" t="str">
        <f>'Universe Weighting Workshhet - '!C56</f>
        <v>HRI</v>
      </c>
      <c r="B6" s="7" t="e" vm="49">
        <f>'Universe Weighting Workshhet - '!D56</f>
        <v>#VALUE!</v>
      </c>
      <c r="C6" s="21" t="str">
        <f>'Universe Weighting Workshhet - '!B56</f>
        <v>Equipment</v>
      </c>
      <c r="D6" s="95">
        <f>'Universe Weighting Workshhet - '!K56</f>
        <v>91.191826194352444</v>
      </c>
      <c r="E6" s="23">
        <f>D6/SUM(D2:D9)</f>
        <v>0.12842391074006074</v>
      </c>
      <c r="F6" s="23">
        <f>E6*'Category Weightings'!$C$14</f>
        <v>9.6317933055045553E-3</v>
      </c>
      <c r="G6" s="24"/>
    </row>
    <row r="7" spans="1:7" ht="20" customHeight="1" x14ac:dyDescent="0.15">
      <c r="A7" s="7" t="str">
        <f>'Universe Weighting Workshhet - '!C57</f>
        <v>HY</v>
      </c>
      <c r="B7" s="7" t="e" vm="50">
        <f>'Universe Weighting Workshhet - '!D57</f>
        <v>#VALUE!</v>
      </c>
      <c r="C7" s="21" t="str">
        <f>'Universe Weighting Workshhet - '!B57</f>
        <v>Equipment</v>
      </c>
      <c r="D7" s="95">
        <f>'Universe Weighting Workshhet - '!K57</f>
        <v>62.248362474478988</v>
      </c>
      <c r="E7" s="23">
        <f>D7/SUM(D2:D9)</f>
        <v>8.7663318959090214E-2</v>
      </c>
      <c r="F7" s="23">
        <f>E7*'Category Weightings'!$C$14</f>
        <v>6.5747489219317662E-3</v>
      </c>
      <c r="G7" s="24"/>
    </row>
    <row r="8" spans="1:7" ht="20" customHeight="1" x14ac:dyDescent="0.15">
      <c r="A8" s="7" t="str">
        <f>'Universe Weighting Workshhet - '!C58</f>
        <v>MNTX</v>
      </c>
      <c r="B8" s="7" t="e" vm="51">
        <f>'Universe Weighting Workshhet - '!D58</f>
        <v>#VALUE!</v>
      </c>
      <c r="C8" s="21" t="str">
        <f>'Universe Weighting Workshhet - '!B58</f>
        <v>Equipment</v>
      </c>
      <c r="D8" s="95">
        <f>'Universe Weighting Workshhet - '!K58</f>
        <v>69.262319550084186</v>
      </c>
      <c r="E8" s="23">
        <f>D8/SUM(D2:D9)</f>
        <v>9.7540956407564994E-2</v>
      </c>
      <c r="F8" s="23">
        <f>E8*'Category Weightings'!$C$14</f>
        <v>7.3155717305673738E-3</v>
      </c>
      <c r="G8" s="24"/>
    </row>
    <row r="9" spans="1:7" ht="20" customHeight="1" x14ac:dyDescent="0.15">
      <c r="A9" s="7" t="str">
        <f>'Universe Weighting Workshhet - '!C60</f>
        <v>URI</v>
      </c>
      <c r="B9" s="7" t="e" vm="53">
        <f>'Universe Weighting Workshhet - '!D60</f>
        <v>#VALUE!</v>
      </c>
      <c r="C9" s="21" t="str">
        <f>'Universe Weighting Workshhet - '!B60</f>
        <v>Equipment</v>
      </c>
      <c r="D9" s="95">
        <f>'Universe Weighting Workshhet - '!K60</f>
        <v>87.381974248927037</v>
      </c>
      <c r="E9" s="23">
        <f>D9/SUM(D2:D9)</f>
        <v>0.12305856050429081</v>
      </c>
      <c r="F9" s="23">
        <f>E9*'Category Weightings'!$C$14</f>
        <v>9.2293920378218111E-3</v>
      </c>
      <c r="G9" s="24"/>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8"/>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3" width="16.33203125" style="101" customWidth="1"/>
    <col min="4" max="4" width="29.83203125" style="101" customWidth="1"/>
    <col min="5" max="8" width="16.33203125" style="101" customWidth="1"/>
    <col min="9" max="16384" width="16.33203125" style="101"/>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'!C61</f>
        <v>ABB</v>
      </c>
      <c r="B2" s="4" t="str">
        <f>'Universe Weighting Workshhet - '!D61</f>
        <v>ABB</v>
      </c>
      <c r="C2" s="17" t="str">
        <f>'Universe Weighting Workshhet - '!B61</f>
        <v>Equipment</v>
      </c>
      <c r="D2" s="37">
        <f>'Universe Weighting Workshhet - '!K61</f>
        <v>3.178617892400704</v>
      </c>
      <c r="E2" s="19">
        <f>D2/SUM(D2:D8)</f>
        <v>0.27217600187246377</v>
      </c>
      <c r="F2" s="19">
        <f>E2*'Category Weightings'!$C$5</f>
        <v>2.8587333048133282E-3</v>
      </c>
      <c r="G2" s="20"/>
    </row>
    <row r="3" spans="1:7" ht="20" customHeight="1" x14ac:dyDescent="0.15">
      <c r="A3" s="7" t="str">
        <f>'Universe Weighting Workshhet - '!$C62</f>
        <v>PTRA</v>
      </c>
      <c r="B3" s="7" t="e" vm="54">
        <f>'Universe Weighting Workshhet - '!D62</f>
        <v>#VALUE!</v>
      </c>
      <c r="C3" s="21" t="str">
        <f>'Universe Weighting Workshhet - '!B62</f>
        <v>Equipment</v>
      </c>
      <c r="D3" s="95">
        <f>'Universe Weighting Workshhet - '!K62</f>
        <v>8.2000000000000011</v>
      </c>
      <c r="E3" s="23">
        <f>D3/SUM(D2:D8)</f>
        <v>0.70214265787970087</v>
      </c>
      <c r="F3" s="23">
        <f>E3*'Category Weightings'!$C$5</f>
        <v>7.3747817111054605E-3</v>
      </c>
      <c r="G3" s="24"/>
    </row>
    <row r="4" spans="1:7" ht="20" customHeight="1" x14ac:dyDescent="0.15">
      <c r="A4" s="7" t="str">
        <f>'Universe Weighting Workshhet - '!$C63</f>
        <v>SIE.DE</v>
      </c>
      <c r="B4" s="7" t="e" vm="55">
        <f>'Universe Weighting Workshhet - '!D63</f>
        <v>#VALUE!</v>
      </c>
      <c r="C4" s="21" t="str">
        <f>'Universe Weighting Workshhet - '!B63</f>
        <v>Equipment</v>
      </c>
      <c r="D4" s="95">
        <f>'Universe Weighting Workshhet - '!K63</f>
        <v>0.29992051852848856</v>
      </c>
      <c r="E4" s="23">
        <f>D4/SUM(D2:D8)</f>
        <v>2.5681340247835485E-2</v>
      </c>
      <c r="F4" s="23">
        <f>E4*'Category Weightings'!$C$5</f>
        <v>2.6973760424745891E-4</v>
      </c>
      <c r="G4" s="24"/>
    </row>
    <row r="5" spans="1:7" ht="20" customHeight="1" x14ac:dyDescent="0.15">
      <c r="A5" s="64"/>
      <c r="B5" s="64"/>
      <c r="C5" s="25"/>
      <c r="D5" s="26"/>
      <c r="E5" s="23"/>
      <c r="F5" s="24"/>
      <c r="G5" s="24"/>
    </row>
    <row r="6" spans="1:7" ht="20" customHeight="1" x14ac:dyDescent="0.15">
      <c r="A6" s="64"/>
      <c r="B6" s="64"/>
      <c r="C6" s="25"/>
      <c r="D6" s="26"/>
      <c r="E6" s="23"/>
      <c r="F6" s="24"/>
      <c r="G6" s="24"/>
    </row>
    <row r="7" spans="1:7" ht="20" customHeight="1" x14ac:dyDescent="0.15">
      <c r="A7" s="64"/>
      <c r="B7" s="64"/>
      <c r="C7" s="25"/>
      <c r="D7" s="26"/>
      <c r="E7" s="23"/>
      <c r="F7" s="24"/>
      <c r="G7" s="24"/>
    </row>
    <row r="8" spans="1:7" ht="20" customHeight="1" x14ac:dyDescent="0.15">
      <c r="A8" s="64"/>
      <c r="B8" s="64"/>
      <c r="C8" s="25"/>
      <c r="D8" s="26"/>
      <c r="E8" s="23"/>
      <c r="F8" s="24"/>
      <c r="G8" s="24"/>
    </row>
  </sheetData>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G9"/>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3" width="16.33203125" style="102" customWidth="1"/>
    <col min="4" max="4" width="29.83203125" style="102" customWidth="1"/>
    <col min="5" max="8" width="16.33203125" style="102" customWidth="1"/>
    <col min="9" max="16384" width="16.33203125" style="102"/>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'!C64</f>
        <v>ABB</v>
      </c>
      <c r="B2" s="4" t="str">
        <f>'Universe Weighting Workshhet - '!D64</f>
        <v>ABB</v>
      </c>
      <c r="C2" s="17" t="str">
        <f>'Universe Weighting Workshhet - '!B64</f>
        <v>Equipment</v>
      </c>
      <c r="D2" s="37">
        <f>'Universe Weighting Workshhet - '!K64</f>
        <v>3.178617892400704</v>
      </c>
      <c r="E2" s="19">
        <f>D2/SUM(D2:D9)</f>
        <v>0.91377973070926266</v>
      </c>
      <c r="F2" s="19">
        <f>E2*'Category Weightings'!$C$6</f>
        <v>9.597659350826869E-3</v>
      </c>
      <c r="G2" s="20"/>
    </row>
    <row r="3" spans="1:7" ht="20" customHeight="1" x14ac:dyDescent="0.15">
      <c r="A3" s="7" t="str">
        <f>'Universe Weighting Workshhet - '!$C65</f>
        <v>SIE.DE</v>
      </c>
      <c r="B3" s="7" t="e" vm="55">
        <f>'Universe Weighting Workshhet - '!D65</f>
        <v>#VALUE!</v>
      </c>
      <c r="C3" s="21" t="str">
        <f>'Universe Weighting Workshhet - '!B65</f>
        <v>Equipment</v>
      </c>
      <c r="D3" s="95">
        <f>'Universe Weighting Workshhet - '!K65</f>
        <v>0.29992051852848856</v>
      </c>
      <c r="E3" s="23">
        <f>D3/SUM(D2:D9)</f>
        <v>8.6220269290737353E-2</v>
      </c>
      <c r="F3" s="23">
        <f>E3*'Category Weightings'!$C$6</f>
        <v>9.0559326933937643E-4</v>
      </c>
      <c r="G3" s="24"/>
    </row>
    <row r="4" spans="1:7" ht="20" customHeight="1" x14ac:dyDescent="0.15">
      <c r="A4" s="64"/>
      <c r="B4" s="64"/>
      <c r="C4" s="25"/>
      <c r="D4" s="26"/>
      <c r="E4" s="23"/>
      <c r="F4" s="24"/>
      <c r="G4" s="24"/>
    </row>
    <row r="5" spans="1:7" ht="20" customHeight="1" x14ac:dyDescent="0.15">
      <c r="A5" s="64"/>
      <c r="B5" s="64"/>
      <c r="C5" s="25"/>
      <c r="D5" s="26"/>
      <c r="E5" s="23"/>
      <c r="F5" s="24"/>
      <c r="G5" s="24"/>
    </row>
    <row r="6" spans="1:7" ht="20" customHeight="1" x14ac:dyDescent="0.15">
      <c r="A6" s="64"/>
      <c r="B6" s="64"/>
      <c r="C6" s="25"/>
      <c r="D6" s="26"/>
      <c r="E6" s="23"/>
      <c r="F6" s="24"/>
      <c r="G6" s="24"/>
    </row>
    <row r="7" spans="1:7" ht="20" customHeight="1" x14ac:dyDescent="0.15">
      <c r="A7" s="64"/>
      <c r="B7" s="64"/>
      <c r="C7" s="25"/>
      <c r="D7" s="26"/>
      <c r="E7" s="23"/>
      <c r="F7" s="24"/>
      <c r="G7" s="24"/>
    </row>
    <row r="8" spans="1:7" ht="20" customHeight="1" x14ac:dyDescent="0.15">
      <c r="A8" s="64"/>
      <c r="B8" s="64"/>
      <c r="C8" s="25"/>
      <c r="D8" s="26"/>
      <c r="E8" s="23"/>
      <c r="F8" s="24"/>
      <c r="G8" s="24"/>
    </row>
    <row r="9" spans="1:7" ht="20" customHeight="1" x14ac:dyDescent="0.15">
      <c r="A9" s="64"/>
      <c r="B9" s="64"/>
      <c r="C9" s="25"/>
      <c r="D9" s="26"/>
      <c r="E9" s="23"/>
      <c r="F9" s="24"/>
      <c r="G9" s="24"/>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12"/>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3" customWidth="1"/>
    <col min="2" max="2" width="31.33203125" style="103" customWidth="1"/>
    <col min="3" max="3" width="26.1640625" style="103" customWidth="1"/>
    <col min="4" max="4" width="29.83203125" style="103" customWidth="1"/>
    <col min="5" max="8" width="16.33203125" style="103" customWidth="1"/>
    <col min="9" max="16384" width="16.33203125" style="103"/>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'!$C66</f>
        <v>ABB</v>
      </c>
      <c r="B2" s="4" t="str">
        <f>'Universe Weighting Workshhet - '!$D66</f>
        <v>ABB</v>
      </c>
      <c r="C2" s="17" t="str">
        <f>'Universe Weighting Workshhet - '!$B66</f>
        <v>Equipment</v>
      </c>
      <c r="D2" s="37">
        <f>'Universe Weighting Workshhet - '!K66</f>
        <v>10.651641539756639</v>
      </c>
      <c r="E2" s="19">
        <f>D2/SUM(D2:D12)</f>
        <v>5.5951000796310851E-2</v>
      </c>
      <c r="F2" s="19">
        <f>E2*'Category Weightings'!$C$12</f>
        <v>5.7199636249571501E-3</v>
      </c>
      <c r="G2" s="20"/>
    </row>
    <row r="3" spans="1:7" ht="20" customHeight="1" x14ac:dyDescent="0.15">
      <c r="A3" s="7" t="str">
        <f>'Universe Weighting Workshhet - '!$C67</f>
        <v>ACM</v>
      </c>
      <c r="B3" s="7" t="e" vm="1">
        <f>'Universe Weighting Workshhet - '!$D67</f>
        <v>#VALUE!</v>
      </c>
      <c r="C3" s="21" t="str">
        <f>'Universe Weighting Workshhet - '!$B67</f>
        <v>Construction/Engineering</v>
      </c>
      <c r="D3" s="95">
        <f>'Universe Weighting Workshhet - '!K67</f>
        <v>4.7829044175198021</v>
      </c>
      <c r="E3" s="23">
        <f>D3/SUM(D2:D12)</f>
        <v>2.5123666420288047E-2</v>
      </c>
      <c r="F3" s="23">
        <f>E3*'Category Weightings'!$C$12</f>
        <v>2.5684340941955121E-3</v>
      </c>
      <c r="G3" s="24"/>
    </row>
    <row r="4" spans="1:7" ht="20" customHeight="1" x14ac:dyDescent="0.15">
      <c r="A4" s="7" t="str">
        <f>'Universe Weighting Workshhet - '!$C68</f>
        <v>EME</v>
      </c>
      <c r="B4" s="7" t="e" vm="56">
        <f>'Universe Weighting Workshhet - '!$D68</f>
        <v>#VALUE!</v>
      </c>
      <c r="C4" s="21" t="str">
        <f>'Universe Weighting Workshhet - '!$B68</f>
        <v>Construction/Engineering</v>
      </c>
      <c r="D4" s="95">
        <f>'Universe Weighting Workshhet - '!K68</f>
        <v>22.432798863165779</v>
      </c>
      <c r="E4" s="23">
        <f>D4/SUM(D2:D12)</f>
        <v>0.11783512826372733</v>
      </c>
      <c r="F4" s="23">
        <f>E4*'Category Weightings'!$C$12</f>
        <v>1.2046480631587232E-2</v>
      </c>
      <c r="G4" s="24"/>
    </row>
    <row r="5" spans="1:7" ht="20" customHeight="1" x14ac:dyDescent="0.15">
      <c r="A5" s="7" t="str">
        <f>'Universe Weighting Workshhet - '!$C69</f>
        <v>ETN</v>
      </c>
      <c r="B5" s="7" t="e" vm="57">
        <f>'Universe Weighting Workshhet - '!$D69</f>
        <v>#VALUE!</v>
      </c>
      <c r="C5" s="21" t="str">
        <f>'Universe Weighting Workshhet - '!$B69</f>
        <v>Equipment</v>
      </c>
      <c r="D5" s="95">
        <f>'Universe Weighting Workshhet - '!K69</f>
        <v>29.659379549781605</v>
      </c>
      <c r="E5" s="23">
        <f>D5/SUM(D2:D12)</f>
        <v>0.15579495072323196</v>
      </c>
      <c r="F5" s="23">
        <f>E5*'Category Weightings'!$C$12</f>
        <v>1.5927176250753249E-2</v>
      </c>
      <c r="G5" s="24"/>
    </row>
    <row r="6" spans="1:7" ht="20" customHeight="1" x14ac:dyDescent="0.15">
      <c r="A6" s="7" t="str">
        <f>'Universe Weighting Workshhet - '!$C71</f>
        <v>MTZ</v>
      </c>
      <c r="B6" s="7" t="e" vm="17">
        <f>'Universe Weighting Workshhet - '!$D71</f>
        <v>#VALUE!</v>
      </c>
      <c r="C6" s="21" t="str">
        <f>'Universe Weighting Workshhet - '!$B71</f>
        <v>Construction/Engineering</v>
      </c>
      <c r="D6" s="95">
        <f>'Universe Weighting Workshhet - '!K71</f>
        <v>7.8595839758993122</v>
      </c>
      <c r="E6" s="23">
        <f>D6/SUM(D2:D12)</f>
        <v>4.1284865591173614E-2</v>
      </c>
      <c r="F6" s="23">
        <f>E6*'Category Weightings'!$C$12</f>
        <v>4.220620294218734E-3</v>
      </c>
      <c r="G6" s="24"/>
    </row>
    <row r="7" spans="1:7" ht="20" customHeight="1" x14ac:dyDescent="0.15">
      <c r="A7" s="7" t="str">
        <f>'Universe Weighting Workshhet - '!$C72</f>
        <v>MYRG</v>
      </c>
      <c r="B7" s="7" t="e" vm="59">
        <f>'Universe Weighting Workshhet - '!$D72</f>
        <v>#VALUE!</v>
      </c>
      <c r="C7" s="21" t="str">
        <f>'Universe Weighting Workshhet - '!$B72</f>
        <v>Construction/Engineering</v>
      </c>
      <c r="D7" s="95">
        <f>'Universe Weighting Workshhet - '!K72</f>
        <v>47.615565330836809</v>
      </c>
      <c r="E7" s="23">
        <f>D7/SUM(D2:D12)</f>
        <v>0.25011530136446086</v>
      </c>
      <c r="F7" s="23">
        <f>E7*'Category Weightings'!$C$12</f>
        <v>2.5569702158826119E-2</v>
      </c>
      <c r="G7" s="24"/>
    </row>
    <row r="8" spans="1:7" ht="20" customHeight="1" x14ac:dyDescent="0.15">
      <c r="A8" s="7" t="str">
        <f>'Universe Weighting Workshhet - '!$C73</f>
        <v>NVEE</v>
      </c>
      <c r="B8" s="7" t="e" vm="3">
        <f>'Universe Weighting Workshhet - '!$D73</f>
        <v>#VALUE!</v>
      </c>
      <c r="C8" s="21" t="str">
        <f>'Universe Weighting Workshhet - '!$B73</f>
        <v>Construction/Engineering</v>
      </c>
      <c r="D8" s="95">
        <f>'Universe Weighting Workshhet - '!K73</f>
        <v>8.5667302093524267</v>
      </c>
      <c r="E8" s="23">
        <f>D8/SUM(D2:D12)</f>
        <v>4.4999367184507123E-2</v>
      </c>
      <c r="F8" s="23">
        <f>E8*'Category Weightings'!$C$12</f>
        <v>4.6003599538552414E-3</v>
      </c>
      <c r="G8" s="24"/>
    </row>
    <row r="9" spans="1:7" ht="20" customHeight="1" x14ac:dyDescent="0.15">
      <c r="A9" s="7" t="str">
        <f>'Universe Weighting Workshhet - '!$C74</f>
        <v>PRIM</v>
      </c>
      <c r="B9" s="7" t="e" vm="4">
        <f>'Universe Weighting Workshhet - '!$D74</f>
        <v>#VALUE!</v>
      </c>
      <c r="C9" s="21" t="str">
        <f>'Universe Weighting Workshhet - '!$B74</f>
        <v>Construction/Engineering</v>
      </c>
      <c r="D9" s="95">
        <f>'Universe Weighting Workshhet - '!K74</f>
        <v>13.147311883699169</v>
      </c>
      <c r="E9" s="23">
        <f>D9/SUM(D2:D12)</f>
        <v>6.906027159556534E-2</v>
      </c>
      <c r="F9" s="23">
        <f>E9*'Category Weightings'!$C$12</f>
        <v>7.060146124899005E-3</v>
      </c>
      <c r="G9" s="24"/>
    </row>
    <row r="10" spans="1:7" ht="20" customHeight="1" x14ac:dyDescent="0.15">
      <c r="A10" s="7" t="str">
        <f>'Universe Weighting Workshhet - '!$C75</f>
        <v>PWR</v>
      </c>
      <c r="B10" s="7" t="e" vm="20">
        <f>'Universe Weighting Workshhet - '!$D75</f>
        <v>#VALUE!</v>
      </c>
      <c r="C10" s="21" t="str">
        <f>'Universe Weighting Workshhet - '!$B75</f>
        <v>Construction/Engineering</v>
      </c>
      <c r="D10" s="95">
        <f>'Universe Weighting Workshhet - '!K75</f>
        <v>36.705401977805586</v>
      </c>
      <c r="E10" s="23">
        <f>D10/SUM(D2:D12)</f>
        <v>0.1928063357768639</v>
      </c>
      <c r="F10" s="23">
        <f>E10*'Category Weightings'!$C$12</f>
        <v>1.9710911540614523E-2</v>
      </c>
      <c r="G10" s="24"/>
    </row>
    <row r="11" spans="1:7" ht="20" customHeight="1" x14ac:dyDescent="0.15">
      <c r="A11" s="7" t="str">
        <f>'Universe Weighting Workshhet - '!$C76</f>
        <v>SIE.DE</v>
      </c>
      <c r="B11" s="7" t="e" vm="55">
        <f>'Universe Weighting Workshhet - '!$D76</f>
        <v>#VALUE!</v>
      </c>
      <c r="C11" s="21" t="str">
        <f>'Universe Weighting Workshhet - '!$B76</f>
        <v>Equipment</v>
      </c>
      <c r="D11" s="95">
        <f>'Universe Weighting Workshhet - '!K76</f>
        <v>5.1253010537276005</v>
      </c>
      <c r="E11" s="23">
        <f>D11/SUM(D2:D12)</f>
        <v>2.692220933910602E-2</v>
      </c>
      <c r="F11" s="23">
        <f>E11*'Category Weightings'!$C$12</f>
        <v>2.7523021202745268E-3</v>
      </c>
      <c r="G11" s="24"/>
    </row>
    <row r="12" spans="1:7" ht="20" customHeight="1" x14ac:dyDescent="0.15">
      <c r="A12" s="7" t="str">
        <f>'Universe Weighting Workshhet - '!$C77</f>
        <v>STN</v>
      </c>
      <c r="B12" s="7" t="e" vm="5">
        <f>'Universe Weighting Workshhet - '!$D77</f>
        <v>#VALUE!</v>
      </c>
      <c r="C12" s="21" t="str">
        <f>'Universe Weighting Workshhet - '!$B77</f>
        <v>Construction/Engineering</v>
      </c>
      <c r="D12" s="95">
        <f>'Universe Weighting Workshhet - '!K77</f>
        <v>3.8278407820085976</v>
      </c>
      <c r="E12" s="23">
        <f>D12/SUM(D2:D12)</f>
        <v>2.0106902944765019E-2</v>
      </c>
      <c r="F12" s="23">
        <f>E12*'Category Weightings'!$C$12</f>
        <v>2.0555620421035077E-3</v>
      </c>
      <c r="G12" s="24"/>
    </row>
  </sheetData>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G9"/>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4" customWidth="1"/>
    <col min="2" max="2" width="29.33203125" style="104" customWidth="1"/>
    <col min="3" max="3" width="23.5" style="104" customWidth="1"/>
    <col min="4" max="4" width="29.83203125" style="104" customWidth="1"/>
    <col min="5" max="8" width="16.33203125" style="104" customWidth="1"/>
    <col min="9" max="16384" width="16.33203125" style="104"/>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'!$C79</f>
        <v>ALO.PA</v>
      </c>
      <c r="B2" s="4" t="e" vm="60">
        <f>'Universe Weighting Workshhet - '!$D79</f>
        <v>#VALUE!</v>
      </c>
      <c r="C2" s="17" t="str">
        <f>'Universe Weighting Workshhet - '!$B79</f>
        <v>Equipment</v>
      </c>
      <c r="D2" s="37">
        <f>'Universe Weighting Workshhet - '!K79</f>
        <v>5.1573477951312627</v>
      </c>
      <c r="E2" s="19">
        <f>D2/SUM(D2:D9)</f>
        <v>8.0816579123442561E-2</v>
      </c>
      <c r="F2" s="19">
        <f>E2*'Category Weightings'!$C$4</f>
        <v>4.43658777334692E-3</v>
      </c>
      <c r="G2" s="20"/>
    </row>
    <row r="3" spans="1:7" ht="20" customHeight="1" x14ac:dyDescent="0.15">
      <c r="A3" s="7" t="str">
        <f>'Universe Weighting Workshhet - '!$C80</f>
        <v>ATCX</v>
      </c>
      <c r="B3" s="7" t="e" vm="37">
        <f>'Universe Weighting Workshhet - '!$D80</f>
        <v>#VALUE!</v>
      </c>
      <c r="C3" s="21" t="str">
        <f>'Universe Weighting Workshhet - '!$B80</f>
        <v>Construction/Engineering</v>
      </c>
      <c r="D3" s="95">
        <f>'Universe Weighting Workshhet - '!K80</f>
        <v>6.4121093750000009</v>
      </c>
      <c r="E3" s="23">
        <f>D3/SUM(D2:D9)</f>
        <v>0.10047892157710614</v>
      </c>
      <c r="F3" s="23">
        <f>E3*'Category Weightings'!$C$4</f>
        <v>5.5159913941317043E-3</v>
      </c>
      <c r="G3" s="24"/>
    </row>
    <row r="4" spans="1:7" ht="20" customHeight="1" x14ac:dyDescent="0.15">
      <c r="A4" s="7" t="str">
        <f>'Universe Weighting Workshhet - '!$C81</f>
        <v>GVA</v>
      </c>
      <c r="B4" s="7" t="e" vm="2">
        <f>'Universe Weighting Workshhet - '!$D81</f>
        <v>#VALUE!</v>
      </c>
      <c r="C4" s="21" t="str">
        <f>'Universe Weighting Workshhet - '!$B81</f>
        <v>Construction/Engineering</v>
      </c>
      <c r="D4" s="95">
        <f>'Universe Weighting Workshhet - '!K81</f>
        <v>7.8438344088726959</v>
      </c>
      <c r="E4" s="23">
        <f>D4/SUM(D2:D9)</f>
        <v>0.12291431358076706</v>
      </c>
      <c r="F4" s="23">
        <f>E4*'Category Weightings'!$C$4</f>
        <v>6.7476271170648786E-3</v>
      </c>
      <c r="G4" s="24"/>
    </row>
    <row r="5" spans="1:7" ht="20" customHeight="1" x14ac:dyDescent="0.15">
      <c r="A5" s="7" t="str">
        <f>'Universe Weighting Workshhet - '!$C82</f>
        <v>NVEE</v>
      </c>
      <c r="B5" s="7" t="e" vm="3">
        <f>'Universe Weighting Workshhet - '!$D82</f>
        <v>#VALUE!</v>
      </c>
      <c r="C5" s="21" t="str">
        <f>'Universe Weighting Workshhet - '!$B82</f>
        <v>Construction/Engineering</v>
      </c>
      <c r="D5" s="95">
        <f>'Universe Weighting Workshhet - '!K82</f>
        <v>4.6002167699536312</v>
      </c>
      <c r="E5" s="23">
        <f>D5/SUM(D2:D9)</f>
        <v>7.2086234503113009E-2</v>
      </c>
      <c r="F5" s="23">
        <f>E5*'Category Weightings'!$C$4</f>
        <v>3.9573180415695217E-3</v>
      </c>
      <c r="G5" s="24"/>
    </row>
    <row r="6" spans="1:7" ht="20" customHeight="1" x14ac:dyDescent="0.15">
      <c r="A6" s="7" t="str">
        <f>'Universe Weighting Workshhet - '!$C83</f>
        <v>STN</v>
      </c>
      <c r="B6" s="7" t="e" vm="5">
        <f>'Universe Weighting Workshhet - '!$D83</f>
        <v>#VALUE!</v>
      </c>
      <c r="C6" s="21" t="str">
        <f>'Universe Weighting Workshhet - '!$B83</f>
        <v>Construction/Engineering</v>
      </c>
      <c r="D6" s="95">
        <f>'Universe Weighting Workshhet - '!K83</f>
        <v>2.0554980637635207</v>
      </c>
      <c r="E6" s="23">
        <f>D6/SUM(D2:D9)</f>
        <v>3.2210028973622788E-2</v>
      </c>
      <c r="F6" s="23">
        <f>E6*'Category Weightings'!$C$4</f>
        <v>1.7682339722057472E-3</v>
      </c>
      <c r="G6" s="24"/>
    </row>
    <row r="7" spans="1:7" ht="20" customHeight="1" x14ac:dyDescent="0.15">
      <c r="A7" s="7" t="str">
        <f>'Universe Weighting Workshhet - '!$C84</f>
        <v>STRL</v>
      </c>
      <c r="B7" s="7" t="e" vm="6">
        <f>'Universe Weighting Workshhet - '!$D84</f>
        <v>#VALUE!</v>
      </c>
      <c r="C7" s="21" t="str">
        <f>'Universe Weighting Workshhet - '!$B84</f>
        <v>Construction/Engineering</v>
      </c>
      <c r="D7" s="95">
        <f>'Universe Weighting Workshhet - '!K84</f>
        <v>7.7767588601655904</v>
      </c>
      <c r="E7" s="23">
        <f>D7/SUM(D2:D9)</f>
        <v>0.12186322751780004</v>
      </c>
      <c r="F7" s="23">
        <f>E7*'Category Weightings'!$C$4</f>
        <v>6.6899256450863136E-3</v>
      </c>
      <c r="G7" s="24"/>
    </row>
    <row r="8" spans="1:7" ht="20" customHeight="1" x14ac:dyDescent="0.15">
      <c r="A8" s="7" t="str">
        <f>'Universe Weighting Workshhet - '!$C85</f>
        <v>TPC</v>
      </c>
      <c r="B8" s="7" t="e" vm="7">
        <f>'Universe Weighting Workshhet - '!$D85</f>
        <v>#VALUE!</v>
      </c>
      <c r="C8" s="21" t="str">
        <f>'Universe Weighting Workshhet - '!$B85</f>
        <v>Construction/Engineering</v>
      </c>
      <c r="D8" s="95">
        <f>'Universe Weighting Workshhet - '!K85</f>
        <v>27.774600353367436</v>
      </c>
      <c r="E8" s="23">
        <f>D8/SUM(D2:D9)</f>
        <v>0.43523304540348251</v>
      </c>
      <c r="F8" s="23">
        <f>E8*'Category Weightings'!$C$4</f>
        <v>2.3892988650809181E-2</v>
      </c>
      <c r="G8" s="24"/>
    </row>
    <row r="9" spans="1:7" ht="20" customHeight="1" x14ac:dyDescent="0.15">
      <c r="A9" s="7" t="str">
        <f>'Universe Weighting Workshhet - '!$C86</f>
        <v>WSP.TO</v>
      </c>
      <c r="B9" s="7" t="e" vm="8">
        <f>'Universe Weighting Workshhet - '!$D86</f>
        <v>#VALUE!</v>
      </c>
      <c r="C9" s="21" t="str">
        <f>'Universe Weighting Workshhet - '!$B86</f>
        <v>Construction/Engineering</v>
      </c>
      <c r="D9" s="95">
        <f>'Universe Weighting Workshhet - '!K86</f>
        <v>2.1951020793724183</v>
      </c>
      <c r="E9" s="23">
        <f>D9/SUM(D2:D9)</f>
        <v>3.4397649320665843E-2</v>
      </c>
      <c r="F9" s="23">
        <f>E9*'Category Weightings'!$C$4</f>
        <v>1.8883277671879807E-3</v>
      </c>
      <c r="G9" s="24"/>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G9"/>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5" customWidth="1"/>
    <col min="2" max="2" width="29.5" style="105" customWidth="1"/>
    <col min="3" max="3" width="23.6640625" style="105" customWidth="1"/>
    <col min="4" max="4" width="29.83203125" style="105" customWidth="1"/>
    <col min="5" max="8" width="16.33203125" style="105" customWidth="1"/>
    <col min="9" max="16384" width="16.33203125" style="105"/>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'!$C87</f>
        <v>ACM</v>
      </c>
      <c r="B2" s="4" t="e" vm="1">
        <f>'Universe Weighting Workshhet - '!$D87</f>
        <v>#VALUE!</v>
      </c>
      <c r="C2" s="17" t="str">
        <f>'Universe Weighting Workshhet - '!$B87</f>
        <v>Construction/Engineering</v>
      </c>
      <c r="D2" s="37">
        <f>'Universe Weighting Workshhet - '!K87</f>
        <v>1.1138270561347485</v>
      </c>
      <c r="E2" s="19">
        <f>D2/SUM(D2:D9)</f>
        <v>1.4377655387067307E-2</v>
      </c>
      <c r="F2" s="19">
        <f>E2*'Category Weightings'!$C$8</f>
        <v>3.4229419899640723E-4</v>
      </c>
      <c r="G2" s="20"/>
    </row>
    <row r="3" spans="1:7" ht="20" customHeight="1" x14ac:dyDescent="0.15">
      <c r="A3" s="7" t="str">
        <f>'Universe Weighting Workshhet - '!$C88</f>
        <v>ATCX</v>
      </c>
      <c r="B3" s="7" t="e" vm="37">
        <f>'Universe Weighting Workshhet - '!$D88</f>
        <v>#VALUE!</v>
      </c>
      <c r="C3" s="21" t="str">
        <f>'Universe Weighting Workshhet - '!$B88</f>
        <v>Construction/Engineering</v>
      </c>
      <c r="D3" s="95">
        <f>'Universe Weighting Workshhet - '!K88</f>
        <v>2.7807617187499996</v>
      </c>
      <c r="E3" s="23">
        <f>D3/SUM(D2:D9)</f>
        <v>3.5895010347907798E-2</v>
      </c>
      <c r="F3" s="23">
        <f>E3*'Category Weightings'!$C$8</f>
        <v>8.5456588603846271E-4</v>
      </c>
      <c r="G3" s="24"/>
    </row>
    <row r="4" spans="1:7" ht="20" customHeight="1" x14ac:dyDescent="0.15">
      <c r="A4" s="7" t="str">
        <f>'Universe Weighting Workshhet - '!$C89</f>
        <v>GVA</v>
      </c>
      <c r="B4" s="7" t="e" vm="2">
        <f>'Universe Weighting Workshhet - '!$D89</f>
        <v>#VALUE!</v>
      </c>
      <c r="C4" s="21" t="str">
        <f>'Universe Weighting Workshhet - '!$B89</f>
        <v>Construction/Engineering</v>
      </c>
      <c r="D4" s="95">
        <f>'Universe Weighting Workshhet - '!K89</f>
        <v>3.4016628813988734</v>
      </c>
      <c r="E4" s="23">
        <f>D4/SUM(D2:D9)</f>
        <v>4.390981201467118E-2</v>
      </c>
      <c r="F4" s="23">
        <f>E4*'Category Weightings'!$C$8</f>
        <v>1.0453772556799654E-3</v>
      </c>
      <c r="G4" s="24"/>
    </row>
    <row r="5" spans="1:7" ht="20" customHeight="1" x14ac:dyDescent="0.15">
      <c r="A5" s="7" t="str">
        <f>'Universe Weighting Workshhet - '!$C90</f>
        <v>ORN</v>
      </c>
      <c r="B5" s="7" t="e" vm="61">
        <f>'Universe Weighting Workshhet - '!$D90</f>
        <v>#VALUE!</v>
      </c>
      <c r="C5" s="21" t="str">
        <f>'Universe Weighting Workshhet - '!$B90</f>
        <v>Construction/Engineering</v>
      </c>
      <c r="D5" s="95">
        <f>'Universe Weighting Workshhet - '!K90</f>
        <v>64.528838923822164</v>
      </c>
      <c r="E5" s="23">
        <f>D5/SUM(D2:D9)</f>
        <v>0.83296002145421955</v>
      </c>
      <c r="F5" s="23">
        <f>E5*'Category Weightings'!$C$8</f>
        <v>1.9830589596420929E-2</v>
      </c>
      <c r="G5" s="24"/>
    </row>
    <row r="6" spans="1:7" ht="20" customHeight="1" x14ac:dyDescent="0.15">
      <c r="A6" s="7" t="str">
        <f>'Universe Weighting Workshhet - '!$C91</f>
        <v>STN</v>
      </c>
      <c r="B6" s="7" t="e" vm="5">
        <f>'Universe Weighting Workshhet - '!$D91</f>
        <v>#VALUE!</v>
      </c>
      <c r="C6" s="21" t="str">
        <f>'Universe Weighting Workshhet - '!$B91</f>
        <v>Construction/Engineering</v>
      </c>
      <c r="D6" s="95">
        <f>'Universe Weighting Workshhet - '!K91</f>
        <v>0.8914149766321392</v>
      </c>
      <c r="E6" s="23">
        <f>D6/SUM(D2:D9)</f>
        <v>1.1506685234747113E-2</v>
      </c>
      <c r="F6" s="23">
        <f>E6*'Category Weightings'!$C$8</f>
        <v>2.7394394284024795E-4</v>
      </c>
      <c r="G6" s="24"/>
    </row>
    <row r="7" spans="1:7" ht="20" customHeight="1" x14ac:dyDescent="0.15">
      <c r="A7" s="7" t="str">
        <f>'Universe Weighting Workshhet - '!$C92</f>
        <v>STRL</v>
      </c>
      <c r="B7" s="7" t="e" vm="6">
        <f>'Universe Weighting Workshhet - '!$D92</f>
        <v>#VALUE!</v>
      </c>
      <c r="C7" s="21" t="str">
        <f>'Universe Weighting Workshhet - '!$B92</f>
        <v>Construction/Engineering</v>
      </c>
      <c r="D7" s="95">
        <f>'Universe Weighting Workshhet - '!K92</f>
        <v>3.3725739954799749</v>
      </c>
      <c r="E7" s="23">
        <f>D7/SUM(D2:D9)</f>
        <v>4.3534322862174742E-2</v>
      </c>
      <c r="F7" s="23">
        <f>E7*'Category Weightings'!$C$8</f>
        <v>1.0364378455170803E-3</v>
      </c>
      <c r="G7" s="24"/>
    </row>
    <row r="8" spans="1:7" ht="20" customHeight="1" x14ac:dyDescent="0.15">
      <c r="A8" s="7" t="str">
        <f>'Universe Weighting Workshhet - '!$C93</f>
        <v>TPC</v>
      </c>
      <c r="B8" s="7" t="e" vm="7">
        <f>'Universe Weighting Workshhet - '!$D93</f>
        <v>#VALUE!</v>
      </c>
      <c r="C8" s="21" t="str">
        <f>'Universe Weighting Workshhet - '!$B93</f>
        <v>Construction/Engineering</v>
      </c>
      <c r="D8" s="95">
        <f>'Universe Weighting Workshhet - '!K93</f>
        <v>0.42827387880719281</v>
      </c>
      <c r="E8" s="23">
        <f>D8/SUM(D2:D9)</f>
        <v>5.528303704652974E-3</v>
      </c>
      <c r="F8" s="23">
        <f>E8*'Category Weightings'!$C$8</f>
        <v>1.3161438617420118E-4</v>
      </c>
      <c r="G8" s="24"/>
    </row>
    <row r="9" spans="1:7" ht="20" customHeight="1" x14ac:dyDescent="0.15">
      <c r="A9" s="7" t="str">
        <f>'Universe Weighting Workshhet - '!$C94</f>
        <v>WSP.TO</v>
      </c>
      <c r="B9" s="7" t="e" vm="8">
        <f>'Universe Weighting Workshhet - '!$D94</f>
        <v>#VALUE!</v>
      </c>
      <c r="C9" s="21" t="str">
        <f>'Universe Weighting Workshhet - '!$B94</f>
        <v>Construction/Engineering</v>
      </c>
      <c r="D9" s="95">
        <f>'Universe Weighting Workshhet - '!K94</f>
        <v>0.95195753442171194</v>
      </c>
      <c r="E9" s="23">
        <f>D9/SUM(D2:D9)</f>
        <v>1.2288188994559513E-2</v>
      </c>
      <c r="F9" s="23">
        <f>E9*'Category Weightings'!$C$8</f>
        <v>2.9254949404286518E-4</v>
      </c>
      <c r="G9" s="24"/>
    </row>
  </sheetData>
  <pageMargins left="1" right="1" top="1" bottom="1" header="0.25" footer="0.25"/>
  <pageSetup orientation="portrait"/>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G9"/>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6" customWidth="1"/>
    <col min="2" max="2" width="28.33203125" style="106" customWidth="1"/>
    <col min="3" max="3" width="23.83203125" style="106" customWidth="1"/>
    <col min="4" max="4" width="29.83203125" style="106" customWidth="1"/>
    <col min="5" max="8" width="16.33203125" style="106" customWidth="1"/>
    <col min="9" max="16384" width="16.33203125" style="106"/>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'!$C96</f>
        <v>ALO.PA</v>
      </c>
      <c r="B2" s="4" t="e" vm="60">
        <f>'Universe Weighting Workshhet - '!$D96</f>
        <v>#VALUE!</v>
      </c>
      <c r="C2" s="17" t="str">
        <f>'Universe Weighting Workshhet - '!$B96</f>
        <v>Equipment</v>
      </c>
      <c r="D2" s="37">
        <f>'Universe Weighting Workshhet - '!K96</f>
        <v>8.6832896550679433</v>
      </c>
      <c r="E2" s="19">
        <f>D2/SUM(D2:D9)</f>
        <v>0.16160132479483169</v>
      </c>
      <c r="F2" s="19">
        <f>E2*'Category Weightings'!$C$3</f>
        <v>1.4936587935048143E-2</v>
      </c>
      <c r="G2" s="20"/>
    </row>
    <row r="3" spans="1:7" ht="20" customHeight="1" x14ac:dyDescent="0.15">
      <c r="A3" s="7" t="str">
        <f>'Universe Weighting Workshhet - '!$C97</f>
        <v>ATCX</v>
      </c>
      <c r="B3" s="7" t="e" vm="37">
        <f>'Universe Weighting Workshhet - '!$D97</f>
        <v>#VALUE!</v>
      </c>
      <c r="C3" s="21" t="str">
        <f>'Universe Weighting Workshhet - '!$B97</f>
        <v>Construction/Engineering</v>
      </c>
      <c r="D3" s="95">
        <f>'Universe Weighting Workshhet - '!K97</f>
        <v>10.7958984375</v>
      </c>
      <c r="E3" s="23">
        <f>D3/SUM(D2:D9)</f>
        <v>0.2009182647537516</v>
      </c>
      <c r="F3" s="23">
        <f>E3*'Category Weightings'!$C$3</f>
        <v>1.8570598558284055E-2</v>
      </c>
      <c r="G3" s="24"/>
    </row>
    <row r="4" spans="1:7" ht="20" customHeight="1" x14ac:dyDescent="0.15">
      <c r="A4" s="7" t="str">
        <f>'Universe Weighting Workshhet - '!$C98</f>
        <v>GVA</v>
      </c>
      <c r="B4" s="7" t="e" vm="2">
        <f>'Universe Weighting Workshhet - '!$D98</f>
        <v>#VALUE!</v>
      </c>
      <c r="C4" s="21" t="str">
        <f>'Universe Weighting Workshhet - '!$B98</f>
        <v>Construction/Engineering</v>
      </c>
      <c r="D4" s="95">
        <f>'Universe Weighting Workshhet - '!K98</f>
        <v>13.206455892489743</v>
      </c>
      <c r="E4" s="23">
        <f>D4/SUM(D2:D9)</f>
        <v>0.24578021151525833</v>
      </c>
      <c r="F4" s="23">
        <f>E4*'Category Weightings'!$C$3</f>
        <v>2.2717126525127331E-2</v>
      </c>
      <c r="G4" s="24"/>
    </row>
    <row r="5" spans="1:7" ht="20" customHeight="1" x14ac:dyDescent="0.15">
      <c r="A5" s="7" t="str">
        <f>'Universe Weighting Workshhet - '!$C99</f>
        <v>LNN</v>
      </c>
      <c r="B5" s="7" t="e" vm="62">
        <f>'Universe Weighting Workshhet - '!$D99</f>
        <v>#VALUE!</v>
      </c>
      <c r="C5" s="21" t="str">
        <f>'Universe Weighting Workshhet - '!$B99</f>
        <v>Equipment</v>
      </c>
      <c r="D5" s="95">
        <f>'Universe Weighting Workshhet - '!K99</f>
        <v>5.3040345990359414</v>
      </c>
      <c r="E5" s="23">
        <f>D5/SUM(D2:D9)</f>
        <v>9.8711323934883216E-2</v>
      </c>
      <c r="F5" s="23">
        <f>E5*'Category Weightings'!$C$3</f>
        <v>9.1237517514804432E-3</v>
      </c>
      <c r="G5" s="24"/>
    </row>
    <row r="6" spans="1:7" ht="20" customHeight="1" x14ac:dyDescent="0.15">
      <c r="A6" s="7" t="str">
        <f>'Universe Weighting Workshhet - '!$C100</f>
        <v>NVEE</v>
      </c>
      <c r="B6" s="7" t="e" vm="3">
        <f>'Universe Weighting Workshhet - '!$D100</f>
        <v>#VALUE!</v>
      </c>
      <c r="C6" s="21" t="str">
        <f>'Universe Weighting Workshhet - '!$B100</f>
        <v>Construction/Engineering</v>
      </c>
      <c r="D6" s="95">
        <f>'Universe Weighting Workshhet - '!K100</f>
        <v>7.7452629290035633</v>
      </c>
      <c r="E6" s="23">
        <f>D6/SUM(D2:D9)</f>
        <v>0.14414407441547919</v>
      </c>
      <c r="F6" s="23">
        <f>E6*'Category Weightings'!$C$3</f>
        <v>1.3323038320115218E-2</v>
      </c>
      <c r="G6" s="24"/>
    </row>
    <row r="7" spans="1:7" ht="20" customHeight="1" x14ac:dyDescent="0.15">
      <c r="A7" s="7" t="str">
        <f>'Universe Weighting Workshhet - '!$C101</f>
        <v>SIE.DE</v>
      </c>
      <c r="B7" s="7" t="e" vm="55">
        <f>'Universe Weighting Workshhet - '!$D101</f>
        <v>#VALUE!</v>
      </c>
      <c r="C7" s="21" t="str">
        <f>'Universe Weighting Workshhet - '!$B101</f>
        <v>Equipment</v>
      </c>
      <c r="D7" s="95">
        <f>'Universe Weighting Workshhet - '!K101</f>
        <v>2.6393005630506989</v>
      </c>
      <c r="E7" s="23">
        <f>D7/SUM(D2:D9)</f>
        <v>4.9118995733581902E-2</v>
      </c>
      <c r="F7" s="23">
        <f>E7*'Category Weightings'!$C$3</f>
        <v>4.5400011416203735E-3</v>
      </c>
      <c r="G7" s="24"/>
    </row>
    <row r="8" spans="1:7" ht="20" customHeight="1" x14ac:dyDescent="0.15">
      <c r="A8" s="7" t="str">
        <f>'Universe Weighting Workshhet - '!$C102</f>
        <v>TPC</v>
      </c>
      <c r="B8" s="7" t="e" vm="7">
        <f>'Universe Weighting Workshhet - '!$D102</f>
        <v>#VALUE!</v>
      </c>
      <c r="C8" s="21" t="str">
        <f>'Universe Weighting Workshhet - '!$B102</f>
        <v>Construction/Engineering</v>
      </c>
      <c r="D8" s="95">
        <f>'Universe Weighting Workshhet - '!K102</f>
        <v>1.6627103530161607</v>
      </c>
      <c r="E8" s="23">
        <f>D8/SUM(D2:D9)</f>
        <v>3.0944055360478631E-2</v>
      </c>
      <c r="F8" s="23">
        <f>E8*'Category Weightings'!$C$3</f>
        <v>2.8601164287829456E-3</v>
      </c>
      <c r="G8" s="24"/>
    </row>
    <row r="9" spans="1:7" ht="20" customHeight="1" x14ac:dyDescent="0.15">
      <c r="A9" s="7" t="str">
        <f>'Universe Weighting Workshhet - '!$C103</f>
        <v>WSP.TO</v>
      </c>
      <c r="B9" s="7" t="e" vm="8">
        <f>'Universe Weighting Workshhet - '!$D103</f>
        <v>#VALUE!</v>
      </c>
      <c r="C9" s="21" t="str">
        <f>'Universe Weighting Workshhet - '!$B103</f>
        <v>Construction/Engineering</v>
      </c>
      <c r="D9" s="95">
        <f>'Universe Weighting Workshhet - '!K103</f>
        <v>3.6958351336372348</v>
      </c>
      <c r="E9" s="23">
        <f>D9/SUM(D2:D9)</f>
        <v>6.8781749491735419E-2</v>
      </c>
      <c r="F9" s="23">
        <f>E9*'Category Weightings'!$C$3</f>
        <v>6.3574023970044578E-3</v>
      </c>
      <c r="G9" s="24"/>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G12"/>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7" customWidth="1"/>
    <col min="2" max="2" width="29" style="107" customWidth="1"/>
    <col min="3" max="3" width="25" style="107" customWidth="1"/>
    <col min="4" max="4" width="29.83203125" style="107" customWidth="1"/>
    <col min="5" max="8" width="16.33203125" style="107" customWidth="1"/>
    <col min="9" max="16384" width="16.33203125" style="107"/>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'!$C104</f>
        <v>ACM</v>
      </c>
      <c r="B2" s="4" t="e" vm="1">
        <f>'Universe Weighting Workshhet - '!$D104</f>
        <v>#VALUE!</v>
      </c>
      <c r="C2" s="17" t="str">
        <f>'Universe Weighting Workshhet - '!$B104</f>
        <v>Construction/Engineering</v>
      </c>
      <c r="D2" s="37">
        <f>'Universe Weighting Workshhet - '!K104</f>
        <v>7.9933471087317258</v>
      </c>
      <c r="E2" s="19">
        <f>D2/SUM(D2:D12)</f>
        <v>5.3252006965023441E-2</v>
      </c>
      <c r="F2" s="19">
        <f>E2*'Category Weightings'!$C$2</f>
        <v>9.098260315401098E-3</v>
      </c>
      <c r="G2" s="20"/>
    </row>
    <row r="3" spans="1:7" ht="20" customHeight="1" x14ac:dyDescent="0.15">
      <c r="A3" s="7" t="str">
        <f>'Universe Weighting Workshhet - '!$C105</f>
        <v>ATCX</v>
      </c>
      <c r="B3" s="7" t="e" vm="37">
        <f>'Universe Weighting Workshhet - '!$D105</f>
        <v>#VALUE!</v>
      </c>
      <c r="C3" s="21" t="str">
        <f>'Universe Weighting Workshhet - '!$B105</f>
        <v>Construction/Engineering</v>
      </c>
      <c r="D3" s="95">
        <f>'Universe Weighting Workshhet - '!K105</f>
        <v>19.956054687500004</v>
      </c>
      <c r="E3" s="23">
        <f>D3/SUM(D2:D12)</f>
        <v>0.13294805652218866</v>
      </c>
      <c r="F3" s="23">
        <f>E3*'Category Weightings'!$C$2</f>
        <v>2.2714562241006396E-2</v>
      </c>
      <c r="G3" s="24"/>
    </row>
    <row r="4" spans="1:7" ht="20" customHeight="1" x14ac:dyDescent="0.15">
      <c r="A4" s="7" t="str">
        <f>'Universe Weighting Workshhet - '!$C106</f>
        <v>GVA</v>
      </c>
      <c r="B4" s="7" t="e" vm="2">
        <f>'Universe Weighting Workshhet - '!$D106</f>
        <v>#VALUE!</v>
      </c>
      <c r="C4" s="21" t="str">
        <f>'Universe Weighting Workshhet - '!$B106</f>
        <v>Construction/Engineering</v>
      </c>
      <c r="D4" s="95">
        <f>'Universe Weighting Workshhet - '!K106</f>
        <v>24.411933619450743</v>
      </c>
      <c r="E4" s="23">
        <f>D4/SUM(D2:D12)</f>
        <v>0.16263330510351684</v>
      </c>
      <c r="F4" s="23">
        <f>E4*'Category Weightings'!$C$2</f>
        <v>2.7786373324064906E-2</v>
      </c>
      <c r="G4" s="24"/>
    </row>
    <row r="5" spans="1:7" ht="20" customHeight="1" x14ac:dyDescent="0.15">
      <c r="A5" s="7" t="str">
        <f>'Universe Weighting Workshhet - '!$C107</f>
        <v>LNN</v>
      </c>
      <c r="B5" s="7" t="e" vm="62">
        <f>'Universe Weighting Workshhet - '!$D107</f>
        <v>#VALUE!</v>
      </c>
      <c r="C5" s="21" t="str">
        <f>'Universe Weighting Workshhet - '!$B107</f>
        <v>Equipment</v>
      </c>
      <c r="D5" s="95">
        <f>'Universe Weighting Workshhet - '!K107</f>
        <v>9.8044275921573476</v>
      </c>
      <c r="E5" s="23">
        <f>D5/SUM(D2:D12)</f>
        <v>6.5317499581032404E-2</v>
      </c>
      <c r="F5" s="23">
        <f>E5*'Category Weightings'!$C$2</f>
        <v>1.1159684830839565E-2</v>
      </c>
      <c r="G5" s="24"/>
    </row>
    <row r="6" spans="1:7" ht="20" customHeight="1" x14ac:dyDescent="0.15">
      <c r="A6" s="7" t="str">
        <f>'Universe Weighting Workshhet - '!$C108</f>
        <v>MYRG</v>
      </c>
      <c r="B6" s="7" t="e" vm="59">
        <f>'Universe Weighting Workshhet - '!$D108</f>
        <v>#VALUE!</v>
      </c>
      <c r="C6" s="21" t="str">
        <f>'Universe Weighting Workshhet - '!$B108</f>
        <v>Construction/Engineering</v>
      </c>
      <c r="D6" s="95">
        <f>'Universe Weighting Workshhet - '!K108</f>
        <v>11.271108667290799</v>
      </c>
      <c r="E6" s="23">
        <f>D6/SUM(D2:D12)</f>
        <v>7.5088589184179516E-2</v>
      </c>
      <c r="F6" s="23">
        <f>E6*'Category Weightings'!$C$2</f>
        <v>1.2829103916451345E-2</v>
      </c>
      <c r="G6" s="24"/>
    </row>
    <row r="7" spans="1:7" ht="20" customHeight="1" x14ac:dyDescent="0.15">
      <c r="A7" s="7" t="str">
        <f>'Universe Weighting Workshhet - '!$C109</f>
        <v>NVEE</v>
      </c>
      <c r="B7" s="7" t="e" vm="3">
        <f>'Universe Weighting Workshhet - '!$D109</f>
        <v>#VALUE!</v>
      </c>
      <c r="C7" s="21" t="str">
        <f>'Universe Weighting Workshhet - '!$B109</f>
        <v>Construction/Engineering</v>
      </c>
      <c r="D7" s="95">
        <f>'Universe Weighting Workshhet - '!K109</f>
        <v>14.317001171794466</v>
      </c>
      <c r="E7" s="23">
        <f>D7/SUM(D2:D12)</f>
        <v>9.5380450235397859E-2</v>
      </c>
      <c r="F7" s="23">
        <f>E7*'Category Weightings'!$C$2</f>
        <v>1.6296027411920617E-2</v>
      </c>
      <c r="G7" s="24"/>
    </row>
    <row r="8" spans="1:7" ht="20" customHeight="1" x14ac:dyDescent="0.15">
      <c r="A8" s="7" t="str">
        <f>'Universe Weighting Workshhet - '!$C110</f>
        <v>PRIM</v>
      </c>
      <c r="B8" s="7" t="e" vm="4">
        <f>'Universe Weighting Workshhet - '!$D110</f>
        <v>#VALUE!</v>
      </c>
      <c r="C8" s="21" t="str">
        <f>'Universe Weighting Workshhet - '!$B110</f>
        <v>Construction/Engineering</v>
      </c>
      <c r="D8" s="95">
        <f>'Universe Weighting Workshhet - '!K110</f>
        <v>7.0446386990224932</v>
      </c>
      <c r="E8" s="23">
        <f>D8/SUM(D2:D12)</f>
        <v>4.6931672547614628E-2</v>
      </c>
      <c r="F8" s="23">
        <f>E8*'Category Weightings'!$C$2</f>
        <v>8.0184127925134879E-3</v>
      </c>
      <c r="G8" s="24"/>
    </row>
    <row r="9" spans="1:7" ht="20" customHeight="1" x14ac:dyDescent="0.15">
      <c r="A9" s="7" t="str">
        <f>'Universe Weighting Workshhet - '!$C111</f>
        <v>STN</v>
      </c>
      <c r="B9" s="7" t="e" vm="5">
        <f>'Universe Weighting Workshhet - '!$D111</f>
        <v>#VALUE!</v>
      </c>
      <c r="C9" s="21" t="str">
        <f>'Universe Weighting Workshhet - '!$B111</f>
        <v>Construction/Engineering</v>
      </c>
      <c r="D9" s="95">
        <f>'Universe Weighting Workshhet - '!K111</f>
        <v>6.3972133617130007</v>
      </c>
      <c r="E9" s="23">
        <f>D9/SUM(D2:D12)</f>
        <v>4.2618498341270419E-2</v>
      </c>
      <c r="F9" s="23">
        <f>E9*'Category Weightings'!$C$2</f>
        <v>7.2814944310934564E-3</v>
      </c>
      <c r="G9" s="24"/>
    </row>
    <row r="10" spans="1:7" ht="20" customHeight="1" x14ac:dyDescent="0.15">
      <c r="A10" s="7" t="str">
        <f>'Universe Weighting Workshhet - '!$C112</f>
        <v>STRL</v>
      </c>
      <c r="B10" s="7" t="e" vm="6">
        <f>'Universe Weighting Workshhet - '!$D112</f>
        <v>#VALUE!</v>
      </c>
      <c r="C10" s="21" t="str">
        <f>'Universe Weighting Workshhet - '!$B112</f>
        <v>Construction/Engineering</v>
      </c>
      <c r="D10" s="95">
        <f>'Universe Weighting Workshhet - '!K112</f>
        <v>24.203178085209235</v>
      </c>
      <c r="E10" s="23">
        <f>D10/SUM(D2:D12)</f>
        <v>0.16124256715454519</v>
      </c>
      <c r="F10" s="23">
        <f>E10*'Category Weightings'!$C$2</f>
        <v>2.7548761699425824E-2</v>
      </c>
      <c r="G10" s="24"/>
    </row>
    <row r="11" spans="1:7" ht="20" customHeight="1" x14ac:dyDescent="0.15">
      <c r="A11" s="7" t="str">
        <f>'Universe Weighting Workshhet - '!$C113</f>
        <v>TPC</v>
      </c>
      <c r="B11" s="7" t="e" vm="7">
        <f>'Universe Weighting Workshhet - '!$D113</f>
        <v>#VALUE!</v>
      </c>
      <c r="C11" s="21" t="str">
        <f>'Universe Weighting Workshhet - '!$B113</f>
        <v>Construction/Engineering</v>
      </c>
      <c r="D11" s="95">
        <f>'Universe Weighting Workshhet - '!K113</f>
        <v>17.873549271048347</v>
      </c>
      <c r="E11" s="23">
        <f>D11/SUM(D2:D12)</f>
        <v>0.11907431984679258</v>
      </c>
      <c r="F11" s="23">
        <f>E11*'Category Weightings'!$C$2</f>
        <v>2.0344193967318829E-2</v>
      </c>
      <c r="G11" s="24"/>
    </row>
    <row r="12" spans="1:7" ht="20" customHeight="1" x14ac:dyDescent="0.15">
      <c r="A12" s="7" t="str">
        <f>'Universe Weighting Workshhet - '!$C114</f>
        <v>WSP.TO</v>
      </c>
      <c r="B12" s="7" t="e" vm="8">
        <f>'Universe Weighting Workshhet - '!$D114</f>
        <v>#VALUE!</v>
      </c>
      <c r="C12" s="21" t="str">
        <f>'Universe Weighting Workshhet - '!$B114</f>
        <v>Construction/Engineering</v>
      </c>
      <c r="D12" s="95">
        <f>'Universe Weighting Workshhet - '!K114</f>
        <v>6.8316952470264045</v>
      </c>
      <c r="E12" s="23">
        <f>D12/SUM(D2:D12)</f>
        <v>4.5513034518438501E-2</v>
      </c>
      <c r="F12" s="23">
        <f>E12*'Category Weightings'!$C$2</f>
        <v>7.7760343580020978E-3</v>
      </c>
      <c r="G12" s="24"/>
    </row>
  </sheetData>
  <pageMargins left="1" right="1" top="1" bottom="1" header="0.25" footer="0.25"/>
  <pageSetup orientation="portrait"/>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G24"/>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108" customWidth="1"/>
    <col min="2" max="2" width="34.1640625" style="108" customWidth="1"/>
    <col min="3" max="3" width="23.6640625" style="108" customWidth="1"/>
    <col min="4" max="4" width="29.83203125" style="108" customWidth="1"/>
    <col min="5" max="8" width="16.33203125" style="108" customWidth="1"/>
    <col min="9" max="16384" width="16.33203125" style="108"/>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'!$C115</f>
        <v>ACM</v>
      </c>
      <c r="B2" s="4" t="e" vm="1">
        <f>'Universe Weighting Workshhet - '!$D115</f>
        <v>#VALUE!</v>
      </c>
      <c r="C2" s="17" t="str">
        <f>'Universe Weighting Workshhet - '!$B115</f>
        <v>Construction/Engineering</v>
      </c>
      <c r="D2" s="37">
        <f>'Universe Weighting Workshhet - '!K115</f>
        <v>4.1277120315581852</v>
      </c>
      <c r="E2" s="19">
        <f>D2/SUM(D2:D24)</f>
        <v>5.8657273779579369E-3</v>
      </c>
      <c r="F2" s="19">
        <f>E2*'Category Weightings'!$C$11</f>
        <v>5.1751741819442776E-4</v>
      </c>
      <c r="G2" s="20"/>
    </row>
    <row r="3" spans="1:7" ht="20" customHeight="1" x14ac:dyDescent="0.15">
      <c r="A3" s="7" t="str">
        <f>'Universe Weighting Workshhet - '!$C116</f>
        <v>AQUA</v>
      </c>
      <c r="B3" s="7" t="e" vm="63">
        <f>'Universe Weighting Workshhet - '!$D116</f>
        <v>#VALUE!</v>
      </c>
      <c r="C3" s="21" t="str">
        <f>'Universe Weighting Workshhet - '!$B116</f>
        <v>Equipment</v>
      </c>
      <c r="D3" s="95">
        <f>'Universe Weighting Workshhet - '!K116</f>
        <v>81.473931341713211</v>
      </c>
      <c r="E3" s="23">
        <f>D3/SUM(D2:D24)</f>
        <v>0.11577936299992969</v>
      </c>
      <c r="F3" s="23">
        <f>E3*'Category Weightings'!$C$11</f>
        <v>1.02149031414376E-2</v>
      </c>
      <c r="G3" s="24"/>
    </row>
    <row r="4" spans="1:7" ht="20" customHeight="1" x14ac:dyDescent="0.15">
      <c r="A4" s="7" t="str">
        <f>'Universe Weighting Workshhet - '!$C117</f>
        <v>ATCX</v>
      </c>
      <c r="B4" s="7" t="e" vm="37">
        <f>'Universe Weighting Workshhet - '!$D117</f>
        <v>#VALUE!</v>
      </c>
      <c r="C4" s="21" t="str">
        <f>'Universe Weighting Workshhet - '!$B117</f>
        <v>Construction/Engineering</v>
      </c>
      <c r="D4" s="95">
        <f>'Universe Weighting Workshhet - '!K117</f>
        <v>10.305175781250002</v>
      </c>
      <c r="E4" s="23">
        <f>D4/SUM(D2:D24)</f>
        <v>1.4644275388544658E-2</v>
      </c>
      <c r="F4" s="23">
        <f>E4*'Category Weightings'!$C$11</f>
        <v>1.292025200299409E-3</v>
      </c>
      <c r="G4" s="24"/>
    </row>
    <row r="5" spans="1:7" ht="20" customHeight="1" x14ac:dyDescent="0.15">
      <c r="A5" s="7" t="str">
        <f>'Universe Weighting Workshhet - '!$C118</f>
        <v>BMI</v>
      </c>
      <c r="B5" s="7" t="e" vm="64">
        <f>'Universe Weighting Workshhet - '!$D118</f>
        <v>#VALUE!</v>
      </c>
      <c r="C5" s="21" t="str">
        <f>'Universe Weighting Workshhet - '!$B118</f>
        <v>Equipment</v>
      </c>
      <c r="D5" s="95">
        <f>'Universe Weighting Workshhet - '!K118</f>
        <v>88.45759780422236</v>
      </c>
      <c r="E5" s="23">
        <f>D5/SUM(D2:D24)</f>
        <v>0.12570357361696802</v>
      </c>
      <c r="F5" s="23">
        <f>E5*'Category Weightings'!$C$11</f>
        <v>1.1090489667236112E-2</v>
      </c>
      <c r="G5" s="24"/>
    </row>
    <row r="6" spans="1:7" ht="20" customHeight="1" x14ac:dyDescent="0.15">
      <c r="A6" s="7" t="str">
        <f>'Universe Weighting Workshhet - '!$C121</f>
        <v>FELE</v>
      </c>
      <c r="B6" s="7" t="e" vm="67">
        <f>'Universe Weighting Workshhet - '!$D121</f>
        <v>#VALUE!</v>
      </c>
      <c r="C6" s="21" t="str">
        <f>'Universe Weighting Workshhet - '!$B121</f>
        <v>Equipment</v>
      </c>
      <c r="D6" s="95">
        <f>'Universe Weighting Workshhet - '!K121</f>
        <v>41.334585545120454</v>
      </c>
      <c r="E6" s="23">
        <f>D6/SUM(D2:D24)</f>
        <v>5.873893533145317E-2</v>
      </c>
      <c r="F6" s="23">
        <f>E6*'Category Weightings'!$C$11</f>
        <v>5.1823789619772336E-3</v>
      </c>
      <c r="G6" s="24"/>
    </row>
    <row r="7" spans="1:7" ht="20" customHeight="1" x14ac:dyDescent="0.15">
      <c r="A7" s="7" t="str">
        <f>'Universe Weighting Workshhet - '!$C122</f>
        <v>FLS</v>
      </c>
      <c r="B7" s="7" t="e" vm="38">
        <f>'Universe Weighting Workshhet - '!$D122</f>
        <v>#VALUE!</v>
      </c>
      <c r="C7" s="21" t="str">
        <f>'Universe Weighting Workshhet - '!$B122</f>
        <v>Equipment</v>
      </c>
      <c r="D7" s="95">
        <f>'Universe Weighting Workshhet - '!K122</f>
        <v>16.692952812236538</v>
      </c>
      <c r="E7" s="23">
        <f>D7/SUM(D2:D24)</f>
        <v>2.3721691237441535E-2</v>
      </c>
      <c r="F7" s="23">
        <f>E7*'Category Weightings'!$C$11</f>
        <v>2.0929012914132328E-3</v>
      </c>
      <c r="G7" s="24"/>
    </row>
    <row r="8" spans="1:7" ht="20" customHeight="1" x14ac:dyDescent="0.15">
      <c r="A8" s="7" t="str">
        <f>'Universe Weighting Workshhet - '!$C123</f>
        <v>GRC</v>
      </c>
      <c r="B8" s="7" t="e" vm="39">
        <f>'Universe Weighting Workshhet - '!$D123</f>
        <v>#VALUE!</v>
      </c>
      <c r="C8" s="21" t="str">
        <f>'Universe Weighting Workshhet - '!$B123</f>
        <v>Equipment</v>
      </c>
      <c r="D8" s="95">
        <f>'Universe Weighting Workshhet - '!K123</f>
        <v>36.727994381323093</v>
      </c>
      <c r="E8" s="23">
        <f>D8/SUM(D2:D24)</f>
        <v>5.2192691867287616E-2</v>
      </c>
      <c r="F8" s="23">
        <f>E8*'Category Weightings'!$C$11</f>
        <v>4.6048214319123924E-3</v>
      </c>
      <c r="G8" s="24"/>
    </row>
    <row r="9" spans="1:7" ht="20" customHeight="1" x14ac:dyDescent="0.15">
      <c r="A9" s="7" t="str">
        <f>'Universe Weighting Workshhet - '!$C124</f>
        <v>GVA</v>
      </c>
      <c r="B9" s="7" t="e" vm="2">
        <f>'Universe Weighting Workshhet - '!$D124</f>
        <v>#VALUE!</v>
      </c>
      <c r="C9" s="21" t="str">
        <f>'Universe Weighting Workshhet - '!$B124</f>
        <v>Construction/Engineering</v>
      </c>
      <c r="D9" s="95">
        <f>'Universe Weighting Workshhet - '!K124</f>
        <v>5.8833208185694206</v>
      </c>
      <c r="E9" s="23">
        <f>D9/SUM(D2:D24)</f>
        <v>8.3605531914408421E-3</v>
      </c>
      <c r="F9" s="23">
        <f>E9*'Category Weightings'!$C$11</f>
        <v>7.3762921859793842E-4</v>
      </c>
      <c r="G9" s="24"/>
    </row>
    <row r="10" spans="1:7" ht="20" customHeight="1" x14ac:dyDescent="0.15">
      <c r="A10" s="7" t="str">
        <f>'Universe Weighting Workshhet - '!$C125</f>
        <v>IEX</v>
      </c>
      <c r="B10" s="7" t="e" vm="40">
        <f>'Universe Weighting Workshhet - '!$D125</f>
        <v>#VALUE!</v>
      </c>
      <c r="C10" s="21" t="str">
        <f>'Universe Weighting Workshhet - '!$B125</f>
        <v>Equipment</v>
      </c>
      <c r="D10" s="95">
        <f>'Universe Weighting Workshhet - '!K125</f>
        <v>7.0362594683249524</v>
      </c>
      <c r="E10" s="23">
        <f>D10/SUM(D2:D24)</f>
        <v>9.9989484455845663E-3</v>
      </c>
      <c r="F10" s="23">
        <f>E10*'Category Weightings'!$C$11</f>
        <v>8.8218044426394376E-4</v>
      </c>
      <c r="G10" s="24"/>
    </row>
    <row r="11" spans="1:7" ht="20" customHeight="1" x14ac:dyDescent="0.15">
      <c r="A11" s="7" t="str">
        <f>'Universe Weighting Workshhet - '!$C126</f>
        <v>MLI</v>
      </c>
      <c r="B11" s="7" t="e" vm="68">
        <f>'Universe Weighting Workshhet - '!$D126</f>
        <v>#VALUE!</v>
      </c>
      <c r="C11" s="21" t="str">
        <f>'Universe Weighting Workshhet - '!$B126</f>
        <v>Materials</v>
      </c>
      <c r="D11" s="95">
        <f>'Universe Weighting Workshhet - '!K126</f>
        <v>48.062287280804981</v>
      </c>
      <c r="E11" s="23">
        <f>D11/SUM(D2:D24)</f>
        <v>6.8299404656839438E-2</v>
      </c>
      <c r="F11" s="23">
        <f>E11*'Category Weightings'!$C$11</f>
        <v>6.0258735677090457E-3</v>
      </c>
      <c r="G11" s="24"/>
    </row>
    <row r="12" spans="1:7" ht="20" customHeight="1" x14ac:dyDescent="0.15">
      <c r="A12" s="7" t="str">
        <f>'Universe Weighting Workshhet - '!$C127</f>
        <v>MWA</v>
      </c>
      <c r="B12" s="7" t="e" vm="69">
        <f>'Universe Weighting Workshhet - '!$D127</f>
        <v>#VALUE!</v>
      </c>
      <c r="C12" s="21" t="str">
        <f>'Universe Weighting Workshhet - '!$B127</f>
        <v>Equipment</v>
      </c>
      <c r="D12" s="95">
        <f>'Universe Weighting Workshhet - '!K127</f>
        <v>89.513535940255167</v>
      </c>
      <c r="E12" s="23">
        <f>D12/SUM(D2:D24)</f>
        <v>0.12720412529949887</v>
      </c>
      <c r="F12" s="23">
        <f>E12*'Category Weightings'!$C$11</f>
        <v>1.1222879323722504E-2</v>
      </c>
      <c r="G12" s="24"/>
    </row>
    <row r="13" spans="1:7" ht="20" customHeight="1" x14ac:dyDescent="0.15">
      <c r="A13" s="7" t="str">
        <f>'Universe Weighting Workshhet - '!$C128</f>
        <v>NVEE</v>
      </c>
      <c r="B13" s="7" t="e" vm="3">
        <f>'Universe Weighting Workshhet - '!$D128</f>
        <v>#VALUE!</v>
      </c>
      <c r="C13" s="21" t="str">
        <f>'Universe Weighting Workshhet - '!$B128</f>
        <v>Construction/Engineering</v>
      </c>
      <c r="D13" s="95">
        <f>'Universe Weighting Workshhet - '!K128</f>
        <v>7.3932055231397644</v>
      </c>
      <c r="E13" s="23">
        <f>D13/SUM(D2:D24)</f>
        <v>1.0506190285658119E-2</v>
      </c>
      <c r="F13" s="23">
        <f>E13*'Category Weightings'!$C$11</f>
        <v>9.2693303342475191E-4</v>
      </c>
      <c r="G13" s="24"/>
    </row>
    <row r="14" spans="1:7" ht="20" customHeight="1" x14ac:dyDescent="0.15">
      <c r="A14" s="7" t="str">
        <f>'Universe Weighting Workshhet - '!$C129</f>
        <v>NWPX</v>
      </c>
      <c r="B14" s="7" t="e" vm="70">
        <f>'Universe Weighting Workshhet - '!$D129</f>
        <v>#VALUE!</v>
      </c>
      <c r="C14" s="21" t="str">
        <f>'Universe Weighting Workshhet - '!$B129</f>
        <v>Materials</v>
      </c>
      <c r="D14" s="95">
        <f>'Universe Weighting Workshhet - '!K129</f>
        <v>89.174451832239157</v>
      </c>
      <c r="E14" s="23">
        <f>D14/SUM(D2:D24)</f>
        <v>0.1267222663615174</v>
      </c>
      <c r="F14" s="23">
        <f>E14*'Category Weightings'!$C$11</f>
        <v>1.1180366200038105E-2</v>
      </c>
      <c r="G14" s="24"/>
    </row>
    <row r="15" spans="1:7" ht="20" customHeight="1" x14ac:dyDescent="0.15">
      <c r="A15" s="7" t="str">
        <f>'Universe Weighting Workshhet - '!$C131</f>
        <v>RXN</v>
      </c>
      <c r="B15" s="7" t="e" vm="72">
        <f>'Universe Weighting Workshhet - '!$D131</f>
        <v>#VALUE!</v>
      </c>
      <c r="C15" s="21" t="str">
        <f>'Universe Weighting Workshhet - '!$B131</f>
        <v>Equipment</v>
      </c>
      <c r="D15" s="95">
        <f>'Universe Weighting Workshhet - '!K131</f>
        <v>31.109157278924719</v>
      </c>
      <c r="E15" s="23">
        <f>D15/SUM(D2:D24)</f>
        <v>4.4207985964394889E-2</v>
      </c>
      <c r="F15" s="23">
        <f>E15*'Category Weightings'!$C$11</f>
        <v>3.9003522130675473E-3</v>
      </c>
      <c r="G15" s="24"/>
    </row>
    <row r="16" spans="1:7" ht="20" customHeight="1" x14ac:dyDescent="0.15">
      <c r="A16" s="7" t="str">
        <f>'Universe Weighting Workshhet - '!$C132</f>
        <v>STN</v>
      </c>
      <c r="B16" s="7" t="e" vm="5">
        <f>'Universe Weighting Workshhet - '!$D132</f>
        <v>#VALUE!</v>
      </c>
      <c r="C16" s="21" t="str">
        <f>'Universe Weighting Workshhet - '!$B132</f>
        <v>Construction/Engineering</v>
      </c>
      <c r="D16" s="95">
        <f>'Universe Weighting Workshhet - '!K132</f>
        <v>10.802700617139001</v>
      </c>
      <c r="E16" s="23">
        <f>D16/SUM(D2:D24)</f>
        <v>1.5351288142529455E-2</v>
      </c>
      <c r="F16" s="23">
        <f>E16*'Category Weightings'!$C$11</f>
        <v>1.3544030422099759E-3</v>
      </c>
      <c r="G16" s="24"/>
    </row>
    <row r="17" spans="1:7" ht="20" customHeight="1" x14ac:dyDescent="0.15">
      <c r="A17" s="7" t="str">
        <f>'Universe Weighting Workshhet - '!$C133</f>
        <v>STRL</v>
      </c>
      <c r="B17" s="7" t="e" vm="6">
        <f>'Universe Weighting Workshhet - '!$D133</f>
        <v>#VALUE!</v>
      </c>
      <c r="C17" s="21" t="str">
        <f>'Universe Weighting Workshhet - '!$B133</f>
        <v>Construction/Engineering</v>
      </c>
      <c r="D17" s="95">
        <f>'Universe Weighting Workshhet - '!K133</f>
        <v>12.498362453837556</v>
      </c>
      <c r="E17" s="23">
        <f>D17/SUM(D2:D24)</f>
        <v>1.7760925729463178E-2</v>
      </c>
      <c r="F17" s="23">
        <f>E17*'Category Weightings'!$C$11</f>
        <v>1.5669989135183226E-3</v>
      </c>
      <c r="G17" s="24"/>
    </row>
    <row r="18" spans="1:7" ht="20" customHeight="1" x14ac:dyDescent="0.15">
      <c r="A18" s="7" t="str">
        <f>'Universe Weighting Workshhet - '!$C134</f>
        <v>TPC</v>
      </c>
      <c r="B18" s="7" t="e" vm="7">
        <f>'Universe Weighting Workshhet - '!$D134</f>
        <v>#VALUE!</v>
      </c>
      <c r="C18" s="21" t="str">
        <f>'Universe Weighting Workshhet - '!$B134</f>
        <v>Construction/Engineering</v>
      </c>
      <c r="D18" s="95">
        <f>'Universe Weighting Workshhet - '!K134</f>
        <v>3.072301069004538</v>
      </c>
      <c r="E18" s="23">
        <f>D18/SUM(D2:D24)</f>
        <v>4.3659248406886647E-3</v>
      </c>
      <c r="F18" s="23">
        <f>E18*'Category Weightings'!$C$11</f>
        <v>3.8519385678826179E-4</v>
      </c>
      <c r="G18" s="24"/>
    </row>
    <row r="19" spans="1:7" ht="20" customHeight="1" x14ac:dyDescent="0.15">
      <c r="A19" s="7" t="str">
        <f>'Universe Weighting Workshhet - '!$C135</f>
        <v>TTEK</v>
      </c>
      <c r="B19" s="7" t="e" vm="42">
        <f>'Universe Weighting Workshhet - '!$D135</f>
        <v>#VALUE!</v>
      </c>
      <c r="C19" s="21" t="str">
        <f>'Universe Weighting Workshhet - '!$B135</f>
        <v>Construction/Engineering</v>
      </c>
      <c r="D19" s="95">
        <f>'Universe Weighting Workshhet - '!K135</f>
        <v>33.841325670747054</v>
      </c>
      <c r="E19" s="23">
        <f>D19/SUM(D2:D24)</f>
        <v>4.8090561787169472E-2</v>
      </c>
      <c r="F19" s="23">
        <f>E19*'Category Weightings'!$C$11</f>
        <v>4.2429014804093775E-3</v>
      </c>
      <c r="G19" s="24"/>
    </row>
    <row r="20" spans="1:7" ht="20" customHeight="1" x14ac:dyDescent="0.15">
      <c r="A20" s="7" t="str">
        <f>'Universe Weighting Workshhet - '!$C136</f>
        <v>WSP.TO</v>
      </c>
      <c r="B20" s="7" t="e" vm="8">
        <f>'Universe Weighting Workshhet - '!$D136</f>
        <v>#VALUE!</v>
      </c>
      <c r="C20" s="21" t="str">
        <f>'Universe Weighting Workshhet - '!$B136</f>
        <v>Construction/Engineering</v>
      </c>
      <c r="D20" s="95">
        <f>'Universe Weighting Workshhet - '!K136</f>
        <v>3.5278426275628161</v>
      </c>
      <c r="E20" s="23">
        <f>D20/SUM(D2:D24)</f>
        <v>5.0132768292488325E-3</v>
      </c>
      <c r="F20" s="23">
        <f>E20*'Category Weightings'!$C$11</f>
        <v>4.4230798913638285E-4</v>
      </c>
      <c r="G20" s="24"/>
    </row>
    <row r="21" spans="1:7" ht="20" customHeight="1" x14ac:dyDescent="0.15">
      <c r="A21" s="7" t="str">
        <f>'Universe Weighting Workshhet - '!$C137</f>
        <v>XYL</v>
      </c>
      <c r="B21" s="7" t="e" vm="43">
        <f>'Universe Weighting Workshhet - '!$D137</f>
        <v>#VALUE!</v>
      </c>
      <c r="C21" s="21" t="str">
        <f>'Universe Weighting Workshhet - '!$B137</f>
        <v>Equipment</v>
      </c>
      <c r="D21" s="95">
        <f>'Universe Weighting Workshhet - '!K137</f>
        <v>14.28258174108532</v>
      </c>
      <c r="E21" s="23">
        <f>D21/SUM(D2:D24)</f>
        <v>2.0296408786777874E-2</v>
      </c>
      <c r="F21" s="23">
        <f>E21*'Category Weightings'!$C$11</f>
        <v>1.7906977936653953E-3</v>
      </c>
      <c r="G21" s="24"/>
    </row>
    <row r="22" spans="1:7" ht="20" customHeight="1" x14ac:dyDescent="0.15">
      <c r="A22" s="7" t="str">
        <f>'Universe Weighting Workshhet - '!$C138</f>
        <v>MTZ</v>
      </c>
      <c r="B22" s="7" t="e" vm="17">
        <f>'Universe Weighting Workshhet - '!$D138</f>
        <v>#VALUE!</v>
      </c>
      <c r="C22" s="21" t="str">
        <f>'Universe Weighting Workshhet - '!$B138</f>
        <v>Construction/Engineering</v>
      </c>
      <c r="D22" s="95">
        <f>'Universe Weighting Workshhet - '!K138</f>
        <v>13.886558144190117</v>
      </c>
      <c r="E22" s="23">
        <f>D22/SUM(D2:D24)</f>
        <v>1.9733635406061035E-2</v>
      </c>
      <c r="F22" s="23">
        <f>E22*'Category Weightings'!$C$11</f>
        <v>1.7410458053865741E-3</v>
      </c>
      <c r="G22" s="24"/>
    </row>
    <row r="23" spans="1:7" ht="20" customHeight="1" x14ac:dyDescent="0.15">
      <c r="A23" s="7" t="str">
        <f>'Universe Weighting Workshhet - '!$C139</f>
        <v>PRIM</v>
      </c>
      <c r="B23" s="7" t="e" vm="4">
        <f>'Universe Weighting Workshhet - '!$D139</f>
        <v>#VALUE!</v>
      </c>
      <c r="C23" s="21" t="str">
        <f>'Universe Weighting Workshhet - '!$B139</f>
        <v>Construction/Engineering</v>
      </c>
      <c r="D23" s="95">
        <f>'Universe Weighting Workshhet - '!K139</f>
        <v>31.521739130434785</v>
      </c>
      <c r="E23" s="23">
        <f>D23/SUM(D2:D24)</f>
        <v>4.4794289622098839E-2</v>
      </c>
      <c r="F23" s="23">
        <f>E23*'Category Weightings'!$C$11</f>
        <v>3.9520802146710806E-3</v>
      </c>
      <c r="G23" s="24"/>
    </row>
    <row r="24" spans="1:7" ht="20" customHeight="1" x14ac:dyDescent="0.15">
      <c r="A24" s="7" t="str">
        <f>'Universe Weighting Workshhet - '!$C140</f>
        <v>PWR</v>
      </c>
      <c r="B24" s="7" t="e" vm="20">
        <f>'Universe Weighting Workshhet - '!$D140</f>
        <v>#VALUE!</v>
      </c>
      <c r="C24" s="21" t="str">
        <f>'Universe Weighting Workshhet - '!$B140</f>
        <v>Construction/Engineering</v>
      </c>
      <c r="D24" s="95">
        <f>'Universe Weighting Workshhet - '!K140</f>
        <v>22.974365417212148</v>
      </c>
      <c r="E24" s="23">
        <f>D24/SUM(D2:D24)</f>
        <v>3.2647956831445855E-2</v>
      </c>
      <c r="F24" s="23">
        <f>E24*'Category Weightings'!$C$11</f>
        <v>2.8804418003168485E-3</v>
      </c>
      <c r="G24" s="24"/>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0"/>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16.33203125" defaultRowHeight="20" customHeight="1" x14ac:dyDescent="0.15"/>
  <cols>
    <col min="1" max="1" width="24.1640625" style="16" customWidth="1"/>
    <col min="2" max="6" width="16.33203125" style="16" customWidth="1"/>
    <col min="7" max="16384" width="16.33203125" style="16"/>
  </cols>
  <sheetData>
    <row r="1" spans="1:5" ht="20.25" customHeight="1" x14ac:dyDescent="0.15">
      <c r="A1" s="2" t="s">
        <v>135</v>
      </c>
      <c r="B1" s="2" t="s">
        <v>136</v>
      </c>
      <c r="C1" s="2" t="s">
        <v>137</v>
      </c>
      <c r="D1" s="2" t="s">
        <v>138</v>
      </c>
      <c r="E1" s="3"/>
    </row>
    <row r="2" spans="1:5" ht="20.25" customHeight="1" x14ac:dyDescent="0.15">
      <c r="A2" s="17" t="s">
        <v>7</v>
      </c>
      <c r="B2" s="18">
        <f>COUNTIF('PORTFOLIO - Table 1'!C2:C63,$A2)</f>
        <v>17</v>
      </c>
      <c r="C2" s="19">
        <f>SUMIF('PORTFOLIO - Table 1'!C2:C63,$A2,'PORTFOLIO - Table 1'!D2:D63)</f>
        <v>0.52850472905442825</v>
      </c>
      <c r="D2" s="19">
        <f>C2/B2</f>
        <v>3.1088513473789898E-2</v>
      </c>
      <c r="E2" s="20"/>
    </row>
    <row r="3" spans="1:5" ht="20" customHeight="1" x14ac:dyDescent="0.15">
      <c r="A3" s="21" t="s">
        <v>28</v>
      </c>
      <c r="B3" s="22">
        <f>COUNTIF('PORTFOLIO - Table 1'!C2:C63,$A3)</f>
        <v>26</v>
      </c>
      <c r="C3" s="23">
        <f>SUMIF('PORTFOLIO - Table 1'!C2:C63,$A3,'PORTFOLIO - Table 1'!D2:D63)</f>
        <v>0.26376373125388569</v>
      </c>
      <c r="D3" s="23">
        <f>C3/B3</f>
        <v>1.0144758894380219E-2</v>
      </c>
      <c r="E3" s="24"/>
    </row>
    <row r="4" spans="1:5" ht="20" customHeight="1" x14ac:dyDescent="0.15">
      <c r="A4" s="21" t="s">
        <v>35</v>
      </c>
      <c r="B4" s="22">
        <f>COUNTIF('PORTFOLIO - Table 1'!C2:C63,$A4)</f>
        <v>18</v>
      </c>
      <c r="C4" s="23">
        <f>SUMIF('PORTFOLIO - Table 1'!C2:C63,$A4,'PORTFOLIO - Table 1'!D2:D63)</f>
        <v>0.19688932945410462</v>
      </c>
      <c r="D4" s="23">
        <f>C4/B4</f>
        <v>1.093829608078359E-2</v>
      </c>
      <c r="E4" s="24"/>
    </row>
    <row r="5" spans="1:5" ht="20" customHeight="1" x14ac:dyDescent="0.15">
      <c r="A5" s="21" t="s">
        <v>80</v>
      </c>
      <c r="B5" s="22">
        <f>COUNTIF('PORTFOLIO - Table 1'!C2:C63,$A5)</f>
        <v>1</v>
      </c>
      <c r="C5" s="23">
        <f>SUMIF('PORTFOLIO - Table 1'!C2:C63,$A5,'PORTFOLIO - Table 1'!D2:D63)</f>
        <v>1.0562123501043625E-2</v>
      </c>
      <c r="D5" s="23">
        <f>C5/B5</f>
        <v>1.0562123501043625E-2</v>
      </c>
      <c r="E5" s="24"/>
    </row>
    <row r="6" spans="1:5" ht="20" customHeight="1" x14ac:dyDescent="0.15">
      <c r="A6" s="25"/>
      <c r="B6" s="26"/>
      <c r="C6" s="24"/>
      <c r="D6" s="24"/>
      <c r="E6" s="24"/>
    </row>
    <row r="7" spans="1:5" ht="20" customHeight="1" x14ac:dyDescent="0.15">
      <c r="A7" s="25"/>
      <c r="B7" s="26"/>
      <c r="C7" s="24"/>
      <c r="D7" s="24"/>
      <c r="E7" s="24"/>
    </row>
    <row r="8" spans="1:5" ht="20" customHeight="1" x14ac:dyDescent="0.15">
      <c r="A8" s="25"/>
      <c r="B8" s="26"/>
      <c r="C8" s="24"/>
      <c r="D8" s="24"/>
      <c r="E8" s="24"/>
    </row>
    <row r="9" spans="1:5" ht="20" customHeight="1" x14ac:dyDescent="0.15">
      <c r="A9" s="25"/>
      <c r="B9" s="26"/>
      <c r="C9" s="24"/>
      <c r="D9" s="24"/>
      <c r="E9" s="24"/>
    </row>
    <row r="10" spans="1:5" ht="20" customHeight="1" x14ac:dyDescent="0.15">
      <c r="A10" s="25"/>
      <c r="B10" s="26"/>
      <c r="C10" s="24"/>
      <c r="D10" s="24"/>
      <c r="E10" s="24"/>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7"/>
  <sheetViews>
    <sheetView showGridLines="0" workbookViewId="0">
      <pane xSplit="3" ySplit="1" topLeftCell="E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8.33203125" style="27" customWidth="1"/>
    <col min="2" max="3" width="31.6640625" style="27" customWidth="1"/>
    <col min="4" max="4" width="16.33203125" style="27" hidden="1" customWidth="1"/>
    <col min="5" max="9" width="16.33203125" style="27" customWidth="1"/>
    <col min="10" max="16384" width="16.33203125" style="27"/>
  </cols>
  <sheetData>
    <row r="1" spans="1:8" ht="20.75" customHeight="1" x14ac:dyDescent="0.15">
      <c r="A1" s="28"/>
      <c r="B1" s="28"/>
      <c r="C1" s="28"/>
      <c r="D1" s="29" t="s">
        <v>139</v>
      </c>
      <c r="E1" s="29" t="s">
        <v>140</v>
      </c>
      <c r="F1" s="28"/>
      <c r="G1" s="28"/>
      <c r="H1" s="28"/>
    </row>
    <row r="2" spans="1:8" ht="20.75" customHeight="1" x14ac:dyDescent="0.15">
      <c r="A2" s="30" t="s">
        <v>141</v>
      </c>
      <c r="B2" s="31"/>
      <c r="C2" s="31"/>
      <c r="D2" s="30" t="s">
        <v>142</v>
      </c>
      <c r="E2" s="30" t="s">
        <v>142</v>
      </c>
      <c r="F2" s="30" t="s">
        <v>142</v>
      </c>
      <c r="G2" s="31"/>
      <c r="H2" s="31"/>
    </row>
    <row r="3" spans="1:8" ht="20" customHeight="1" x14ac:dyDescent="0.15">
      <c r="A3" s="32" t="s">
        <v>143</v>
      </c>
      <c r="B3" s="33"/>
      <c r="C3" s="33"/>
      <c r="D3" s="34">
        <f>SUM(D4:D5)</f>
        <v>929</v>
      </c>
      <c r="E3" s="34">
        <f>SUM(E4:E5)</f>
        <v>0</v>
      </c>
      <c r="F3" s="34">
        <f>SUM(F4:F5)</f>
        <v>929</v>
      </c>
      <c r="G3" s="33"/>
      <c r="H3" s="33"/>
    </row>
    <row r="4" spans="1:8" ht="20.25" customHeight="1" x14ac:dyDescent="0.15">
      <c r="A4" s="35"/>
      <c r="B4" s="4" t="s">
        <v>143</v>
      </c>
      <c r="C4" s="17" t="s">
        <v>144</v>
      </c>
      <c r="D4" s="36">
        <v>566</v>
      </c>
      <c r="E4" s="37">
        <v>0</v>
      </c>
      <c r="F4" s="38">
        <f>D4-E4</f>
        <v>566</v>
      </c>
      <c r="G4" s="39">
        <f>IFERROR(E4/D4-1,0)</f>
        <v>-1</v>
      </c>
      <c r="H4" s="39">
        <f>E6/D6-1</f>
        <v>-1</v>
      </c>
    </row>
    <row r="5" spans="1:8" ht="20.75" customHeight="1" x14ac:dyDescent="0.15">
      <c r="A5" s="40"/>
      <c r="B5" s="41" t="s">
        <v>143</v>
      </c>
      <c r="C5" s="42" t="s">
        <v>145</v>
      </c>
      <c r="D5" s="43">
        <v>363</v>
      </c>
      <c r="E5" s="44">
        <v>0</v>
      </c>
      <c r="F5" s="45">
        <f>D5-E5</f>
        <v>363</v>
      </c>
      <c r="G5" s="46">
        <f>IFERROR(E5/D5-1,0)</f>
        <v>-1</v>
      </c>
      <c r="H5" s="47"/>
    </row>
    <row r="6" spans="1:8" ht="21" customHeight="1" x14ac:dyDescent="0.15">
      <c r="A6" s="48" t="s">
        <v>146</v>
      </c>
      <c r="B6" s="49"/>
      <c r="C6" s="49"/>
      <c r="D6" s="50">
        <f>SUM(D7)</f>
        <v>387</v>
      </c>
      <c r="E6" s="50">
        <f>SUM(E7)</f>
        <v>0</v>
      </c>
      <c r="F6" s="50">
        <f>SUM(F7)</f>
        <v>387</v>
      </c>
      <c r="G6" s="49"/>
      <c r="H6" s="49"/>
    </row>
    <row r="7" spans="1:8" ht="21" customHeight="1" x14ac:dyDescent="0.15">
      <c r="A7" s="51"/>
      <c r="B7" s="52" t="s">
        <v>146</v>
      </c>
      <c r="C7" s="53" t="s">
        <v>147</v>
      </c>
      <c r="D7" s="54">
        <v>387</v>
      </c>
      <c r="E7" s="55">
        <v>0</v>
      </c>
      <c r="F7" s="56">
        <f>D7-E7</f>
        <v>387</v>
      </c>
      <c r="G7" s="57">
        <f>IFERROR(E7/D7-1,0)</f>
        <v>-1</v>
      </c>
      <c r="H7" s="57">
        <f>E6/D6-1</f>
        <v>-1</v>
      </c>
    </row>
    <row r="8" spans="1:8" ht="21" customHeight="1" x14ac:dyDescent="0.15">
      <c r="A8" s="48" t="s">
        <v>148</v>
      </c>
      <c r="B8" s="49"/>
      <c r="C8" s="49"/>
      <c r="D8" s="50">
        <f>SUM(D9)</f>
        <v>400</v>
      </c>
      <c r="E8" s="50">
        <f>SUM(E9)</f>
        <v>0</v>
      </c>
      <c r="F8" s="50">
        <f>SUM(F9)</f>
        <v>400</v>
      </c>
      <c r="G8" s="49"/>
      <c r="H8" s="49"/>
    </row>
    <row r="9" spans="1:8" ht="21" customHeight="1" x14ac:dyDescent="0.15">
      <c r="A9" s="51"/>
      <c r="B9" s="52" t="s">
        <v>148</v>
      </c>
      <c r="C9" s="53" t="s">
        <v>149</v>
      </c>
      <c r="D9" s="54">
        <v>400</v>
      </c>
      <c r="E9" s="55">
        <v>0</v>
      </c>
      <c r="F9" s="56">
        <f>D9-E9</f>
        <v>400</v>
      </c>
      <c r="G9" s="57">
        <f>IFERROR(E9/D9-1,0)</f>
        <v>-1</v>
      </c>
      <c r="H9" s="57">
        <f>E6/D6-1</f>
        <v>-1</v>
      </c>
    </row>
    <row r="10" spans="1:8" ht="21" customHeight="1" x14ac:dyDescent="0.15">
      <c r="A10" s="48" t="s">
        <v>150</v>
      </c>
      <c r="B10" s="49"/>
      <c r="C10" s="49"/>
      <c r="D10" s="50">
        <f>SUM(D11)</f>
        <v>82</v>
      </c>
      <c r="E10" s="50">
        <f>SUM(E11)</f>
        <v>73</v>
      </c>
      <c r="F10" s="50">
        <f>SUM(F11)</f>
        <v>9</v>
      </c>
      <c r="G10" s="49"/>
      <c r="H10" s="49"/>
    </row>
    <row r="11" spans="1:8" ht="21" customHeight="1" x14ac:dyDescent="0.15">
      <c r="A11" s="51"/>
      <c r="B11" s="52" t="s">
        <v>150</v>
      </c>
      <c r="C11" s="53" t="s">
        <v>151</v>
      </c>
      <c r="D11" s="58">
        <v>82</v>
      </c>
      <c r="E11" s="59">
        <v>73</v>
      </c>
      <c r="F11" s="60">
        <f>D11-E11</f>
        <v>9</v>
      </c>
      <c r="G11" s="57">
        <f>IFERROR(E11/D11-1,0)</f>
        <v>-0.1097560975609756</v>
      </c>
      <c r="H11" s="57">
        <f>E10/D10-1</f>
        <v>-0.1097560975609756</v>
      </c>
    </row>
    <row r="12" spans="1:8" ht="21" customHeight="1" x14ac:dyDescent="0.15">
      <c r="A12" s="48" t="s">
        <v>152</v>
      </c>
      <c r="B12" s="49"/>
      <c r="C12" s="49"/>
      <c r="D12" s="50">
        <f>SUM(D13:D14)</f>
        <v>114</v>
      </c>
      <c r="E12" s="50">
        <f>SUM(E13:E14)</f>
        <v>63</v>
      </c>
      <c r="F12" s="50">
        <f>SUM(F13:F14)</f>
        <v>51</v>
      </c>
      <c r="G12" s="49"/>
      <c r="H12" s="49"/>
    </row>
    <row r="13" spans="1:8" ht="20.25" customHeight="1" x14ac:dyDescent="0.15">
      <c r="A13" s="35"/>
      <c r="B13" s="4" t="s">
        <v>152</v>
      </c>
      <c r="C13" s="17" t="s">
        <v>153</v>
      </c>
      <c r="D13" s="61">
        <v>111</v>
      </c>
      <c r="E13" s="62">
        <v>55</v>
      </c>
      <c r="F13" s="63">
        <f>D13-E13</f>
        <v>56</v>
      </c>
      <c r="G13" s="39">
        <f>IFERROR(E13/D13-1,0)</f>
        <v>-0.50450450450450446</v>
      </c>
      <c r="H13" s="39">
        <f>E12/D12-1</f>
        <v>-0.44736842105263153</v>
      </c>
    </row>
    <row r="14" spans="1:8" ht="20.75" customHeight="1" x14ac:dyDescent="0.15">
      <c r="A14" s="40"/>
      <c r="B14" s="41" t="s">
        <v>152</v>
      </c>
      <c r="C14" s="42" t="s">
        <v>154</v>
      </c>
      <c r="D14" s="43">
        <v>3</v>
      </c>
      <c r="E14" s="44">
        <v>8</v>
      </c>
      <c r="F14" s="45">
        <f>D14-E14</f>
        <v>-5</v>
      </c>
      <c r="G14" s="46">
        <f>IFERROR(E14/D14-1,0)</f>
        <v>1.6666666666666665</v>
      </c>
      <c r="H14" s="47"/>
    </row>
    <row r="15" spans="1:8" ht="21" customHeight="1" x14ac:dyDescent="0.15">
      <c r="A15" s="48" t="s">
        <v>155</v>
      </c>
      <c r="B15" s="49"/>
      <c r="C15" s="49"/>
      <c r="D15" s="50">
        <f>SUM(D16:D17)</f>
        <v>63</v>
      </c>
      <c r="E15" s="50">
        <f>SUM(E16:E17)</f>
        <v>68.2</v>
      </c>
      <c r="F15" s="50">
        <f>SUM(F16:F17)</f>
        <v>-5.2000000000000028</v>
      </c>
      <c r="G15" s="49"/>
      <c r="H15" s="49"/>
    </row>
    <row r="16" spans="1:8" ht="20.25" customHeight="1" x14ac:dyDescent="0.15">
      <c r="A16" s="35"/>
      <c r="B16" s="4" t="s">
        <v>155</v>
      </c>
      <c r="C16" s="17" t="s">
        <v>156</v>
      </c>
      <c r="D16" s="61">
        <v>47</v>
      </c>
      <c r="E16" s="62">
        <v>47.2</v>
      </c>
      <c r="F16" s="63">
        <f>D16-E16</f>
        <v>-0.20000000000000284</v>
      </c>
      <c r="G16" s="39">
        <f>IFERROR(E16/D16-1,0)</f>
        <v>4.2553191489362874E-3</v>
      </c>
      <c r="H16" s="39">
        <f>E15/D15-1</f>
        <v>8.2539682539682691E-2</v>
      </c>
    </row>
    <row r="17" spans="1:8" ht="20.75" customHeight="1" x14ac:dyDescent="0.15">
      <c r="A17" s="40"/>
      <c r="B17" s="41" t="s">
        <v>155</v>
      </c>
      <c r="C17" s="42" t="s">
        <v>157</v>
      </c>
      <c r="D17" s="43">
        <v>16</v>
      </c>
      <c r="E17" s="44">
        <v>21</v>
      </c>
      <c r="F17" s="45">
        <f>D17-E17</f>
        <v>-5</v>
      </c>
      <c r="G17" s="46">
        <f>IFERROR(E17/D17-1,0)</f>
        <v>0.3125</v>
      </c>
      <c r="H17" s="47"/>
    </row>
    <row r="18" spans="1:8" ht="21" customHeight="1" x14ac:dyDescent="0.15">
      <c r="A18" s="48" t="s">
        <v>158</v>
      </c>
      <c r="B18" s="49"/>
      <c r="C18" s="49"/>
      <c r="D18" s="50">
        <f>SUM(D19)</f>
        <v>100</v>
      </c>
      <c r="E18" s="50">
        <f>SUM(E19)</f>
        <v>65</v>
      </c>
      <c r="F18" s="50">
        <f>SUM(F19)</f>
        <v>35</v>
      </c>
      <c r="G18" s="49"/>
      <c r="H18" s="49"/>
    </row>
    <row r="19" spans="1:8" ht="21" customHeight="1" x14ac:dyDescent="0.15">
      <c r="A19" s="51"/>
      <c r="B19" s="52" t="s">
        <v>158</v>
      </c>
      <c r="C19" s="53" t="s">
        <v>159</v>
      </c>
      <c r="D19" s="58">
        <v>100</v>
      </c>
      <c r="E19" s="59">
        <v>65</v>
      </c>
      <c r="F19" s="60">
        <f>D19-E19</f>
        <v>35</v>
      </c>
      <c r="G19" s="57">
        <f>IFERROR(E19/D19-1,0)</f>
        <v>-0.35</v>
      </c>
      <c r="H19" s="57">
        <f>E18/D18-1</f>
        <v>-0.35</v>
      </c>
    </row>
    <row r="20" spans="1:8" ht="21" customHeight="1" x14ac:dyDescent="0.15">
      <c r="A20" s="48" t="s">
        <v>160</v>
      </c>
      <c r="B20" s="49"/>
      <c r="C20" s="49"/>
      <c r="D20" s="50">
        <f>SUM(D21:D27)</f>
        <v>547</v>
      </c>
      <c r="E20" s="50">
        <f>SUM(E21:E27)</f>
        <v>284.2</v>
      </c>
      <c r="F20" s="50">
        <f>SUM(F21:F27)</f>
        <v>262.8</v>
      </c>
      <c r="G20" s="49"/>
      <c r="H20" s="49"/>
    </row>
    <row r="21" spans="1:8" ht="20.25" customHeight="1" x14ac:dyDescent="0.15">
      <c r="A21" s="35"/>
      <c r="B21" s="4" t="s">
        <v>160</v>
      </c>
      <c r="C21" s="17" t="s">
        <v>161</v>
      </c>
      <c r="D21" s="61">
        <v>157</v>
      </c>
      <c r="E21" s="62">
        <v>15</v>
      </c>
      <c r="F21" s="63">
        <f t="shared" ref="F21:F27" si="0">D21-E21</f>
        <v>142</v>
      </c>
      <c r="G21" s="39">
        <f t="shared" ref="G21:G27" si="1">IFERROR(E21/D21-1,0)</f>
        <v>-0.90445859872611467</v>
      </c>
      <c r="H21" s="39">
        <f>E20/D20-1</f>
        <v>-0.48043875685557591</v>
      </c>
    </row>
    <row r="22" spans="1:8" ht="20" customHeight="1" x14ac:dyDescent="0.15">
      <c r="A22" s="64"/>
      <c r="B22" s="7" t="s">
        <v>160</v>
      </c>
      <c r="C22" s="21" t="s">
        <v>162</v>
      </c>
      <c r="D22" s="65">
        <f>154+19</f>
        <v>173</v>
      </c>
      <c r="E22" s="66">
        <f>110+11</f>
        <v>121</v>
      </c>
      <c r="F22" s="67">
        <f t="shared" si="0"/>
        <v>52</v>
      </c>
      <c r="G22" s="68">
        <f t="shared" si="1"/>
        <v>-0.30057803468208089</v>
      </c>
      <c r="H22" s="24"/>
    </row>
    <row r="23" spans="1:8" ht="20" customHeight="1" x14ac:dyDescent="0.15">
      <c r="A23" s="64"/>
      <c r="B23" s="7" t="s">
        <v>160</v>
      </c>
      <c r="C23" s="21" t="s">
        <v>163</v>
      </c>
      <c r="D23" s="65">
        <v>77</v>
      </c>
      <c r="E23" s="66">
        <v>39.200000000000003</v>
      </c>
      <c r="F23" s="67">
        <f t="shared" si="0"/>
        <v>37.799999999999997</v>
      </c>
      <c r="G23" s="68">
        <f t="shared" si="1"/>
        <v>-0.49090909090909085</v>
      </c>
      <c r="H23" s="24"/>
    </row>
    <row r="24" spans="1:8" ht="20" customHeight="1" x14ac:dyDescent="0.15">
      <c r="A24" s="64"/>
      <c r="B24" s="7" t="s">
        <v>160</v>
      </c>
      <c r="C24" s="21" t="s">
        <v>164</v>
      </c>
      <c r="D24" s="65">
        <v>74</v>
      </c>
      <c r="E24" s="66">
        <v>66</v>
      </c>
      <c r="F24" s="67">
        <f t="shared" si="0"/>
        <v>8</v>
      </c>
      <c r="G24" s="68">
        <f t="shared" si="1"/>
        <v>-0.10810810810810811</v>
      </c>
      <c r="H24" s="24"/>
    </row>
    <row r="25" spans="1:8" ht="20" customHeight="1" x14ac:dyDescent="0.15">
      <c r="A25" s="64"/>
      <c r="B25" s="7" t="s">
        <v>160</v>
      </c>
      <c r="C25" s="21" t="s">
        <v>165</v>
      </c>
      <c r="D25" s="65">
        <v>25</v>
      </c>
      <c r="E25" s="66">
        <v>25</v>
      </c>
      <c r="F25" s="67">
        <f t="shared" si="0"/>
        <v>0</v>
      </c>
      <c r="G25" s="68">
        <f t="shared" si="1"/>
        <v>0</v>
      </c>
      <c r="H25" s="24"/>
    </row>
    <row r="26" spans="1:8" ht="20" customHeight="1" x14ac:dyDescent="0.15">
      <c r="A26" s="64"/>
      <c r="B26" s="7" t="s">
        <v>160</v>
      </c>
      <c r="C26" s="21" t="s">
        <v>166</v>
      </c>
      <c r="D26" s="65">
        <v>24</v>
      </c>
      <c r="E26" s="66">
        <v>1</v>
      </c>
      <c r="F26" s="67">
        <f t="shared" si="0"/>
        <v>23</v>
      </c>
      <c r="G26" s="68">
        <f t="shared" si="1"/>
        <v>-0.95833333333333337</v>
      </c>
      <c r="H26" s="24"/>
    </row>
    <row r="27" spans="1:8" ht="20" customHeight="1" x14ac:dyDescent="0.15">
      <c r="A27" s="64"/>
      <c r="B27" s="7" t="s">
        <v>160</v>
      </c>
      <c r="C27" s="21" t="s">
        <v>167</v>
      </c>
      <c r="D27" s="65">
        <v>17</v>
      </c>
      <c r="E27" s="66">
        <v>17</v>
      </c>
      <c r="F27" s="67">
        <f t="shared" si="0"/>
        <v>0</v>
      </c>
      <c r="G27" s="68">
        <f t="shared" si="1"/>
        <v>0</v>
      </c>
      <c r="H27" s="24"/>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5"/>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16.33203125" defaultRowHeight="20" customHeight="1" x14ac:dyDescent="0.15"/>
  <cols>
    <col min="1" max="1" width="26" style="69" customWidth="1"/>
    <col min="2" max="6" width="16.33203125" style="69" customWidth="1"/>
    <col min="7" max="16384" width="16.33203125" style="69"/>
  </cols>
  <sheetData>
    <row r="1" spans="1:5" ht="20.25" customHeight="1" x14ac:dyDescent="0.15">
      <c r="A1" s="2" t="s">
        <v>168</v>
      </c>
      <c r="B1" s="2" t="s">
        <v>169</v>
      </c>
      <c r="C1" s="2" t="s">
        <v>170</v>
      </c>
      <c r="D1" s="3"/>
      <c r="E1" s="3"/>
    </row>
    <row r="2" spans="1:5" ht="20.25" customHeight="1" x14ac:dyDescent="0.15">
      <c r="A2" s="17" t="s">
        <v>171</v>
      </c>
      <c r="B2" s="62">
        <f>'Bill - Table 1'!E22+'Bill - Table 1'!E26</f>
        <v>122</v>
      </c>
      <c r="C2" s="19">
        <f t="shared" ref="C2:C14" si="0">B2/B$15</f>
        <v>0.22045536682327432</v>
      </c>
      <c r="D2" s="39"/>
      <c r="E2" s="20"/>
    </row>
    <row r="3" spans="1:5" ht="20" customHeight="1" x14ac:dyDescent="0.15">
      <c r="A3" s="21" t="s">
        <v>172</v>
      </c>
      <c r="B3" s="66">
        <f>'Bill - Table 1'!E24</f>
        <v>66</v>
      </c>
      <c r="C3" s="23">
        <f t="shared" si="0"/>
        <v>0.11926273942898447</v>
      </c>
      <c r="D3" s="24"/>
      <c r="E3" s="24"/>
    </row>
    <row r="4" spans="1:5" ht="20" customHeight="1" x14ac:dyDescent="0.15">
      <c r="A4" s="21" t="s">
        <v>173</v>
      </c>
      <c r="B4" s="66">
        <f>'Bill - Table 1'!E23</f>
        <v>39.200000000000003</v>
      </c>
      <c r="C4" s="23">
        <f t="shared" si="0"/>
        <v>7.0834839176002903E-2</v>
      </c>
      <c r="D4" s="68"/>
      <c r="E4" s="24"/>
    </row>
    <row r="5" spans="1:5" ht="20" customHeight="1" x14ac:dyDescent="0.15">
      <c r="A5" s="21" t="s">
        <v>174</v>
      </c>
      <c r="B5" s="66">
        <v>7.5</v>
      </c>
      <c r="C5" s="23">
        <f t="shared" si="0"/>
        <v>1.3552584026020963E-2</v>
      </c>
      <c r="D5" s="24"/>
      <c r="E5" s="24"/>
    </row>
    <row r="6" spans="1:5" ht="20" customHeight="1" x14ac:dyDescent="0.15">
      <c r="A6" s="21" t="s">
        <v>175</v>
      </c>
      <c r="B6" s="66">
        <v>7.5</v>
      </c>
      <c r="C6" s="23">
        <f t="shared" si="0"/>
        <v>1.3552584026020963E-2</v>
      </c>
      <c r="D6" s="24"/>
      <c r="E6" s="24"/>
    </row>
    <row r="7" spans="1:5" ht="20" customHeight="1" x14ac:dyDescent="0.15">
      <c r="A7" s="21" t="s">
        <v>165</v>
      </c>
      <c r="B7" s="66">
        <f>'Bill - Table 1'!E25</f>
        <v>25</v>
      </c>
      <c r="C7" s="23">
        <f t="shared" si="0"/>
        <v>4.517528008673654E-2</v>
      </c>
      <c r="D7" s="70"/>
      <c r="E7" s="70"/>
    </row>
    <row r="8" spans="1:5" ht="20" customHeight="1" x14ac:dyDescent="0.15">
      <c r="A8" s="21" t="s">
        <v>176</v>
      </c>
      <c r="B8" s="66">
        <f>'Bill - Table 1'!E27</f>
        <v>17</v>
      </c>
      <c r="C8" s="23">
        <f t="shared" si="0"/>
        <v>3.0719190458980847E-2</v>
      </c>
      <c r="D8" s="68"/>
      <c r="E8" s="68"/>
    </row>
    <row r="9" spans="1:5" ht="20" customHeight="1" x14ac:dyDescent="0.15">
      <c r="A9" s="21" t="s">
        <v>159</v>
      </c>
      <c r="B9" s="66">
        <f>'Bill - Table 1'!E19</f>
        <v>65</v>
      </c>
      <c r="C9" s="23">
        <f t="shared" si="0"/>
        <v>0.117455728225515</v>
      </c>
      <c r="D9" s="24"/>
      <c r="E9" s="24"/>
    </row>
    <row r="10" spans="1:5" ht="20" customHeight="1" x14ac:dyDescent="0.15">
      <c r="A10" s="21" t="s">
        <v>156</v>
      </c>
      <c r="B10" s="66">
        <f>'Bill - Table 1'!E16</f>
        <v>47.2</v>
      </c>
      <c r="C10" s="23">
        <f t="shared" si="0"/>
        <v>8.5290928803758589E-2</v>
      </c>
      <c r="D10" s="24"/>
      <c r="E10" s="24"/>
    </row>
    <row r="11" spans="1:5" ht="20" customHeight="1" x14ac:dyDescent="0.15">
      <c r="A11" s="21" t="s">
        <v>177</v>
      </c>
      <c r="B11" s="66">
        <f>'Bill - Table 1'!E17</f>
        <v>21</v>
      </c>
      <c r="C11" s="23">
        <f t="shared" si="0"/>
        <v>3.7947235272858697E-2</v>
      </c>
      <c r="D11" s="24"/>
      <c r="E11" s="24"/>
    </row>
    <row r="12" spans="1:5" ht="20" customHeight="1" x14ac:dyDescent="0.15">
      <c r="A12" s="21" t="s">
        <v>178</v>
      </c>
      <c r="B12" s="66">
        <f>'Bill - Table 1'!E13</f>
        <v>55</v>
      </c>
      <c r="C12" s="23">
        <f t="shared" si="0"/>
        <v>9.9385616190820383E-2</v>
      </c>
      <c r="D12" s="24"/>
      <c r="E12" s="24"/>
    </row>
    <row r="13" spans="1:5" ht="20" customHeight="1" x14ac:dyDescent="0.15">
      <c r="A13" s="21" t="s">
        <v>179</v>
      </c>
      <c r="B13" s="66">
        <f>'Bill - Table 1'!E14</f>
        <v>8</v>
      </c>
      <c r="C13" s="23">
        <f t="shared" si="0"/>
        <v>1.4456089627755693E-2</v>
      </c>
      <c r="D13" s="24"/>
      <c r="E13" s="24"/>
    </row>
    <row r="14" spans="1:5" ht="20.25" customHeight="1" x14ac:dyDescent="0.15">
      <c r="A14" s="71" t="s">
        <v>151</v>
      </c>
      <c r="B14" s="72">
        <f>'Bill - Table 1'!E11</f>
        <v>73</v>
      </c>
      <c r="C14" s="73">
        <f t="shared" si="0"/>
        <v>0.13191181785327069</v>
      </c>
      <c r="D14" s="74"/>
      <c r="E14" s="74"/>
    </row>
    <row r="15" spans="1:5" ht="20.25" customHeight="1" x14ac:dyDescent="0.15">
      <c r="A15" s="75" t="s">
        <v>180</v>
      </c>
      <c r="B15" s="76">
        <f>SUM(B2:B14)</f>
        <v>553.4</v>
      </c>
      <c r="C15" s="13"/>
      <c r="D15" s="13"/>
      <c r="E15" s="13"/>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5"/>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16.33203125" defaultRowHeight="20" customHeight="1" x14ac:dyDescent="0.15"/>
  <cols>
    <col min="1" max="6" width="16.33203125" style="77" customWidth="1"/>
    <col min="7" max="16384" width="16.33203125" style="77"/>
  </cols>
  <sheetData>
    <row r="1" spans="1:5" ht="20.25" customHeight="1" x14ac:dyDescent="0.15">
      <c r="A1" s="2" t="s">
        <v>168</v>
      </c>
      <c r="B1" s="2" t="s">
        <v>169</v>
      </c>
      <c r="C1" s="2" t="s">
        <v>170</v>
      </c>
      <c r="D1" s="3"/>
      <c r="E1" s="3"/>
    </row>
    <row r="2" spans="1:5" ht="32.25" customHeight="1" x14ac:dyDescent="0.15">
      <c r="A2" s="17" t="s">
        <v>171</v>
      </c>
      <c r="B2" s="62">
        <v>122</v>
      </c>
      <c r="C2" s="19">
        <f t="shared" ref="C2:C12" si="0">B2/B$15*(1-C$13-C$14)</f>
        <v>0.17085290928803762</v>
      </c>
      <c r="D2" s="20"/>
      <c r="E2" s="20"/>
    </row>
    <row r="3" spans="1:5" ht="20" customHeight="1" x14ac:dyDescent="0.15">
      <c r="A3" s="21" t="s">
        <v>172</v>
      </c>
      <c r="B3" s="66">
        <v>66</v>
      </c>
      <c r="C3" s="23">
        <f t="shared" si="0"/>
        <v>9.2428623057462966E-2</v>
      </c>
      <c r="D3" s="24"/>
      <c r="E3" s="24"/>
    </row>
    <row r="4" spans="1:5" ht="20" customHeight="1" x14ac:dyDescent="0.15">
      <c r="A4" s="21" t="s">
        <v>181</v>
      </c>
      <c r="B4" s="66">
        <v>39.200000000000003</v>
      </c>
      <c r="C4" s="23">
        <f t="shared" si="0"/>
        <v>5.489700036140225E-2</v>
      </c>
      <c r="D4" s="24"/>
      <c r="E4" s="24"/>
    </row>
    <row r="5" spans="1:5" ht="20" customHeight="1" x14ac:dyDescent="0.15">
      <c r="A5" s="21" t="s">
        <v>174</v>
      </c>
      <c r="B5" s="66">
        <v>7.5</v>
      </c>
      <c r="C5" s="23">
        <f t="shared" si="0"/>
        <v>1.0503252620166246E-2</v>
      </c>
      <c r="D5" s="24"/>
      <c r="E5" s="24"/>
    </row>
    <row r="6" spans="1:5" ht="20" customHeight="1" x14ac:dyDescent="0.15">
      <c r="A6" s="21" t="s">
        <v>182</v>
      </c>
      <c r="B6" s="66">
        <v>7.5</v>
      </c>
      <c r="C6" s="23">
        <f t="shared" si="0"/>
        <v>1.0503252620166246E-2</v>
      </c>
      <c r="D6" s="24"/>
      <c r="E6" s="24"/>
    </row>
    <row r="7" spans="1:5" ht="20" customHeight="1" x14ac:dyDescent="0.15">
      <c r="A7" s="21" t="s">
        <v>165</v>
      </c>
      <c r="B7" s="66">
        <v>25</v>
      </c>
      <c r="C7" s="23">
        <f t="shared" si="0"/>
        <v>3.501084206722082E-2</v>
      </c>
      <c r="D7" s="24"/>
      <c r="E7" s="24"/>
    </row>
    <row r="8" spans="1:5" ht="20" customHeight="1" x14ac:dyDescent="0.15">
      <c r="A8" s="21" t="s">
        <v>167</v>
      </c>
      <c r="B8" s="66">
        <v>17</v>
      </c>
      <c r="C8" s="23">
        <f t="shared" si="0"/>
        <v>2.3807372605710156E-2</v>
      </c>
      <c r="D8" s="24"/>
      <c r="E8" s="24"/>
    </row>
    <row r="9" spans="1:5" ht="20" customHeight="1" x14ac:dyDescent="0.15">
      <c r="A9" s="21" t="s">
        <v>183</v>
      </c>
      <c r="B9" s="66">
        <v>65</v>
      </c>
      <c r="C9" s="23">
        <f t="shared" si="0"/>
        <v>9.1028189374774138E-2</v>
      </c>
      <c r="D9" s="24"/>
      <c r="E9" s="24"/>
    </row>
    <row r="10" spans="1:5" ht="20" customHeight="1" x14ac:dyDescent="0.15">
      <c r="A10" s="21" t="s">
        <v>155</v>
      </c>
      <c r="B10" s="66">
        <v>68</v>
      </c>
      <c r="C10" s="23">
        <f t="shared" si="0"/>
        <v>9.5229490422840624E-2</v>
      </c>
      <c r="D10" s="24"/>
      <c r="E10" s="24"/>
    </row>
    <row r="11" spans="1:5" ht="32" customHeight="1" x14ac:dyDescent="0.15">
      <c r="A11" s="21" t="s">
        <v>178</v>
      </c>
      <c r="B11" s="66">
        <v>63</v>
      </c>
      <c r="C11" s="23">
        <f t="shared" si="0"/>
        <v>8.8227322009396467E-2</v>
      </c>
      <c r="D11" s="24"/>
      <c r="E11" s="24"/>
    </row>
    <row r="12" spans="1:5" ht="20" customHeight="1" x14ac:dyDescent="0.15">
      <c r="A12" s="21" t="s">
        <v>151</v>
      </c>
      <c r="B12" s="66">
        <v>73</v>
      </c>
      <c r="C12" s="23">
        <f t="shared" si="0"/>
        <v>0.10223165883628479</v>
      </c>
      <c r="D12" s="24"/>
      <c r="E12" s="24"/>
    </row>
    <row r="13" spans="1:5" ht="32" customHeight="1" x14ac:dyDescent="0.15">
      <c r="A13" s="21" t="s">
        <v>184</v>
      </c>
      <c r="B13" s="66"/>
      <c r="C13" s="23">
        <v>0.15</v>
      </c>
      <c r="D13" s="24"/>
      <c r="E13" s="24"/>
    </row>
    <row r="14" spans="1:5" ht="32.25" customHeight="1" x14ac:dyDescent="0.15">
      <c r="A14" s="71" t="s">
        <v>185</v>
      </c>
      <c r="B14" s="72"/>
      <c r="C14" s="73">
        <v>7.4999999999999997E-2</v>
      </c>
      <c r="D14" s="74"/>
      <c r="E14" s="74"/>
    </row>
    <row r="15" spans="1:5" ht="20.25" customHeight="1" x14ac:dyDescent="0.15">
      <c r="A15" s="75" t="s">
        <v>180</v>
      </c>
      <c r="B15" s="76">
        <v>553.4</v>
      </c>
      <c r="C15" s="78">
        <f>SUM(C2:C14)</f>
        <v>0.99971991326346232</v>
      </c>
      <c r="D15" s="13"/>
      <c r="E15" s="13"/>
    </row>
  </sheetData>
  <pageMargins left="1" right="1" top="1" bottom="1" header="0.25" footer="0.2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41"/>
  <sheetViews>
    <sheetView showGridLines="0" workbookViewId="0">
      <pane xSplit="4" ySplit="1" topLeftCell="E2" activePane="bottomRight" state="frozen"/>
      <selection pane="topRight"/>
      <selection pane="bottomLeft"/>
      <selection pane="bottomRight" activeCell="D61" sqref="D61"/>
    </sheetView>
  </sheetViews>
  <sheetFormatPr baseColWidth="10" defaultColWidth="16.33203125" defaultRowHeight="20" customHeight="1" x14ac:dyDescent="0.15"/>
  <cols>
    <col min="1" max="1" width="20.33203125" style="79" customWidth="1"/>
    <col min="2" max="2" width="23" style="79" customWidth="1"/>
    <col min="3" max="3" width="16.33203125" style="79" customWidth="1"/>
    <col min="4" max="4" width="43.6640625" style="79" customWidth="1"/>
    <col min="5" max="12" width="16.33203125" style="79" customWidth="1"/>
    <col min="13" max="16384" width="16.33203125" style="79"/>
  </cols>
  <sheetData>
    <row r="1" spans="1:11" ht="32.25" customHeight="1" x14ac:dyDescent="0.15">
      <c r="A1" s="2" t="s">
        <v>168</v>
      </c>
      <c r="B1" s="2" t="s">
        <v>186</v>
      </c>
      <c r="C1" s="2" t="s">
        <v>0</v>
      </c>
      <c r="D1" s="2" t="s">
        <v>1</v>
      </c>
      <c r="E1" s="2" t="s">
        <v>3</v>
      </c>
      <c r="F1" s="2" t="s">
        <v>187</v>
      </c>
      <c r="G1" s="2" t="s">
        <v>188</v>
      </c>
      <c r="H1" s="2" t="s">
        <v>189</v>
      </c>
      <c r="I1" s="2" t="s">
        <v>190</v>
      </c>
      <c r="J1" s="2" t="s">
        <v>191</v>
      </c>
      <c r="K1" s="2" t="s">
        <v>192</v>
      </c>
    </row>
    <row r="2" spans="1:11" ht="20.25" customHeight="1" x14ac:dyDescent="0.15">
      <c r="A2" s="4" t="s">
        <v>193</v>
      </c>
      <c r="B2" s="4" t="s">
        <v>7</v>
      </c>
      <c r="C2" s="4" t="s">
        <v>48</v>
      </c>
      <c r="D2" s="4" t="e" vm="1">
        <v>#VALUE!</v>
      </c>
      <c r="E2" s="80">
        <v>9037008896</v>
      </c>
      <c r="F2" s="19">
        <v>0.76100000000000001</v>
      </c>
      <c r="G2" s="6">
        <f>'Category Weightings'!C7/SUM('Category Weightings'!C2,'Category Weightings'!C3,'Category Weightings'!C4,'Category Weightings'!C7,'Category Weightings'!C8,'Category Weightings'!C10,'Category Weightings'!C12,'Category Weightings'!C11)</f>
        <v>5.2831783601014377E-2</v>
      </c>
      <c r="H2" s="6">
        <f t="shared" ref="H2:H115" si="0">22/54</f>
        <v>0.40740740740740738</v>
      </c>
      <c r="I2" s="81">
        <f t="shared" ref="I2:I33" si="1">H2*G2*F2*100</f>
        <v>1.637980964904042</v>
      </c>
      <c r="J2" s="82" t="s">
        <v>194</v>
      </c>
      <c r="K2" s="38">
        <f>IF(J2="US",I2,I2*0.9)</f>
        <v>1.637980964904042</v>
      </c>
    </row>
    <row r="3" spans="1:11" ht="20" customHeight="1" x14ac:dyDescent="0.15">
      <c r="A3" s="7" t="s">
        <v>193</v>
      </c>
      <c r="B3" s="7" t="s">
        <v>7</v>
      </c>
      <c r="C3" s="7" t="s">
        <v>5</v>
      </c>
      <c r="D3" s="7" t="e" vm="2">
        <v>#VALUE!</v>
      </c>
      <c r="E3" s="83">
        <v>1801669888</v>
      </c>
      <c r="F3" s="9">
        <f t="shared" ref="F3:F106" si="2">(2017989+723391)/3562459</f>
        <v>0.76951903165762747</v>
      </c>
      <c r="G3" s="9">
        <f>'Category Weightings'!C7/SUM('Category Weightings'!C2,'Category Weightings'!C3,'Category Weightings'!C4,'Category Weightings'!C7,'Category Weightings'!C8)</f>
        <v>9.2867756315007433E-2</v>
      </c>
      <c r="H3" s="9">
        <v>1</v>
      </c>
      <c r="I3" s="84">
        <f t="shared" si="1"/>
        <v>7.1463505911741043</v>
      </c>
      <c r="J3" s="85" t="s">
        <v>194</v>
      </c>
      <c r="K3" s="86">
        <f>IF(J3="US",I3,I3*0.9)*0.7</f>
        <v>5.0024454138218726</v>
      </c>
    </row>
    <row r="4" spans="1:11" ht="20" customHeight="1" x14ac:dyDescent="0.15">
      <c r="A4" s="7" t="s">
        <v>193</v>
      </c>
      <c r="B4" s="7" t="s">
        <v>7</v>
      </c>
      <c r="C4" s="7" t="s">
        <v>12</v>
      </c>
      <c r="D4" s="7" t="e" vm="3">
        <v>#VALUE!</v>
      </c>
      <c r="E4" s="83">
        <v>1538160000</v>
      </c>
      <c r="F4" s="9">
        <f t="shared" ref="F4:F128" si="3">352962/659296</f>
        <v>0.53536196185021601</v>
      </c>
      <c r="G4" s="9">
        <f>'Category Weightings'!C7/SUM('Category Weightings'!C7,'Category Weightings'!C11,'Category Weightings'!C12,'Category Weightings'!C3,'Category Weightings'!C4,'Category Weightings'!C10,'Category Weightings'!C2)</f>
        <v>5.4800526085050413E-2</v>
      </c>
      <c r="H4" s="9">
        <v>1</v>
      </c>
      <c r="I4" s="84">
        <f t="shared" si="1"/>
        <v>2.9338117155316525</v>
      </c>
      <c r="J4" s="85" t="s">
        <v>194</v>
      </c>
      <c r="K4" s="86">
        <f t="shared" ref="K4:K29" si="4">IF(J4="US",I4,I4*0.9)</f>
        <v>2.9338117155316525</v>
      </c>
    </row>
    <row r="5" spans="1:11" ht="20" customHeight="1" x14ac:dyDescent="0.15">
      <c r="A5" s="7" t="s">
        <v>193</v>
      </c>
      <c r="B5" s="7" t="s">
        <v>7</v>
      </c>
      <c r="C5" s="7" t="s">
        <v>22</v>
      </c>
      <c r="D5" s="7" t="e" vm="4">
        <v>#VALUE!</v>
      </c>
      <c r="E5" s="83">
        <v>1347578496</v>
      </c>
      <c r="F5" s="9">
        <f t="shared" ref="F5:F110" si="5">433460/3491497</f>
        <v>0.12414732133523243</v>
      </c>
      <c r="G5" s="9">
        <f>'Category Weightings'!C7/SUM('Category Weightings'!C2,'Category Weightings'!C7,'Category Weightings'!C10)</f>
        <v>0.11627906976744186</v>
      </c>
      <c r="H5" s="9">
        <v>1</v>
      </c>
      <c r="I5" s="84">
        <f t="shared" si="1"/>
        <v>1.4435735038980515</v>
      </c>
      <c r="J5" s="85" t="s">
        <v>194</v>
      </c>
      <c r="K5" s="86">
        <f t="shared" si="4"/>
        <v>1.4435735038980515</v>
      </c>
    </row>
    <row r="6" spans="1:11" ht="20" customHeight="1" x14ac:dyDescent="0.15">
      <c r="A6" s="7" t="s">
        <v>193</v>
      </c>
      <c r="B6" s="7" t="s">
        <v>7</v>
      </c>
      <c r="C6" s="7" t="s">
        <v>42</v>
      </c>
      <c r="D6" s="7" t="e" vm="5">
        <v>#VALUE!</v>
      </c>
      <c r="E6" s="83">
        <v>5269383168</v>
      </c>
      <c r="F6" s="9">
        <f t="shared" ref="F6:F111" si="6">1345.9/4730.1</f>
        <v>0.28453943891249656</v>
      </c>
      <c r="G6" s="9">
        <f>'Category Weightings'!C7/SUM('Category Weightings'!C7,'Category Weightings'!C4,'Category Weightings'!C12,'Category Weightings'!C2,'Category Weightings'!C8)</f>
        <v>9.0514120202751625E-2</v>
      </c>
      <c r="H6" s="9">
        <f t="shared" ref="H6:H132" si="7">2675.1/4730.1</f>
        <v>0.56554829707617171</v>
      </c>
      <c r="I6" s="84">
        <f t="shared" si="1"/>
        <v>1.4565604193335608</v>
      </c>
      <c r="J6" s="85" t="s">
        <v>195</v>
      </c>
      <c r="K6" s="86">
        <f t="shared" si="4"/>
        <v>1.3109043774002047</v>
      </c>
    </row>
    <row r="7" spans="1:11" ht="20" customHeight="1" x14ac:dyDescent="0.15">
      <c r="A7" s="7" t="s">
        <v>193</v>
      </c>
      <c r="B7" s="7" t="s">
        <v>7</v>
      </c>
      <c r="C7" s="7" t="s">
        <v>14</v>
      </c>
      <c r="D7" s="7" t="e" vm="6">
        <v>#VALUE!</v>
      </c>
      <c r="E7" s="83">
        <v>634830272</v>
      </c>
      <c r="F7" s="9">
        <f t="shared" ref="F7:F133" si="8">753824/1427412</f>
        <v>0.52810541035104086</v>
      </c>
      <c r="G7" s="9">
        <f>'Category Weightings'!C7/SUM('Category Weightings'!C7,'Category Weightings'!C2,'Category Weightings'!C4,'Category Weightings'!C8,'Category Weightings'!C11)</f>
        <v>9.391435011269722E-2</v>
      </c>
      <c r="H7" s="9">
        <v>1</v>
      </c>
      <c r="I7" s="84">
        <f t="shared" si="1"/>
        <v>4.9596676404117286</v>
      </c>
      <c r="J7" s="85" t="s">
        <v>194</v>
      </c>
      <c r="K7" s="86">
        <f t="shared" si="4"/>
        <v>4.9596676404117286</v>
      </c>
    </row>
    <row r="8" spans="1:11" ht="20" customHeight="1" x14ac:dyDescent="0.15">
      <c r="A8" s="7" t="s">
        <v>193</v>
      </c>
      <c r="B8" s="7" t="s">
        <v>7</v>
      </c>
      <c r="C8" s="7" t="s">
        <v>10</v>
      </c>
      <c r="D8" s="7" t="e" vm="7">
        <v>#VALUE!</v>
      </c>
      <c r="E8" s="83">
        <v>706839232</v>
      </c>
      <c r="F8" s="9">
        <f t="shared" ref="F8:F102" si="9">155398/5318763</f>
        <v>2.9216943864579039E-2</v>
      </c>
      <c r="G8" s="9">
        <f>'Category Weightings'!C7/SUM('Category Weightings'!C8,'Category Weightings'!C7,'Category Weightings'!C3)</f>
        <v>0.23148148148148148</v>
      </c>
      <c r="H8" s="9">
        <f t="shared" ref="H8:H134" si="10">4953045/5318763</f>
        <v>0.93124002705140274</v>
      </c>
      <c r="I8" s="84">
        <f t="shared" si="1"/>
        <v>0.62981452765763657</v>
      </c>
      <c r="J8" s="85" t="s">
        <v>194</v>
      </c>
      <c r="K8" s="86">
        <f t="shared" si="4"/>
        <v>0.62981452765763657</v>
      </c>
    </row>
    <row r="9" spans="1:11" ht="20" customHeight="1" x14ac:dyDescent="0.15">
      <c r="A9" s="7" t="s">
        <v>193</v>
      </c>
      <c r="B9" s="7" t="s">
        <v>7</v>
      </c>
      <c r="C9" s="7" t="s">
        <v>24</v>
      </c>
      <c r="D9" s="7" t="e" vm="8">
        <v>#VALUE!</v>
      </c>
      <c r="E9" s="87">
        <v>18846382080</v>
      </c>
      <c r="F9" s="9">
        <f t="shared" ref="F9:F136" si="11">4878.2/8803.9</f>
        <v>0.55409534410886085</v>
      </c>
      <c r="G9" s="9">
        <f>'Category Weightings'!C7/SUM('Category Weightings'!C2,'Category Weightings'!C3,'Category Weightings'!C4,'Category Weightings'!C7,'Category Weightings'!C8,'Category Weightings'!C11)</f>
        <v>7.5255869957856714E-2</v>
      </c>
      <c r="H9" s="9">
        <f t="shared" ref="H9:H136" si="12">3284.1/8803.9</f>
        <v>0.37302786265177934</v>
      </c>
      <c r="I9" s="84">
        <f t="shared" si="1"/>
        <v>1.5554861673557387</v>
      </c>
      <c r="J9" s="85" t="s">
        <v>195</v>
      </c>
      <c r="K9" s="86">
        <f t="shared" si="4"/>
        <v>1.399937550620165</v>
      </c>
    </row>
    <row r="10" spans="1:11" ht="20" customHeight="1" x14ac:dyDescent="0.15">
      <c r="A10" s="7" t="s">
        <v>183</v>
      </c>
      <c r="B10" s="7" t="s">
        <v>28</v>
      </c>
      <c r="C10" s="7" t="s">
        <v>74</v>
      </c>
      <c r="D10" s="7" t="e" vm="9">
        <v>#VALUE!</v>
      </c>
      <c r="E10" s="83">
        <v>1126148224</v>
      </c>
      <c r="F10" s="9">
        <f>(506510-22285)/506510</f>
        <v>0.95600284298434379</v>
      </c>
      <c r="G10" s="9">
        <v>1</v>
      </c>
      <c r="H10" s="9">
        <f>352079/506510</f>
        <v>0.69510769777496995</v>
      </c>
      <c r="I10" s="84">
        <f t="shared" si="1"/>
        <v>66.452493525317323</v>
      </c>
      <c r="J10" s="85" t="s">
        <v>194</v>
      </c>
      <c r="K10" s="86">
        <f t="shared" si="4"/>
        <v>66.452493525317323</v>
      </c>
    </row>
    <row r="11" spans="1:11" ht="20" customHeight="1" x14ac:dyDescent="0.15">
      <c r="A11" s="7" t="s">
        <v>183</v>
      </c>
      <c r="B11" s="7" t="s">
        <v>35</v>
      </c>
      <c r="C11" s="7" t="s">
        <v>196</v>
      </c>
      <c r="D11" s="7" t="e" vm="10">
        <v>#VALUE!</v>
      </c>
      <c r="E11" s="83">
        <v>2411772672</v>
      </c>
      <c r="F11" s="9">
        <f>432262/1862716</f>
        <v>0.23206006712778546</v>
      </c>
      <c r="G11" s="9">
        <v>1</v>
      </c>
      <c r="H11" s="9">
        <f>1015340/1862716</f>
        <v>0.54508577797152113</v>
      </c>
      <c r="I11" s="84">
        <f t="shared" si="1"/>
        <v>12.649264222647236</v>
      </c>
      <c r="J11" s="85" t="s">
        <v>194</v>
      </c>
      <c r="K11" s="86">
        <f t="shared" si="4"/>
        <v>12.649264222647236</v>
      </c>
    </row>
    <row r="12" spans="1:11" ht="20" customHeight="1" x14ac:dyDescent="0.15">
      <c r="A12" s="7" t="s">
        <v>183</v>
      </c>
      <c r="B12" s="7" t="s">
        <v>35</v>
      </c>
      <c r="C12" s="7" t="s">
        <v>125</v>
      </c>
      <c r="D12" s="7" t="e" vm="11">
        <v>#VALUE!</v>
      </c>
      <c r="E12" s="83">
        <v>577314624</v>
      </c>
      <c r="F12" s="9">
        <f>(393246-7348-111255)/393246</f>
        <v>0.69839998372519996</v>
      </c>
      <c r="G12" s="9">
        <v>1</v>
      </c>
      <c r="H12" s="9">
        <f>127217/393246</f>
        <v>0.32350487989706189</v>
      </c>
      <c r="I12" s="84">
        <f t="shared" si="1"/>
        <v>22.593580285513077</v>
      </c>
      <c r="J12" s="85" t="s">
        <v>194</v>
      </c>
      <c r="K12" s="86">
        <f t="shared" si="4"/>
        <v>22.593580285513077</v>
      </c>
    </row>
    <row r="13" spans="1:11" ht="20" customHeight="1" x14ac:dyDescent="0.15">
      <c r="A13" s="7" t="s">
        <v>183</v>
      </c>
      <c r="B13" s="7" t="s">
        <v>35</v>
      </c>
      <c r="C13" s="7" t="s">
        <v>131</v>
      </c>
      <c r="D13" s="7" t="e" vm="12">
        <v>#VALUE!</v>
      </c>
      <c r="E13" s="83">
        <v>2967055104</v>
      </c>
      <c r="F13" s="9">
        <v>0.34300000000000003</v>
      </c>
      <c r="G13" s="9">
        <v>1</v>
      </c>
      <c r="H13" s="9">
        <f>5185.3/8435.9</f>
        <v>0.61467063383871312</v>
      </c>
      <c r="I13" s="84">
        <f t="shared" si="1"/>
        <v>21.083202740667861</v>
      </c>
      <c r="J13" s="85" t="s">
        <v>194</v>
      </c>
      <c r="K13" s="86">
        <f t="shared" si="4"/>
        <v>21.083202740667861</v>
      </c>
    </row>
    <row r="14" spans="1:11" ht="20" customHeight="1" x14ac:dyDescent="0.15">
      <c r="A14" s="7" t="s">
        <v>183</v>
      </c>
      <c r="B14" s="7" t="s">
        <v>28</v>
      </c>
      <c r="C14" s="7" t="s">
        <v>95</v>
      </c>
      <c r="D14" s="7" t="e" vm="13">
        <v>#VALUE!</v>
      </c>
      <c r="E14" s="83">
        <v>236037341184</v>
      </c>
      <c r="F14" s="9">
        <v>1</v>
      </c>
      <c r="G14" s="9">
        <v>1</v>
      </c>
      <c r="H14" s="9">
        <f>26100/49301</f>
        <v>0.52940102634834996</v>
      </c>
      <c r="I14" s="84">
        <f t="shared" si="1"/>
        <v>52.940102634834993</v>
      </c>
      <c r="J14" s="85" t="s">
        <v>194</v>
      </c>
      <c r="K14" s="86">
        <f t="shared" si="4"/>
        <v>52.940102634834993</v>
      </c>
    </row>
    <row r="15" spans="1:11" ht="20" customHeight="1" x14ac:dyDescent="0.15">
      <c r="A15" s="7" t="s">
        <v>183</v>
      </c>
      <c r="B15" s="7" t="s">
        <v>7</v>
      </c>
      <c r="C15" s="7" t="s">
        <v>52</v>
      </c>
      <c r="D15" s="7" t="e" vm="14">
        <v>#VALUE!</v>
      </c>
      <c r="E15" s="83">
        <v>2162203648</v>
      </c>
      <c r="F15" s="9">
        <v>1</v>
      </c>
      <c r="G15" s="9">
        <v>1</v>
      </c>
      <c r="H15" s="9">
        <v>1</v>
      </c>
      <c r="I15" s="84">
        <f t="shared" si="1"/>
        <v>100</v>
      </c>
      <c r="J15" s="85" t="s">
        <v>194</v>
      </c>
      <c r="K15" s="86">
        <f t="shared" si="4"/>
        <v>100</v>
      </c>
    </row>
    <row r="16" spans="1:11" ht="20" customHeight="1" x14ac:dyDescent="0.15">
      <c r="A16" s="7" t="s">
        <v>183</v>
      </c>
      <c r="B16" s="7" t="s">
        <v>35</v>
      </c>
      <c r="C16" s="7" t="s">
        <v>197</v>
      </c>
      <c r="D16" s="7" t="e" vm="15">
        <v>#VALUE!</v>
      </c>
      <c r="E16" s="83">
        <v>34477268992</v>
      </c>
      <c r="F16" s="9">
        <f>3563/11303</f>
        <v>0.31522604618242944</v>
      </c>
      <c r="G16" s="9">
        <v>1</v>
      </c>
      <c r="H16" s="9">
        <f>3412/11452</f>
        <v>0.29793922458959132</v>
      </c>
      <c r="I16" s="84">
        <f t="shared" si="1"/>
        <v>9.3918203770035742</v>
      </c>
      <c r="J16" s="85" t="s">
        <v>194</v>
      </c>
      <c r="K16" s="86">
        <f t="shared" si="4"/>
        <v>9.3918203770035742</v>
      </c>
    </row>
    <row r="17" spans="1:11" ht="20" customHeight="1" x14ac:dyDescent="0.15">
      <c r="A17" s="7" t="s">
        <v>183</v>
      </c>
      <c r="B17" s="7" t="s">
        <v>28</v>
      </c>
      <c r="C17" s="7" t="s">
        <v>101</v>
      </c>
      <c r="D17" s="7" t="e" vm="16">
        <v>#VALUE!</v>
      </c>
      <c r="E17" s="83">
        <v>9234316288</v>
      </c>
      <c r="F17" s="9">
        <v>1</v>
      </c>
      <c r="G17" s="9">
        <v>1</v>
      </c>
      <c r="H17" s="9">
        <f>2233.9/4445.1</f>
        <v>0.50255337337742678</v>
      </c>
      <c r="I17" s="84">
        <f t="shared" si="1"/>
        <v>50.255337337742681</v>
      </c>
      <c r="J17" s="85" t="s">
        <v>194</v>
      </c>
      <c r="K17" s="86">
        <f t="shared" si="4"/>
        <v>50.255337337742681</v>
      </c>
    </row>
    <row r="18" spans="1:11" ht="20" customHeight="1" x14ac:dyDescent="0.15">
      <c r="A18" s="7" t="s">
        <v>183</v>
      </c>
      <c r="B18" s="7" t="s">
        <v>7</v>
      </c>
      <c r="C18" s="7" t="s">
        <v>64</v>
      </c>
      <c r="D18" s="7" t="e" vm="17">
        <v>#VALUE!</v>
      </c>
      <c r="E18" s="83">
        <v>6752251392</v>
      </c>
      <c r="F18" s="9">
        <f>2512.2/6321</f>
        <v>0.39743711438063595</v>
      </c>
      <c r="G18" s="9">
        <v>1</v>
      </c>
      <c r="H18" s="9">
        <f t="shared" ref="H18:H138" si="13">6200/6321</f>
        <v>0.9808574592627749</v>
      </c>
      <c r="I18" s="84">
        <f t="shared" si="1"/>
        <v>38.98291582281194</v>
      </c>
      <c r="J18" s="85" t="s">
        <v>194</v>
      </c>
      <c r="K18" s="86">
        <f t="shared" si="4"/>
        <v>38.98291582281194</v>
      </c>
    </row>
    <row r="19" spans="1:11" ht="20" customHeight="1" x14ac:dyDescent="0.15">
      <c r="A19" s="7" t="s">
        <v>183</v>
      </c>
      <c r="B19" s="7" t="s">
        <v>28</v>
      </c>
      <c r="C19" s="7" t="s">
        <v>198</v>
      </c>
      <c r="D19" s="7" t="e" vm="18">
        <v>#VALUE!</v>
      </c>
      <c r="E19" s="83">
        <v>34244278272</v>
      </c>
      <c r="F19" s="9">
        <f>(16847-10630)/21852</f>
        <v>0.28450485081457078</v>
      </c>
      <c r="G19" s="9">
        <v>1</v>
      </c>
      <c r="H19" s="9">
        <f>6751/21852</f>
        <v>0.30894197327475748</v>
      </c>
      <c r="I19" s="84">
        <f t="shared" si="1"/>
        <v>8.7895490016893998</v>
      </c>
      <c r="J19" s="85" t="s">
        <v>199</v>
      </c>
      <c r="K19" s="86">
        <f t="shared" si="4"/>
        <v>7.9105941015204602</v>
      </c>
    </row>
    <row r="20" spans="1:11" ht="20" customHeight="1" x14ac:dyDescent="0.15">
      <c r="A20" s="7" t="s">
        <v>183</v>
      </c>
      <c r="B20" s="7" t="s">
        <v>35</v>
      </c>
      <c r="C20" s="7" t="s">
        <v>60</v>
      </c>
      <c r="D20" s="7" t="e" vm="19">
        <v>#VALUE!</v>
      </c>
      <c r="E20" s="83">
        <v>27808284</v>
      </c>
      <c r="F20" s="9">
        <v>1</v>
      </c>
      <c r="G20" s="9">
        <v>1</v>
      </c>
      <c r="H20" s="9">
        <f>44661958/55277400</f>
        <v>0.807960540835857</v>
      </c>
      <c r="I20" s="84">
        <f t="shared" si="1"/>
        <v>80.796054083585702</v>
      </c>
      <c r="J20" s="85" t="s">
        <v>194</v>
      </c>
      <c r="K20" s="86">
        <f t="shared" si="4"/>
        <v>80.796054083585702</v>
      </c>
    </row>
    <row r="21" spans="1:11" ht="20" customHeight="1" x14ac:dyDescent="0.15">
      <c r="A21" s="7" t="s">
        <v>183</v>
      </c>
      <c r="B21" s="7" t="s">
        <v>7</v>
      </c>
      <c r="C21" s="7" t="s">
        <v>20</v>
      </c>
      <c r="D21" s="7" t="e" vm="20">
        <v>#VALUE!</v>
      </c>
      <c r="E21" s="83">
        <v>13226397696</v>
      </c>
      <c r="F21" s="9">
        <f>(7773343-7600)/(11202672-7600)</f>
        <v>0.69367512777050477</v>
      </c>
      <c r="G21" s="9">
        <f>'Category Weightings'!C9/SUM('Category Weightings'!C9,'Category Weightings'!C12)</f>
        <v>0.47101449275362323</v>
      </c>
      <c r="H21" s="9">
        <v>1</v>
      </c>
      <c r="I21" s="84">
        <f t="shared" si="1"/>
        <v>32.673103844262904</v>
      </c>
      <c r="J21" s="85" t="s">
        <v>194</v>
      </c>
      <c r="K21" s="86">
        <f t="shared" si="4"/>
        <v>32.673103844262904</v>
      </c>
    </row>
    <row r="22" spans="1:11" ht="20" customHeight="1" x14ac:dyDescent="0.15">
      <c r="A22" s="7" t="s">
        <v>183</v>
      </c>
      <c r="B22" s="7" t="s">
        <v>35</v>
      </c>
      <c r="C22" s="7" t="s">
        <v>85</v>
      </c>
      <c r="D22" s="7" t="e" vm="21">
        <v>#VALUE!</v>
      </c>
      <c r="E22" s="83">
        <v>80426072</v>
      </c>
      <c r="F22" s="9">
        <f>28490/43044</f>
        <v>0.661880866090512</v>
      </c>
      <c r="G22" s="9">
        <v>1</v>
      </c>
      <c r="H22" s="9">
        <f>41633/43044</f>
        <v>0.96721958925750395</v>
      </c>
      <c r="I22" s="84">
        <f t="shared" si="1"/>
        <v>64.018413943746594</v>
      </c>
      <c r="J22" s="85" t="s">
        <v>194</v>
      </c>
      <c r="K22" s="86">
        <f t="shared" si="4"/>
        <v>64.018413943746594</v>
      </c>
    </row>
    <row r="23" spans="1:11" ht="20" customHeight="1" x14ac:dyDescent="0.15">
      <c r="A23" s="7" t="s">
        <v>183</v>
      </c>
      <c r="B23" s="7" t="s">
        <v>28</v>
      </c>
      <c r="C23" s="7" t="s">
        <v>200</v>
      </c>
      <c r="D23" s="7" t="e" vm="22">
        <v>#VALUE!</v>
      </c>
      <c r="E23" s="83">
        <v>18986817536</v>
      </c>
      <c r="F23" s="9">
        <f>442023/1284500</f>
        <v>0.34412066952121451</v>
      </c>
      <c r="G23" s="9">
        <v>1</v>
      </c>
      <c r="H23" s="9">
        <f>539000/1284500</f>
        <v>0.4196185286103542</v>
      </c>
      <c r="I23" s="84">
        <f t="shared" si="1"/>
        <v>14.4399409008902</v>
      </c>
      <c r="J23" s="85" t="s">
        <v>194</v>
      </c>
      <c r="K23" s="86">
        <f t="shared" si="4"/>
        <v>14.4399409008902</v>
      </c>
    </row>
    <row r="24" spans="1:11" ht="20" customHeight="1" x14ac:dyDescent="0.15">
      <c r="A24" s="7" t="s">
        <v>183</v>
      </c>
      <c r="B24" s="7" t="s">
        <v>28</v>
      </c>
      <c r="C24" s="7" t="s">
        <v>127</v>
      </c>
      <c r="D24" s="7" t="e" vm="23">
        <v>#VALUE!</v>
      </c>
      <c r="E24" s="83">
        <v>3733668352</v>
      </c>
      <c r="F24" s="9">
        <f>849.4/1136.3</f>
        <v>0.74751386077620352</v>
      </c>
      <c r="G24" s="9">
        <v>1</v>
      </c>
      <c r="H24" s="9">
        <f>341.6/1136.3</f>
        <v>0.30062483499075954</v>
      </c>
      <c r="I24" s="84">
        <f t="shared" si="1"/>
        <v>22.47212310491518</v>
      </c>
      <c r="J24" s="85" t="s">
        <v>194</v>
      </c>
      <c r="K24" s="86">
        <f t="shared" si="4"/>
        <v>22.47212310491518</v>
      </c>
    </row>
    <row r="25" spans="1:11" ht="20" customHeight="1" x14ac:dyDescent="0.15">
      <c r="A25" s="7" t="s">
        <v>201</v>
      </c>
      <c r="B25" s="7" t="s">
        <v>35</v>
      </c>
      <c r="C25" s="7" t="s">
        <v>109</v>
      </c>
      <c r="D25" s="7" t="e" vm="24">
        <v>#VALUE!</v>
      </c>
      <c r="E25" s="83">
        <v>538206784</v>
      </c>
      <c r="F25" s="9">
        <f>1232203/3097328</f>
        <v>0.39782774055573061</v>
      </c>
      <c r="G25" s="9">
        <v>1</v>
      </c>
      <c r="H25" s="9">
        <v>0.97</v>
      </c>
      <c r="I25" s="84">
        <f t="shared" si="1"/>
        <v>38.589290833905871</v>
      </c>
      <c r="J25" s="85" t="s">
        <v>194</v>
      </c>
      <c r="K25" s="86">
        <f t="shared" si="4"/>
        <v>38.589290833905871</v>
      </c>
    </row>
    <row r="26" spans="1:11" ht="20" customHeight="1" x14ac:dyDescent="0.15">
      <c r="A26" s="7" t="s">
        <v>201</v>
      </c>
      <c r="B26" s="7" t="s">
        <v>35</v>
      </c>
      <c r="C26" s="7" t="s">
        <v>58</v>
      </c>
      <c r="D26" s="7" t="e" vm="25">
        <v>#VALUE!</v>
      </c>
      <c r="E26" s="83">
        <v>4071016960</v>
      </c>
      <c r="F26" s="9">
        <v>1</v>
      </c>
      <c r="G26" s="9">
        <v>1</v>
      </c>
      <c r="H26" s="9">
        <f>4769933/5476486*0.927</f>
        <v>0.80740239105879208</v>
      </c>
      <c r="I26" s="84">
        <f t="shared" si="1"/>
        <v>80.740239105879212</v>
      </c>
      <c r="J26" s="85" t="s">
        <v>194</v>
      </c>
      <c r="K26" s="86">
        <f t="shared" si="4"/>
        <v>80.740239105879212</v>
      </c>
    </row>
    <row r="27" spans="1:11" ht="20" customHeight="1" x14ac:dyDescent="0.15">
      <c r="A27" s="7" t="s">
        <v>201</v>
      </c>
      <c r="B27" s="7" t="s">
        <v>35</v>
      </c>
      <c r="C27" s="7" t="s">
        <v>113</v>
      </c>
      <c r="D27" s="7" t="e" vm="26">
        <v>#VALUE!</v>
      </c>
      <c r="E27" s="83">
        <v>40585150464</v>
      </c>
      <c r="F27" s="9">
        <v>1</v>
      </c>
      <c r="G27" s="9">
        <v>1</v>
      </c>
      <c r="H27" s="9">
        <f>9984/27449</f>
        <v>0.36372909759918393</v>
      </c>
      <c r="I27" s="84">
        <f t="shared" si="1"/>
        <v>36.372909759918393</v>
      </c>
      <c r="J27" s="85" t="s">
        <v>202</v>
      </c>
      <c r="K27" s="86">
        <f t="shared" si="4"/>
        <v>32.735618783926554</v>
      </c>
    </row>
    <row r="28" spans="1:11" ht="20" customHeight="1" x14ac:dyDescent="0.15">
      <c r="A28" s="7" t="s">
        <v>201</v>
      </c>
      <c r="B28" s="7" t="s">
        <v>35</v>
      </c>
      <c r="C28" s="7" t="s">
        <v>119</v>
      </c>
      <c r="D28" s="7" t="e" vm="27">
        <v>#VALUE!</v>
      </c>
      <c r="E28" s="83">
        <v>11576993792</v>
      </c>
      <c r="F28" s="9">
        <v>1</v>
      </c>
      <c r="G28" s="9">
        <v>1</v>
      </c>
      <c r="H28" s="9">
        <f>3994/13877</f>
        <v>0.28781436909994956</v>
      </c>
      <c r="I28" s="84">
        <f t="shared" si="1"/>
        <v>28.781436909994955</v>
      </c>
      <c r="J28" s="85" t="s">
        <v>203</v>
      </c>
      <c r="K28" s="86">
        <f t="shared" si="4"/>
        <v>25.903293218995461</v>
      </c>
    </row>
    <row r="29" spans="1:11" ht="20" customHeight="1" x14ac:dyDescent="0.15">
      <c r="A29" s="7" t="s">
        <v>201</v>
      </c>
      <c r="B29" s="7" t="s">
        <v>35</v>
      </c>
      <c r="C29" s="7" t="s">
        <v>62</v>
      </c>
      <c r="D29" s="7" t="e" vm="28">
        <v>#VALUE!</v>
      </c>
      <c r="E29" s="83">
        <v>6333411328</v>
      </c>
      <c r="F29" s="9">
        <f>(944556+168829)/1622642</f>
        <v>0.68615566465061306</v>
      </c>
      <c r="G29" s="9">
        <v>1</v>
      </c>
      <c r="H29" s="9">
        <v>1</v>
      </c>
      <c r="I29" s="84">
        <f t="shared" si="1"/>
        <v>68.615566465061306</v>
      </c>
      <c r="J29" s="85" t="s">
        <v>194</v>
      </c>
      <c r="K29" s="86">
        <f t="shared" si="4"/>
        <v>68.615566465061306</v>
      </c>
    </row>
    <row r="30" spans="1:11" ht="20" customHeight="1" x14ac:dyDescent="0.15">
      <c r="A30" s="7" t="s">
        <v>201</v>
      </c>
      <c r="B30" s="7" t="s">
        <v>35</v>
      </c>
      <c r="C30" s="7" t="s">
        <v>5</v>
      </c>
      <c r="D30" s="7" t="e" vm="2">
        <v>#VALUE!</v>
      </c>
      <c r="E30" s="83">
        <v>1801669888</v>
      </c>
      <c r="F30" s="9">
        <f>380762/3562459</f>
        <v>0.10688179148167039</v>
      </c>
      <c r="G30" s="9">
        <v>1</v>
      </c>
      <c r="H30" s="9">
        <v>1</v>
      </c>
      <c r="I30" s="84">
        <f t="shared" si="1"/>
        <v>10.688179148167039</v>
      </c>
      <c r="J30" s="85" t="s">
        <v>194</v>
      </c>
      <c r="K30" s="86">
        <f>IF(J30="US",I30,I30*0.9)*0.7</f>
        <v>7.4817254037169274</v>
      </c>
    </row>
    <row r="31" spans="1:11" ht="20" customHeight="1" x14ac:dyDescent="0.15">
      <c r="A31" s="7" t="s">
        <v>201</v>
      </c>
      <c r="B31" s="7" t="s">
        <v>35</v>
      </c>
      <c r="C31" s="7" t="s">
        <v>204</v>
      </c>
      <c r="D31" s="7" t="e" vm="29">
        <v>#VALUE!</v>
      </c>
      <c r="E31" s="26"/>
      <c r="F31" s="9">
        <v>1</v>
      </c>
      <c r="G31" s="9">
        <v>1</v>
      </c>
      <c r="H31" s="9">
        <f>3992/23142</f>
        <v>0.17250021605738483</v>
      </c>
      <c r="I31" s="84">
        <f t="shared" si="1"/>
        <v>17.250021605738482</v>
      </c>
      <c r="J31" s="85" t="s">
        <v>205</v>
      </c>
      <c r="K31" s="86">
        <f t="shared" ref="K31:K39" si="14">IF(J31="US",I31,I31*0.9)</f>
        <v>15.525019445164634</v>
      </c>
    </row>
    <row r="32" spans="1:11" ht="20" customHeight="1" x14ac:dyDescent="0.15">
      <c r="A32" s="7" t="s">
        <v>201</v>
      </c>
      <c r="B32" s="7" t="s">
        <v>35</v>
      </c>
      <c r="C32" s="7" t="s">
        <v>38</v>
      </c>
      <c r="D32" s="7" t="e" vm="30">
        <v>#VALUE!</v>
      </c>
      <c r="E32" s="83">
        <v>23539945472</v>
      </c>
      <c r="F32" s="9">
        <v>1</v>
      </c>
      <c r="G32" s="9">
        <v>1</v>
      </c>
      <c r="H32" s="9">
        <v>0.98499999999999999</v>
      </c>
      <c r="I32" s="84">
        <f t="shared" si="1"/>
        <v>98.5</v>
      </c>
      <c r="J32" s="85" t="s">
        <v>194</v>
      </c>
      <c r="K32" s="86">
        <f t="shared" si="14"/>
        <v>98.5</v>
      </c>
    </row>
    <row r="33" spans="1:11" ht="20" customHeight="1" x14ac:dyDescent="0.15">
      <c r="A33" s="7" t="s">
        <v>201</v>
      </c>
      <c r="B33" s="7" t="s">
        <v>35</v>
      </c>
      <c r="C33" s="7" t="s">
        <v>54</v>
      </c>
      <c r="D33" s="7" t="e" vm="31">
        <v>#VALUE!</v>
      </c>
      <c r="E33" s="83">
        <v>35117113344</v>
      </c>
      <c r="F33" s="9">
        <v>1</v>
      </c>
      <c r="G33" s="9">
        <v>1</v>
      </c>
      <c r="H33" s="9">
        <v>0.88100000000000001</v>
      </c>
      <c r="I33" s="84">
        <f t="shared" si="1"/>
        <v>88.1</v>
      </c>
      <c r="J33" s="85" t="s">
        <v>194</v>
      </c>
      <c r="K33" s="86">
        <f t="shared" si="14"/>
        <v>88.1</v>
      </c>
    </row>
    <row r="34" spans="1:11" ht="20" customHeight="1" x14ac:dyDescent="0.15">
      <c r="A34" s="7" t="s">
        <v>201</v>
      </c>
      <c r="B34" s="7" t="s">
        <v>35</v>
      </c>
      <c r="C34" s="7" t="s">
        <v>123</v>
      </c>
      <c r="D34" s="7" t="e" vm="32">
        <v>#VALUE!</v>
      </c>
      <c r="E34" s="83">
        <v>1447190912</v>
      </c>
      <c r="F34" s="9">
        <f>(2132781-132083-768023)/2132781</f>
        <v>0.5779660452714086</v>
      </c>
      <c r="G34" s="9">
        <v>1</v>
      </c>
      <c r="H34" s="9">
        <f>991704/2132781</f>
        <v>0.46498163665186437</v>
      </c>
      <c r="I34" s="84">
        <f>H34*G34*F34*100*0.75</f>
        <v>20.155769824462883</v>
      </c>
      <c r="J34" s="85" t="s">
        <v>194</v>
      </c>
      <c r="K34" s="86">
        <f t="shared" si="14"/>
        <v>20.155769824462883</v>
      </c>
    </row>
    <row r="35" spans="1:11" ht="20" customHeight="1" x14ac:dyDescent="0.15">
      <c r="A35" s="7" t="s">
        <v>201</v>
      </c>
      <c r="B35" s="7" t="s">
        <v>35</v>
      </c>
      <c r="C35" s="7" t="s">
        <v>87</v>
      </c>
      <c r="D35" s="7" t="e" vm="33">
        <v>#VALUE!</v>
      </c>
      <c r="E35" s="83">
        <v>14057331712</v>
      </c>
      <c r="F35" s="9">
        <v>0.6</v>
      </c>
      <c r="G35" s="9">
        <v>1</v>
      </c>
      <c r="H35" s="9">
        <f>9089194/9601482</f>
        <v>0.94664490335971052</v>
      </c>
      <c r="I35" s="84">
        <f t="shared" ref="I35:I61" si="15">H35*G35*F35*100</f>
        <v>56.798694201582634</v>
      </c>
      <c r="J35" s="85" t="s">
        <v>194</v>
      </c>
      <c r="K35" s="86">
        <f t="shared" si="14"/>
        <v>56.798694201582634</v>
      </c>
    </row>
    <row r="36" spans="1:11" ht="20" customHeight="1" x14ac:dyDescent="0.15">
      <c r="A36" s="7" t="s">
        <v>201</v>
      </c>
      <c r="B36" s="7" t="s">
        <v>35</v>
      </c>
      <c r="C36" s="7" t="s">
        <v>33</v>
      </c>
      <c r="D36" s="7" t="e" vm="34">
        <v>#VALUE!</v>
      </c>
      <c r="E36" s="83">
        <v>4013893888</v>
      </c>
      <c r="F36" s="9">
        <v>1</v>
      </c>
      <c r="G36" s="9">
        <v>1</v>
      </c>
      <c r="H36" s="9">
        <v>1</v>
      </c>
      <c r="I36" s="84">
        <f t="shared" si="15"/>
        <v>100</v>
      </c>
      <c r="J36" s="85" t="s">
        <v>194</v>
      </c>
      <c r="K36" s="86">
        <f t="shared" si="14"/>
        <v>100</v>
      </c>
    </row>
    <row r="37" spans="1:11" ht="20" customHeight="1" x14ac:dyDescent="0.15">
      <c r="A37" s="7" t="s">
        <v>201</v>
      </c>
      <c r="B37" s="7" t="s">
        <v>35</v>
      </c>
      <c r="C37" s="7" t="s">
        <v>46</v>
      </c>
      <c r="D37" s="7" t="e" vm="35">
        <v>#VALUE!</v>
      </c>
      <c r="E37" s="83">
        <v>1238715008</v>
      </c>
      <c r="F37" s="9">
        <v>1</v>
      </c>
      <c r="G37" s="9">
        <v>1</v>
      </c>
      <c r="H37" s="9">
        <v>0.92700000000000005</v>
      </c>
      <c r="I37" s="84">
        <f t="shared" si="15"/>
        <v>92.7</v>
      </c>
      <c r="J37" s="85" t="s">
        <v>194</v>
      </c>
      <c r="K37" s="86">
        <f t="shared" si="14"/>
        <v>92.7</v>
      </c>
    </row>
    <row r="38" spans="1:11" ht="20" customHeight="1" x14ac:dyDescent="0.15">
      <c r="A38" s="7" t="s">
        <v>201</v>
      </c>
      <c r="B38" s="7" t="s">
        <v>35</v>
      </c>
      <c r="C38" s="7" t="s">
        <v>36</v>
      </c>
      <c r="D38" s="7" t="e" vm="36">
        <v>#VALUE!</v>
      </c>
      <c r="E38" s="83">
        <v>24915695616</v>
      </c>
      <c r="F38" s="9">
        <f>(4856826-7720)/4856826</f>
        <v>0.9984104845427858</v>
      </c>
      <c r="G38" s="9">
        <v>1</v>
      </c>
      <c r="H38" s="9">
        <v>1</v>
      </c>
      <c r="I38" s="84">
        <f t="shared" si="15"/>
        <v>99.841048454278578</v>
      </c>
      <c r="J38" s="85" t="s">
        <v>194</v>
      </c>
      <c r="K38" s="86">
        <f t="shared" si="14"/>
        <v>99.841048454278578</v>
      </c>
    </row>
    <row r="39" spans="1:11" ht="20" customHeight="1" x14ac:dyDescent="0.15">
      <c r="A39" s="7" t="s">
        <v>155</v>
      </c>
      <c r="B39" s="7" t="s">
        <v>7</v>
      </c>
      <c r="C39" s="7" t="s">
        <v>48</v>
      </c>
      <c r="D39" s="7" t="e" vm="1">
        <v>#VALUE!</v>
      </c>
      <c r="E39" s="83">
        <v>9037008896</v>
      </c>
      <c r="F39" s="23">
        <v>0.76100000000000001</v>
      </c>
      <c r="G39" s="9">
        <f>'Category Weightings'!C10/SUM('Category Weightings'!C2,'Category Weightings'!C3,'Category Weightings'!C4,'Category Weightings'!C7,'Category Weightings'!C8,'Category Weightings'!C10,'Category Weightings'!C12,'Category Weightings'!C11)</f>
        <v>0.1437024513947591</v>
      </c>
      <c r="H39" s="9">
        <f t="shared" si="0"/>
        <v>0.40740740740740738</v>
      </c>
      <c r="I39" s="84">
        <f t="shared" si="15"/>
        <v>4.4553082245389941</v>
      </c>
      <c r="J39" s="85" t="s">
        <v>194</v>
      </c>
      <c r="K39" s="86">
        <f t="shared" si="14"/>
        <v>4.4553082245389941</v>
      </c>
    </row>
    <row r="40" spans="1:11" ht="20" customHeight="1" x14ac:dyDescent="0.15">
      <c r="A40" s="7" t="s">
        <v>155</v>
      </c>
      <c r="B40" s="7" t="s">
        <v>7</v>
      </c>
      <c r="C40" s="7" t="s">
        <v>8</v>
      </c>
      <c r="D40" s="7" t="e" vm="37">
        <v>#VALUE!</v>
      </c>
      <c r="E40" s="83">
        <v>342815360</v>
      </c>
      <c r="F40" s="9">
        <v>0.33</v>
      </c>
      <c r="G40" s="9">
        <v>1</v>
      </c>
      <c r="H40" s="9">
        <v>1</v>
      </c>
      <c r="I40" s="84">
        <f t="shared" si="15"/>
        <v>33</v>
      </c>
      <c r="J40" s="85" t="s">
        <v>194</v>
      </c>
      <c r="K40" s="86">
        <f>IF(J40="US",I40,I40*0.9)*0.75</f>
        <v>24.75</v>
      </c>
    </row>
    <row r="41" spans="1:11" ht="20" customHeight="1" x14ac:dyDescent="0.15">
      <c r="A41" s="7" t="s">
        <v>155</v>
      </c>
      <c r="B41" s="7" t="s">
        <v>28</v>
      </c>
      <c r="C41" s="7" t="s">
        <v>97</v>
      </c>
      <c r="D41" s="7" t="e" vm="38">
        <v>#VALUE!</v>
      </c>
      <c r="E41" s="83">
        <v>5108915200</v>
      </c>
      <c r="F41" s="9">
        <v>1</v>
      </c>
      <c r="G41" s="9">
        <f>'Category Weightings'!C10/SUM('Category Weightings'!C11,'Category Weightings'!C10)</f>
        <v>0.51908396946564883</v>
      </c>
      <c r="H41" s="9">
        <f t="shared" ref="H41:H122" si="16">0.881*1468857/3728134</f>
        <v>0.34710743149253753</v>
      </c>
      <c r="I41" s="84">
        <f t="shared" si="15"/>
        <v>18.017790337017214</v>
      </c>
      <c r="J41" s="85" t="s">
        <v>194</v>
      </c>
      <c r="K41" s="86">
        <f t="shared" ref="K41:K79" si="17">IF(J41="US",I41,I41*0.9)</f>
        <v>18.017790337017214</v>
      </c>
    </row>
    <row r="42" spans="1:11" ht="20" customHeight="1" x14ac:dyDescent="0.15">
      <c r="A42" s="7" t="s">
        <v>155</v>
      </c>
      <c r="B42" s="7" t="s">
        <v>28</v>
      </c>
      <c r="C42" s="7" t="s">
        <v>50</v>
      </c>
      <c r="D42" s="7" t="e" vm="39">
        <v>#VALUE!</v>
      </c>
      <c r="E42" s="83">
        <v>919656768</v>
      </c>
      <c r="F42" s="9">
        <v>1</v>
      </c>
      <c r="G42" s="9">
        <f>'Category Weightings'!C11/SUM('Category Weightings'!C11,'Category Weightings'!C10)</f>
        <v>0.48091603053435111</v>
      </c>
      <c r="H42" s="9">
        <f t="shared" ref="H42:H123" si="18">246913/348967</f>
        <v>0.70755400940490076</v>
      </c>
      <c r="I42" s="84">
        <f t="shared" si="15"/>
        <v>34.027406559166977</v>
      </c>
      <c r="J42" s="85" t="s">
        <v>194</v>
      </c>
      <c r="K42" s="86">
        <f t="shared" si="17"/>
        <v>34.027406559166977</v>
      </c>
    </row>
    <row r="43" spans="1:11" ht="20" customHeight="1" x14ac:dyDescent="0.15">
      <c r="A43" s="7" t="s">
        <v>155</v>
      </c>
      <c r="B43" s="7" t="s">
        <v>28</v>
      </c>
      <c r="C43" s="7" t="s">
        <v>129</v>
      </c>
      <c r="D43" s="7" t="e" vm="40">
        <v>#VALUE!</v>
      </c>
      <c r="E43" s="83">
        <v>17003054080</v>
      </c>
      <c r="F43" s="9">
        <f t="shared" ref="F43:F125" si="19">(107833+236080+265281)/2351646</f>
        <v>0.25905004409677307</v>
      </c>
      <c r="G43" s="9">
        <f>'Category Weightings'!C10/SUM('Category Weightings'!C11,'Category Weightings'!C10)</f>
        <v>0.51908396946564883</v>
      </c>
      <c r="H43" s="9">
        <f t="shared" ref="H43:H125" si="20">505757/895474</f>
        <v>0.5647925009548016</v>
      </c>
      <c r="I43" s="84">
        <f t="shared" si="15"/>
        <v>7.5946927594618545</v>
      </c>
      <c r="J43" s="85" t="s">
        <v>194</v>
      </c>
      <c r="K43" s="86">
        <f t="shared" si="17"/>
        <v>7.5946927594618545</v>
      </c>
    </row>
    <row r="44" spans="1:11" ht="20" customHeight="1" x14ac:dyDescent="0.15">
      <c r="A44" s="7" t="s">
        <v>155</v>
      </c>
      <c r="B44" s="7" t="s">
        <v>7</v>
      </c>
      <c r="C44" s="7" t="s">
        <v>18</v>
      </c>
      <c r="D44" s="7" t="e" vm="41">
        <v>#VALUE!</v>
      </c>
      <c r="E44" s="83">
        <v>1180545024</v>
      </c>
      <c r="F44" s="9">
        <v>1</v>
      </c>
      <c r="G44" s="9">
        <v>1</v>
      </c>
      <c r="H44" s="9">
        <v>0.95</v>
      </c>
      <c r="I44" s="84">
        <f t="shared" si="15"/>
        <v>95</v>
      </c>
      <c r="J44" s="85" t="s">
        <v>194</v>
      </c>
      <c r="K44" s="86">
        <f t="shared" si="17"/>
        <v>95</v>
      </c>
    </row>
    <row r="45" spans="1:11" ht="20" customHeight="1" x14ac:dyDescent="0.15">
      <c r="A45" s="7" t="s">
        <v>155</v>
      </c>
      <c r="B45" s="7" t="s">
        <v>7</v>
      </c>
      <c r="C45" s="7" t="s">
        <v>12</v>
      </c>
      <c r="D45" s="7" t="e" vm="3">
        <v>#VALUE!</v>
      </c>
      <c r="E45" s="83">
        <v>1538160000</v>
      </c>
      <c r="F45" s="9">
        <f t="shared" si="3"/>
        <v>0.53536196185021601</v>
      </c>
      <c r="G45" s="9">
        <f>'Category Weightings'!C10/SUM('Category Weightings'!C7,'Category Weightings'!C11,'Category Weightings'!C12,'Category Weightings'!C3,'Category Weightings'!C4,'Category Weightings'!C10,'Category Weightings'!C2)</f>
        <v>0.14905743095133711</v>
      </c>
      <c r="H45" s="9">
        <v>1</v>
      </c>
      <c r="I45" s="84">
        <f t="shared" si="15"/>
        <v>7.9799678662460947</v>
      </c>
      <c r="J45" s="85" t="s">
        <v>194</v>
      </c>
      <c r="K45" s="86">
        <f t="shared" si="17"/>
        <v>7.9799678662460947</v>
      </c>
    </row>
    <row r="46" spans="1:11" ht="20" customHeight="1" x14ac:dyDescent="0.15">
      <c r="A46" s="7" t="s">
        <v>155</v>
      </c>
      <c r="B46" s="7" t="s">
        <v>7</v>
      </c>
      <c r="C46" s="7" t="s">
        <v>22</v>
      </c>
      <c r="D46" s="7" t="e" vm="4">
        <v>#VALUE!</v>
      </c>
      <c r="E46" s="83">
        <v>1347578496</v>
      </c>
      <c r="F46" s="9">
        <f t="shared" si="5"/>
        <v>0.12414732133523243</v>
      </c>
      <c r="G46" s="9">
        <f>'Category Weightings'!C10/SUM('Category Weightings'!C2,'Category Weightings'!C7,'Category Weightings'!C10)</f>
        <v>0.31627906976744186</v>
      </c>
      <c r="H46" s="9">
        <v>1</v>
      </c>
      <c r="I46" s="84">
        <f t="shared" si="15"/>
        <v>3.9265199306027001</v>
      </c>
      <c r="J46" s="85" t="s">
        <v>194</v>
      </c>
      <c r="K46" s="86">
        <f t="shared" si="17"/>
        <v>3.9265199306027001</v>
      </c>
    </row>
    <row r="47" spans="1:11" ht="20" customHeight="1" x14ac:dyDescent="0.15">
      <c r="A47" s="7" t="s">
        <v>155</v>
      </c>
      <c r="B47" s="7" t="s">
        <v>7</v>
      </c>
      <c r="C47" s="7" t="s">
        <v>42</v>
      </c>
      <c r="D47" s="7" t="e" vm="5">
        <v>#VALUE!</v>
      </c>
      <c r="E47" s="83">
        <v>5269383168</v>
      </c>
      <c r="F47" s="9">
        <f>757.6/4730.1</f>
        <v>0.1601657470243758</v>
      </c>
      <c r="G47" s="9">
        <v>1</v>
      </c>
      <c r="H47" s="9">
        <f t="shared" si="7"/>
        <v>0.56554829707617171</v>
      </c>
      <c r="I47" s="84">
        <f t="shared" si="15"/>
        <v>9.0581465479568646</v>
      </c>
      <c r="J47" s="85" t="s">
        <v>195</v>
      </c>
      <c r="K47" s="86">
        <f t="shared" si="17"/>
        <v>8.152331893161179</v>
      </c>
    </row>
    <row r="48" spans="1:11" ht="20" customHeight="1" x14ac:dyDescent="0.15">
      <c r="A48" s="7" t="s">
        <v>155</v>
      </c>
      <c r="B48" s="7" t="s">
        <v>7</v>
      </c>
      <c r="C48" s="7" t="s">
        <v>44</v>
      </c>
      <c r="D48" s="7" t="e" vm="42">
        <v>#VALUE!</v>
      </c>
      <c r="E48" s="83">
        <v>7406132224</v>
      </c>
      <c r="F48" s="9">
        <v>1</v>
      </c>
      <c r="G48" s="9">
        <f>'Category Weightings'!C10/('Category Weightings'!C11+'Category Weightings'!C10)</f>
        <v>0.51908396946564883</v>
      </c>
      <c r="H48" s="9">
        <f t="shared" ref="H48:H135" si="21">(2994891-887432)/2994891</f>
        <v>0.70368470839172448</v>
      </c>
      <c r="I48" s="84">
        <f t="shared" si="15"/>
        <v>36.527145168425392</v>
      </c>
      <c r="J48" s="85" t="s">
        <v>194</v>
      </c>
      <c r="K48" s="86">
        <f t="shared" si="17"/>
        <v>36.527145168425392</v>
      </c>
    </row>
    <row r="49" spans="1:11" ht="20" customHeight="1" x14ac:dyDescent="0.15">
      <c r="A49" s="7" t="s">
        <v>155</v>
      </c>
      <c r="B49" s="7" t="s">
        <v>7</v>
      </c>
      <c r="C49" s="7" t="s">
        <v>24</v>
      </c>
      <c r="D49" s="7" t="e" vm="8">
        <v>#VALUE!</v>
      </c>
      <c r="E49" s="87">
        <v>18846382080</v>
      </c>
      <c r="F49" s="9">
        <f>1182.9/4878.2</f>
        <v>0.24248698290353002</v>
      </c>
      <c r="G49" s="9">
        <v>1</v>
      </c>
      <c r="H49" s="9">
        <f t="shared" si="12"/>
        <v>0.37302786265177934</v>
      </c>
      <c r="I49" s="84">
        <f t="shared" si="15"/>
        <v>9.0454400953382361</v>
      </c>
      <c r="J49" s="85" t="s">
        <v>195</v>
      </c>
      <c r="K49" s="86">
        <f t="shared" si="17"/>
        <v>8.1408960858044122</v>
      </c>
    </row>
    <row r="50" spans="1:11" ht="20" customHeight="1" x14ac:dyDescent="0.15">
      <c r="A50" s="7" t="s">
        <v>155</v>
      </c>
      <c r="B50" s="7" t="s">
        <v>28</v>
      </c>
      <c r="C50" s="7" t="s">
        <v>105</v>
      </c>
      <c r="D50" s="7" t="e" vm="43">
        <v>#VALUE!</v>
      </c>
      <c r="E50" s="83">
        <v>23745484800</v>
      </c>
      <c r="F50" s="9">
        <f t="shared" ref="F50:F137" si="22">(2079+689+306)/4876</f>
        <v>0.63043478260869568</v>
      </c>
      <c r="G50" s="9">
        <f>'Category Weightings'!C10/SUM('Category Weightings'!C11,'Category Weightings'!C10)</f>
        <v>0.51908396946564883</v>
      </c>
      <c r="H50" s="9">
        <f t="shared" ref="H50:H137" si="23">2297/4876</f>
        <v>0.47108285479901557</v>
      </c>
      <c r="I50" s="84">
        <f t="shared" si="15"/>
        <v>15.416119974504792</v>
      </c>
      <c r="J50" s="85" t="s">
        <v>194</v>
      </c>
      <c r="K50" s="86">
        <f t="shared" si="17"/>
        <v>15.416119974504792</v>
      </c>
    </row>
    <row r="51" spans="1:11" ht="20" customHeight="1" x14ac:dyDescent="0.15">
      <c r="A51" s="7" t="s">
        <v>206</v>
      </c>
      <c r="B51" s="7" t="s">
        <v>28</v>
      </c>
      <c r="C51" s="7" t="s">
        <v>76</v>
      </c>
      <c r="D51" s="7" t="e" vm="44">
        <v>#VALUE!</v>
      </c>
      <c r="E51" s="83">
        <v>404542496</v>
      </c>
      <c r="F51" s="9">
        <v>1</v>
      </c>
      <c r="G51" s="9">
        <v>1</v>
      </c>
      <c r="H51" s="9">
        <v>1</v>
      </c>
      <c r="I51" s="84">
        <f t="shared" si="15"/>
        <v>100</v>
      </c>
      <c r="J51" s="85" t="s">
        <v>194</v>
      </c>
      <c r="K51" s="86">
        <f t="shared" si="17"/>
        <v>100</v>
      </c>
    </row>
    <row r="52" spans="1:11" ht="20" customHeight="1" x14ac:dyDescent="0.15">
      <c r="A52" s="7" t="s">
        <v>206</v>
      </c>
      <c r="B52" s="7" t="s">
        <v>28</v>
      </c>
      <c r="C52" s="7" t="s">
        <v>207</v>
      </c>
      <c r="D52" s="7" t="e" vm="45">
        <v>#VALUE!</v>
      </c>
      <c r="E52" s="83">
        <v>116852203520</v>
      </c>
      <c r="F52" s="9">
        <f>(16918+7906)/45338</f>
        <v>0.54753187171908779</v>
      </c>
      <c r="G52" s="9">
        <v>1</v>
      </c>
      <c r="H52" s="9">
        <f>18214/41748*0.927</f>
        <v>0.40443561368209258</v>
      </c>
      <c r="I52" s="84">
        <f t="shared" si="15"/>
        <v>22.144138854921405</v>
      </c>
      <c r="J52" s="85" t="s">
        <v>194</v>
      </c>
      <c r="K52" s="86">
        <f t="shared" si="17"/>
        <v>22.144138854921405</v>
      </c>
    </row>
    <row r="53" spans="1:11" ht="20" customHeight="1" x14ac:dyDescent="0.15">
      <c r="A53" s="7" t="s">
        <v>206</v>
      </c>
      <c r="B53" s="7" t="s">
        <v>80</v>
      </c>
      <c r="C53" s="7" t="s">
        <v>78</v>
      </c>
      <c r="D53" s="7" t="e" vm="46">
        <v>#VALUE!</v>
      </c>
      <c r="E53" s="83">
        <v>576494208</v>
      </c>
      <c r="F53" s="9">
        <v>1</v>
      </c>
      <c r="G53" s="9">
        <v>1</v>
      </c>
      <c r="H53" s="9">
        <v>1</v>
      </c>
      <c r="I53" s="84">
        <f t="shared" si="15"/>
        <v>100</v>
      </c>
      <c r="J53" s="85" t="s">
        <v>194</v>
      </c>
      <c r="K53" s="86">
        <f t="shared" si="17"/>
        <v>100</v>
      </c>
    </row>
    <row r="54" spans="1:11" ht="20" customHeight="1" x14ac:dyDescent="0.15">
      <c r="A54" s="7" t="s">
        <v>206</v>
      </c>
      <c r="B54" s="7" t="s">
        <v>28</v>
      </c>
      <c r="C54" s="7" t="s">
        <v>81</v>
      </c>
      <c r="D54" s="7" t="e" vm="47">
        <v>#VALUE!</v>
      </c>
      <c r="E54" s="83">
        <v>173067744</v>
      </c>
      <c r="F54" s="9">
        <v>1</v>
      </c>
      <c r="G54" s="9">
        <v>1</v>
      </c>
      <c r="H54" s="9">
        <v>1</v>
      </c>
      <c r="I54" s="84">
        <f t="shared" si="15"/>
        <v>100</v>
      </c>
      <c r="J54" s="85" t="s">
        <v>194</v>
      </c>
      <c r="K54" s="86">
        <f t="shared" si="17"/>
        <v>100</v>
      </c>
    </row>
    <row r="55" spans="1:11" ht="20" customHeight="1" x14ac:dyDescent="0.15">
      <c r="A55" s="7" t="s">
        <v>206</v>
      </c>
      <c r="B55" s="7" t="s">
        <v>28</v>
      </c>
      <c r="C55" s="7" t="s">
        <v>83</v>
      </c>
      <c r="D55" s="7" t="e" vm="48">
        <v>#VALUE!</v>
      </c>
      <c r="E55" s="83">
        <v>1202244608</v>
      </c>
      <c r="F55" s="9">
        <v>1</v>
      </c>
      <c r="G55" s="9">
        <v>1</v>
      </c>
      <c r="H55" s="9">
        <v>1</v>
      </c>
      <c r="I55" s="84">
        <f t="shared" si="15"/>
        <v>100</v>
      </c>
      <c r="J55" s="85" t="s">
        <v>194</v>
      </c>
      <c r="K55" s="86">
        <f t="shared" si="17"/>
        <v>100</v>
      </c>
    </row>
    <row r="56" spans="1:11" ht="20" customHeight="1" x14ac:dyDescent="0.15">
      <c r="A56" s="7" t="s">
        <v>206</v>
      </c>
      <c r="B56" s="7" t="s">
        <v>28</v>
      </c>
      <c r="C56" s="7" t="s">
        <v>91</v>
      </c>
      <c r="D56" s="7" t="e" vm="49">
        <v>#VALUE!</v>
      </c>
      <c r="E56" s="83">
        <v>3723859200</v>
      </c>
      <c r="F56" s="9">
        <v>1</v>
      </c>
      <c r="G56" s="9">
        <v>1</v>
      </c>
      <c r="H56" s="9">
        <f>1624.4/1781.3</f>
        <v>0.91191826194352443</v>
      </c>
      <c r="I56" s="84">
        <f t="shared" si="15"/>
        <v>91.191826194352444</v>
      </c>
      <c r="J56" s="85" t="s">
        <v>194</v>
      </c>
      <c r="K56" s="86">
        <f t="shared" si="17"/>
        <v>91.191826194352444</v>
      </c>
    </row>
    <row r="57" spans="1:11" ht="20" customHeight="1" x14ac:dyDescent="0.15">
      <c r="A57" s="7" t="s">
        <v>206</v>
      </c>
      <c r="B57" s="7" t="s">
        <v>28</v>
      </c>
      <c r="C57" s="7" t="s">
        <v>111</v>
      </c>
      <c r="D57" s="7" t="e" vm="50">
        <v>#VALUE!</v>
      </c>
      <c r="E57" s="83">
        <v>975948608</v>
      </c>
      <c r="F57" s="9">
        <f>1-(3.9/2812.1)</f>
        <v>0.9986131360904662</v>
      </c>
      <c r="G57" s="9">
        <v>1</v>
      </c>
      <c r="H57" s="9">
        <f>1891.2/2672.9*0.881</f>
        <v>0.62334812376070925</v>
      </c>
      <c r="I57" s="84">
        <f t="shared" si="15"/>
        <v>62.248362474478988</v>
      </c>
      <c r="J57" s="85" t="s">
        <v>194</v>
      </c>
      <c r="K57" s="86">
        <f t="shared" si="17"/>
        <v>62.248362474478988</v>
      </c>
    </row>
    <row r="58" spans="1:11" ht="20" customHeight="1" x14ac:dyDescent="0.15">
      <c r="A58" s="7" t="s">
        <v>206</v>
      </c>
      <c r="B58" s="7" t="s">
        <v>28</v>
      </c>
      <c r="C58" s="7" t="s">
        <v>107</v>
      </c>
      <c r="D58" s="7" t="e" vm="51">
        <v>#VALUE!</v>
      </c>
      <c r="E58" s="83">
        <v>143328240</v>
      </c>
      <c r="F58" s="9">
        <v>1</v>
      </c>
      <c r="G58" s="9">
        <v>1</v>
      </c>
      <c r="H58" s="9">
        <f>116013/167498</f>
        <v>0.69262319550084184</v>
      </c>
      <c r="I58" s="84">
        <f t="shared" si="15"/>
        <v>69.262319550084186</v>
      </c>
      <c r="J58" s="85" t="s">
        <v>194</v>
      </c>
      <c r="K58" s="86">
        <f t="shared" si="17"/>
        <v>69.262319550084186</v>
      </c>
    </row>
    <row r="59" spans="1:11" ht="20" customHeight="1" x14ac:dyDescent="0.15">
      <c r="A59" s="7" t="s">
        <v>206</v>
      </c>
      <c r="B59" s="7" t="s">
        <v>28</v>
      </c>
      <c r="C59" s="7" t="s">
        <v>208</v>
      </c>
      <c r="D59" s="7" t="e" vm="52">
        <v>#VALUE!</v>
      </c>
      <c r="E59" s="83">
        <v>630576768</v>
      </c>
      <c r="F59" s="9">
        <f>305745/1411222</f>
        <v>0.21665265989334068</v>
      </c>
      <c r="G59" s="9">
        <v>1</v>
      </c>
      <c r="H59" s="9">
        <v>1</v>
      </c>
      <c r="I59" s="84">
        <f t="shared" si="15"/>
        <v>21.665265989334067</v>
      </c>
      <c r="J59" s="85" t="s">
        <v>194</v>
      </c>
      <c r="K59" s="86">
        <f t="shared" si="17"/>
        <v>21.665265989334067</v>
      </c>
    </row>
    <row r="60" spans="1:11" ht="20" customHeight="1" x14ac:dyDescent="0.15">
      <c r="A60" s="7" t="s">
        <v>206</v>
      </c>
      <c r="B60" s="7" t="s">
        <v>28</v>
      </c>
      <c r="C60" s="7" t="s">
        <v>93</v>
      </c>
      <c r="D60" s="7" t="e" vm="53">
        <v>#VALUE!</v>
      </c>
      <c r="E60" s="83">
        <v>25424138240</v>
      </c>
      <c r="F60" s="9">
        <v>1</v>
      </c>
      <c r="G60" s="9">
        <v>1</v>
      </c>
      <c r="H60" s="9">
        <f>1018/1165</f>
        <v>0.87381974248927041</v>
      </c>
      <c r="I60" s="84">
        <f t="shared" si="15"/>
        <v>87.381974248927037</v>
      </c>
      <c r="J60" s="85" t="s">
        <v>194</v>
      </c>
      <c r="K60" s="86">
        <f t="shared" si="17"/>
        <v>87.381974248927037</v>
      </c>
    </row>
    <row r="61" spans="1:11" ht="20" customHeight="1" x14ac:dyDescent="0.15">
      <c r="A61" s="7" t="s">
        <v>174</v>
      </c>
      <c r="B61" s="7" t="s">
        <v>28</v>
      </c>
      <c r="C61" s="7" t="s">
        <v>40</v>
      </c>
      <c r="D61" s="7" t="s">
        <v>40</v>
      </c>
      <c r="E61" s="83">
        <v>75634417664</v>
      </c>
      <c r="F61" s="9">
        <f t="shared" ref="F61:F64" si="24">1846/26134</f>
        <v>7.0635953164460086E-2</v>
      </c>
      <c r="G61" s="9">
        <v>0.5</v>
      </c>
      <c r="H61" s="9">
        <v>1</v>
      </c>
      <c r="I61" s="84">
        <f t="shared" si="15"/>
        <v>3.5317976582230042</v>
      </c>
      <c r="J61" s="85" t="s">
        <v>205</v>
      </c>
      <c r="K61" s="86">
        <f t="shared" si="17"/>
        <v>3.178617892400704</v>
      </c>
    </row>
    <row r="62" spans="1:11" ht="20" customHeight="1" x14ac:dyDescent="0.15">
      <c r="A62" s="7" t="s">
        <v>174</v>
      </c>
      <c r="B62" s="7" t="s">
        <v>28</v>
      </c>
      <c r="C62" s="7" t="s">
        <v>103</v>
      </c>
      <c r="D62" s="7" t="e" vm="54">
        <v>#VALUE!</v>
      </c>
      <c r="E62" s="83">
        <v>1991374080</v>
      </c>
      <c r="F62" s="9">
        <v>1</v>
      </c>
      <c r="G62" s="9">
        <v>1</v>
      </c>
      <c r="H62" s="9">
        <v>0.82</v>
      </c>
      <c r="I62" s="84">
        <f>H62*G62*F62*100*0.1</f>
        <v>8.2000000000000011</v>
      </c>
      <c r="J62" s="85" t="s">
        <v>194</v>
      </c>
      <c r="K62" s="86">
        <f t="shared" si="17"/>
        <v>8.2000000000000011</v>
      </c>
    </row>
    <row r="63" spans="1:11" ht="20" customHeight="1" x14ac:dyDescent="0.15">
      <c r="A63" s="7" t="s">
        <v>174</v>
      </c>
      <c r="B63" s="7" t="s">
        <v>28</v>
      </c>
      <c r="C63" s="7" t="s">
        <v>99</v>
      </c>
      <c r="D63" s="7" t="e" vm="55">
        <v>#VALUE!</v>
      </c>
      <c r="E63" s="83">
        <v>113981613160</v>
      </c>
      <c r="F63" s="9">
        <f t="shared" ref="F63:F101" si="25">9052/57139</f>
        <v>0.15842069339680429</v>
      </c>
      <c r="G63" s="9">
        <f>'Category Weightings'!C5/SUM('Category Weightings'!C5,'Category Weightings'!C6,'Category Weightings'!C3)</f>
        <v>9.2592592592592601E-2</v>
      </c>
      <c r="H63" s="9">
        <f t="shared" ref="H63:H101" si="26">12981/57139</f>
        <v>0.22718283484135179</v>
      </c>
      <c r="I63" s="84">
        <f t="shared" ref="I63:I94" si="27">H63*G63*F63*100</f>
        <v>0.33324502058720951</v>
      </c>
      <c r="J63" s="85" t="s">
        <v>209</v>
      </c>
      <c r="K63" s="86">
        <f t="shared" si="17"/>
        <v>0.29992051852848856</v>
      </c>
    </row>
    <row r="64" spans="1:11" ht="20" customHeight="1" x14ac:dyDescent="0.15">
      <c r="A64" s="7" t="s">
        <v>182</v>
      </c>
      <c r="B64" s="7" t="s">
        <v>28</v>
      </c>
      <c r="C64" s="7" t="s">
        <v>40</v>
      </c>
      <c r="D64" s="7" t="s">
        <v>40</v>
      </c>
      <c r="E64" s="83">
        <v>75634417664</v>
      </c>
      <c r="F64" s="9">
        <f t="shared" si="24"/>
        <v>7.0635953164460086E-2</v>
      </c>
      <c r="G64" s="9">
        <v>0.5</v>
      </c>
      <c r="H64" s="9">
        <v>1</v>
      </c>
      <c r="I64" s="84">
        <f t="shared" si="27"/>
        <v>3.5317976582230042</v>
      </c>
      <c r="J64" s="85" t="s">
        <v>205</v>
      </c>
      <c r="K64" s="86">
        <f t="shared" si="17"/>
        <v>3.178617892400704</v>
      </c>
    </row>
    <row r="65" spans="1:11" ht="20" customHeight="1" x14ac:dyDescent="0.15">
      <c r="A65" s="7" t="s">
        <v>182</v>
      </c>
      <c r="B65" s="7" t="s">
        <v>28</v>
      </c>
      <c r="C65" s="7" t="s">
        <v>99</v>
      </c>
      <c r="D65" s="7" t="e" vm="55">
        <v>#VALUE!</v>
      </c>
      <c r="E65" s="83">
        <v>113981613160</v>
      </c>
      <c r="F65" s="9">
        <f t="shared" si="25"/>
        <v>0.15842069339680429</v>
      </c>
      <c r="G65" s="9">
        <f>'Category Weightings'!C6/SUM('Category Weightings'!C5,'Category Weightings'!C6,'Category Weightings'!C3)</f>
        <v>9.2592592592592601E-2</v>
      </c>
      <c r="H65" s="9">
        <f t="shared" si="26"/>
        <v>0.22718283484135179</v>
      </c>
      <c r="I65" s="84">
        <f t="shared" si="27"/>
        <v>0.33324502058720951</v>
      </c>
      <c r="J65" s="85" t="s">
        <v>209</v>
      </c>
      <c r="K65" s="86">
        <f t="shared" si="17"/>
        <v>0.29992051852848856</v>
      </c>
    </row>
    <row r="66" spans="1:11" ht="20" customHeight="1" x14ac:dyDescent="0.15">
      <c r="A66" s="7" t="s">
        <v>151</v>
      </c>
      <c r="B66" s="7" t="s">
        <v>28</v>
      </c>
      <c r="C66" s="7" t="s">
        <v>40</v>
      </c>
      <c r="D66" s="7" t="s">
        <v>40</v>
      </c>
      <c r="E66" s="83">
        <v>75634417664</v>
      </c>
      <c r="F66" s="9">
        <f>3093/26134</f>
        <v>0.11835157266396265</v>
      </c>
      <c r="G66" s="9">
        <v>1</v>
      </c>
      <c r="H66" s="9">
        <v>1</v>
      </c>
      <c r="I66" s="84">
        <f t="shared" si="27"/>
        <v>11.835157266396266</v>
      </c>
      <c r="J66" s="85" t="s">
        <v>205</v>
      </c>
      <c r="K66" s="86">
        <f t="shared" si="17"/>
        <v>10.651641539756639</v>
      </c>
    </row>
    <row r="67" spans="1:11" ht="20" customHeight="1" x14ac:dyDescent="0.15">
      <c r="A67" s="7" t="s">
        <v>151</v>
      </c>
      <c r="B67" s="7" t="s">
        <v>7</v>
      </c>
      <c r="C67" s="7" t="s">
        <v>48</v>
      </c>
      <c r="D67" s="7" t="e" vm="1">
        <v>#VALUE!</v>
      </c>
      <c r="E67" s="83">
        <v>9037008896</v>
      </c>
      <c r="F67" s="23">
        <v>0.76100000000000001</v>
      </c>
      <c r="G67" s="9">
        <f>'Category Weightings'!C12/SUM('Category Weightings'!C2,'Category Weightings'!C3,'Category Weightings'!C4,'Category Weightings'!C7,'Category Weightings'!C8,'Category Weightings'!C10,'Category Weightings'!C12,'Category Weightings'!C11)</f>
        <v>0.15426880811496196</v>
      </c>
      <c r="H67" s="9">
        <f t="shared" si="0"/>
        <v>0.40740740740740738</v>
      </c>
      <c r="I67" s="84">
        <f t="shared" si="27"/>
        <v>4.7829044175198021</v>
      </c>
      <c r="J67" s="85" t="s">
        <v>194</v>
      </c>
      <c r="K67" s="86">
        <f t="shared" si="17"/>
        <v>4.7829044175198021</v>
      </c>
    </row>
    <row r="68" spans="1:11" ht="20" customHeight="1" x14ac:dyDescent="0.15">
      <c r="A68" s="7" t="s">
        <v>151</v>
      </c>
      <c r="B68" s="7" t="s">
        <v>7</v>
      </c>
      <c r="C68" s="7" t="s">
        <v>66</v>
      </c>
      <c r="D68" s="7" t="e" vm="56">
        <v>#VALUE!</v>
      </c>
      <c r="E68" s="83">
        <v>6341324288</v>
      </c>
      <c r="F68" s="9">
        <f>1973427/8797061</f>
        <v>0.22432798863165779</v>
      </c>
      <c r="G68" s="9">
        <v>1</v>
      </c>
      <c r="H68" s="9">
        <v>1</v>
      </c>
      <c r="I68" s="84">
        <f t="shared" si="27"/>
        <v>22.432798863165779</v>
      </c>
      <c r="J68" s="85" t="s">
        <v>194</v>
      </c>
      <c r="K68" s="86">
        <f t="shared" si="17"/>
        <v>22.432798863165779</v>
      </c>
    </row>
    <row r="69" spans="1:11" ht="20" customHeight="1" x14ac:dyDescent="0.15">
      <c r="A69" s="7" t="s">
        <v>151</v>
      </c>
      <c r="B69" s="7" t="s">
        <v>28</v>
      </c>
      <c r="C69" s="7" t="s">
        <v>56</v>
      </c>
      <c r="D69" s="7" t="e" vm="57">
        <v>#VALUE!</v>
      </c>
      <c r="E69" s="83">
        <v>66526339072</v>
      </c>
      <c r="F69" s="9">
        <f>6680/17858</f>
        <v>0.37406204502183893</v>
      </c>
      <c r="G69" s="9">
        <v>1</v>
      </c>
      <c r="H69" s="23">
        <v>0.88100000000000001</v>
      </c>
      <c r="I69" s="84">
        <f t="shared" si="27"/>
        <v>32.954866166424004</v>
      </c>
      <c r="J69" s="85" t="s">
        <v>202</v>
      </c>
      <c r="K69" s="86">
        <f t="shared" si="17"/>
        <v>29.659379549781605</v>
      </c>
    </row>
    <row r="70" spans="1:11" ht="20" customHeight="1" x14ac:dyDescent="0.15">
      <c r="A70" s="7" t="s">
        <v>151</v>
      </c>
      <c r="B70" s="7" t="s">
        <v>28</v>
      </c>
      <c r="C70" s="7" t="s">
        <v>210</v>
      </c>
      <c r="D70" s="7" t="e" vm="58">
        <v>#VALUE!</v>
      </c>
      <c r="E70" s="83">
        <v>111544213504</v>
      </c>
      <c r="F70" s="9">
        <f>3585/79619</f>
        <v>4.5026940805586606E-2</v>
      </c>
      <c r="G70" s="9">
        <v>1</v>
      </c>
      <c r="H70" s="9">
        <f>35314/79619</f>
        <v>0.44353734661324556</v>
      </c>
      <c r="I70" s="84">
        <f t="shared" si="27"/>
        <v>1.9971129851021556</v>
      </c>
      <c r="J70" s="85" t="s">
        <v>194</v>
      </c>
      <c r="K70" s="86">
        <f t="shared" si="17"/>
        <v>1.9971129851021556</v>
      </c>
    </row>
    <row r="71" spans="1:11" ht="20" customHeight="1" x14ac:dyDescent="0.15">
      <c r="A71" s="7" t="s">
        <v>151</v>
      </c>
      <c r="B71" s="7" t="s">
        <v>7</v>
      </c>
      <c r="C71" s="7" t="s">
        <v>64</v>
      </c>
      <c r="D71" s="7" t="e" vm="17">
        <v>#VALUE!</v>
      </c>
      <c r="E71" s="83">
        <v>6752251392</v>
      </c>
      <c r="F71" s="9">
        <f>506.5/6321</f>
        <v>8.0129726309128305E-2</v>
      </c>
      <c r="G71" s="9">
        <v>1</v>
      </c>
      <c r="H71" s="9">
        <f t="shared" si="13"/>
        <v>0.9808574592627749</v>
      </c>
      <c r="I71" s="84">
        <f t="shared" si="27"/>
        <v>7.8595839758993122</v>
      </c>
      <c r="J71" s="85" t="s">
        <v>194</v>
      </c>
      <c r="K71" s="86">
        <f t="shared" si="17"/>
        <v>7.8595839758993122</v>
      </c>
    </row>
    <row r="72" spans="1:11" ht="20" customHeight="1" x14ac:dyDescent="0.15">
      <c r="A72" s="7" t="s">
        <v>151</v>
      </c>
      <c r="B72" s="7" t="s">
        <v>7</v>
      </c>
      <c r="C72" s="7" t="s">
        <v>16</v>
      </c>
      <c r="D72" s="7" t="e" vm="59">
        <v>#VALUE!</v>
      </c>
      <c r="E72" s="83">
        <v>1658581248</v>
      </c>
      <c r="F72" s="9">
        <f>1154378/2247392</f>
        <v>0.51365226894106586</v>
      </c>
      <c r="G72" s="9">
        <v>1</v>
      </c>
      <c r="H72" s="9">
        <v>0.92700000000000005</v>
      </c>
      <c r="I72" s="84">
        <f t="shared" si="27"/>
        <v>47.615565330836809</v>
      </c>
      <c r="J72" s="85" t="s">
        <v>194</v>
      </c>
      <c r="K72" s="86">
        <f t="shared" si="17"/>
        <v>47.615565330836809</v>
      </c>
    </row>
    <row r="73" spans="1:11" ht="20" customHeight="1" x14ac:dyDescent="0.15">
      <c r="A73" s="7" t="s">
        <v>151</v>
      </c>
      <c r="B73" s="7" t="s">
        <v>7</v>
      </c>
      <c r="C73" s="7" t="s">
        <v>12</v>
      </c>
      <c r="D73" s="7" t="e" vm="3">
        <v>#VALUE!</v>
      </c>
      <c r="E73" s="83">
        <v>1538160000</v>
      </c>
      <c r="F73" s="9">
        <f t="shared" si="3"/>
        <v>0.53536196185021601</v>
      </c>
      <c r="G73" s="9">
        <f>'Category Weightings'!C12/SUM('Category Weightings'!C7,'Category Weightings'!C11,'Category Weightings'!C12,'Category Weightings'!C3,'Category Weightings'!C4,'Category Weightings'!C10,'Category Weightings'!C2)</f>
        <v>0.16001753616834721</v>
      </c>
      <c r="H73" s="9">
        <v>1</v>
      </c>
      <c r="I73" s="84">
        <f t="shared" si="27"/>
        <v>8.5667302093524267</v>
      </c>
      <c r="J73" s="85" t="s">
        <v>194</v>
      </c>
      <c r="K73" s="86">
        <f t="shared" si="17"/>
        <v>8.5667302093524267</v>
      </c>
    </row>
    <row r="74" spans="1:11" ht="20" customHeight="1" x14ac:dyDescent="0.15">
      <c r="A74" s="7" t="s">
        <v>151</v>
      </c>
      <c r="B74" s="7" t="s">
        <v>7</v>
      </c>
      <c r="C74" s="7" t="s">
        <v>22</v>
      </c>
      <c r="D74" s="7" t="e" vm="4">
        <v>#VALUE!</v>
      </c>
      <c r="E74" s="83">
        <v>1347578496</v>
      </c>
      <c r="F74" s="9">
        <f>459038/3491497</f>
        <v>0.1314731188369917</v>
      </c>
      <c r="G74" s="9">
        <v>1</v>
      </c>
      <c r="H74" s="9">
        <v>1</v>
      </c>
      <c r="I74" s="84">
        <f t="shared" si="27"/>
        <v>13.147311883699169</v>
      </c>
      <c r="J74" s="85" t="s">
        <v>194</v>
      </c>
      <c r="K74" s="86">
        <f t="shared" si="17"/>
        <v>13.147311883699169</v>
      </c>
    </row>
    <row r="75" spans="1:11" ht="20" customHeight="1" x14ac:dyDescent="0.15">
      <c r="A75" s="7" t="s">
        <v>151</v>
      </c>
      <c r="B75" s="7" t="s">
        <v>7</v>
      </c>
      <c r="C75" s="7" t="s">
        <v>20</v>
      </c>
      <c r="D75" s="7" t="e" vm="20">
        <v>#VALUE!</v>
      </c>
      <c r="E75" s="83">
        <v>13226397696</v>
      </c>
      <c r="F75" s="9">
        <f>7773343/11202672</f>
        <v>0.69388294149824259</v>
      </c>
      <c r="G75" s="9">
        <f>'Category Weightings'!C12/SUM('Category Weightings'!C12,'Category Weightings'!C9)</f>
        <v>0.52898550724637683</v>
      </c>
      <c r="H75" s="9">
        <v>1</v>
      </c>
      <c r="I75" s="84">
        <f t="shared" si="27"/>
        <v>36.705401977805586</v>
      </c>
      <c r="J75" s="85" t="s">
        <v>194</v>
      </c>
      <c r="K75" s="86">
        <f t="shared" si="17"/>
        <v>36.705401977805586</v>
      </c>
    </row>
    <row r="76" spans="1:11" ht="20" customHeight="1" x14ac:dyDescent="0.15">
      <c r="A76" s="7" t="s">
        <v>151</v>
      </c>
      <c r="B76" s="7" t="s">
        <v>28</v>
      </c>
      <c r="C76" s="7" t="s">
        <v>99</v>
      </c>
      <c r="D76" s="7" t="e" vm="55">
        <v>#VALUE!</v>
      </c>
      <c r="E76" s="83">
        <v>113981613160</v>
      </c>
      <c r="F76" s="9">
        <f>14323/57139</f>
        <v>0.25066942018586252</v>
      </c>
      <c r="G76" s="9">
        <v>1</v>
      </c>
      <c r="H76" s="9">
        <f t="shared" si="26"/>
        <v>0.22718283484135179</v>
      </c>
      <c r="I76" s="84">
        <f t="shared" si="27"/>
        <v>5.6947789485862224</v>
      </c>
      <c r="J76" s="85" t="s">
        <v>209</v>
      </c>
      <c r="K76" s="86">
        <f t="shared" si="17"/>
        <v>5.1253010537276005</v>
      </c>
    </row>
    <row r="77" spans="1:11" ht="20" customHeight="1" x14ac:dyDescent="0.15">
      <c r="A77" s="7" t="s">
        <v>151</v>
      </c>
      <c r="B77" s="7" t="s">
        <v>7</v>
      </c>
      <c r="C77" s="7" t="s">
        <v>42</v>
      </c>
      <c r="D77" s="7" t="e" vm="5">
        <v>#VALUE!</v>
      </c>
      <c r="E77" s="83">
        <v>5269383168</v>
      </c>
      <c r="F77" s="9">
        <f t="shared" si="6"/>
        <v>0.28453943891249656</v>
      </c>
      <c r="G77" s="9">
        <f>'Category Weightings'!C12/SUM('Category Weightings'!C7,'Category Weightings'!C4,'Category Weightings'!C12,'Category Weightings'!C2,'Category Weightings'!C8)</f>
        <v>0.26430123099203473</v>
      </c>
      <c r="H77" s="9">
        <f t="shared" si="7"/>
        <v>0.56554829707617171</v>
      </c>
      <c r="I77" s="84">
        <f t="shared" si="27"/>
        <v>4.253156424453997</v>
      </c>
      <c r="J77" s="85" t="s">
        <v>195</v>
      </c>
      <c r="K77" s="86">
        <f t="shared" si="17"/>
        <v>3.8278407820085976</v>
      </c>
    </row>
    <row r="78" spans="1:11" ht="20" customHeight="1" x14ac:dyDescent="0.15">
      <c r="A78" s="7" t="s">
        <v>181</v>
      </c>
      <c r="B78" s="7" t="s">
        <v>7</v>
      </c>
      <c r="C78" s="7" t="s">
        <v>48</v>
      </c>
      <c r="D78" s="7" t="e" vm="1">
        <v>#VALUE!</v>
      </c>
      <c r="E78" s="83">
        <v>9037008896</v>
      </c>
      <c r="F78" s="23">
        <v>0.76100000000000001</v>
      </c>
      <c r="G78" s="9">
        <f>'Category Weightings'!C4/SUM('Category Weightings'!C2,'Category Weightings'!C3,'Category Weightings'!C4,'Category Weightings'!C7,'Category Weightings'!C8,'Category Weightings'!C10,'Category Weightings'!C12,'Category Weightings'!C11)</f>
        <v>8.2840236686390553E-2</v>
      </c>
      <c r="H78" s="9">
        <f t="shared" si="0"/>
        <v>0.40740740740740738</v>
      </c>
      <c r="I78" s="84">
        <f t="shared" si="27"/>
        <v>2.5683541529695377</v>
      </c>
      <c r="J78" s="85" t="s">
        <v>194</v>
      </c>
      <c r="K78" s="86">
        <f t="shared" si="17"/>
        <v>2.5683541529695377</v>
      </c>
    </row>
    <row r="79" spans="1:11" ht="20" customHeight="1" x14ac:dyDescent="0.15">
      <c r="A79" s="7" t="s">
        <v>181</v>
      </c>
      <c r="B79" s="7" t="s">
        <v>28</v>
      </c>
      <c r="C79" s="7" t="s">
        <v>31</v>
      </c>
      <c r="D79" s="7" t="e" vm="60">
        <v>#VALUE!</v>
      </c>
      <c r="E79" s="83">
        <v>13520091714</v>
      </c>
      <c r="F79" s="9">
        <v>1</v>
      </c>
      <c r="G79" s="9">
        <f>'Category Weightings'!C4/('Category Weightings'!C4+'Category Weightings'!C3)</f>
        <v>0.37262357414448671</v>
      </c>
      <c r="H79" s="9">
        <f t="shared" ref="H79:H96" si="28">1351/8785</f>
        <v>0.15378486055776894</v>
      </c>
      <c r="I79" s="84">
        <f t="shared" si="27"/>
        <v>5.7303864390347359</v>
      </c>
      <c r="J79" s="85" t="s">
        <v>211</v>
      </c>
      <c r="K79" s="86">
        <f t="shared" si="17"/>
        <v>5.1573477951312627</v>
      </c>
    </row>
    <row r="80" spans="1:11" ht="20" customHeight="1" x14ac:dyDescent="0.15">
      <c r="A80" s="7" t="s">
        <v>181</v>
      </c>
      <c r="B80" s="7" t="s">
        <v>7</v>
      </c>
      <c r="C80" s="7" t="s">
        <v>8</v>
      </c>
      <c r="D80" s="7" t="e" vm="37">
        <v>#VALUE!</v>
      </c>
      <c r="E80" s="83">
        <v>342815360</v>
      </c>
      <c r="F80" s="9">
        <v>0.67</v>
      </c>
      <c r="G80" s="9">
        <f>'Category Weightings'!C4/SUM('Category Weightings'!C2,'Category Weightings'!C3,'Category Weightings'!C4,'Category Weightings'!C8,'Category Weightings'!C11)</f>
        <v>0.12760416666666669</v>
      </c>
      <c r="H80" s="9">
        <v>1</v>
      </c>
      <c r="I80" s="84">
        <f t="shared" si="27"/>
        <v>8.5494791666666679</v>
      </c>
      <c r="J80" s="85" t="s">
        <v>194</v>
      </c>
      <c r="K80" s="86">
        <f>IF(J80="US",I80,I80*0.9)*0.75</f>
        <v>6.4121093750000009</v>
      </c>
    </row>
    <row r="81" spans="1:11" ht="20" customHeight="1" x14ac:dyDescent="0.15">
      <c r="A81" s="7" t="s">
        <v>181</v>
      </c>
      <c r="B81" s="7" t="s">
        <v>7</v>
      </c>
      <c r="C81" s="7" t="s">
        <v>5</v>
      </c>
      <c r="D81" s="7" t="e" vm="2">
        <v>#VALUE!</v>
      </c>
      <c r="E81" s="83">
        <v>1801669888</v>
      </c>
      <c r="F81" s="9">
        <f t="shared" si="2"/>
        <v>0.76951903165762747</v>
      </c>
      <c r="G81" s="9">
        <f>'Category Weightings'!C4/SUM('Category Weightings'!C2,'Category Weightings'!C3,'Category Weightings'!C4,'Category Weightings'!C7,'Category Weightings'!C8)</f>
        <v>0.14561664190193166</v>
      </c>
      <c r="H81" s="9">
        <v>1</v>
      </c>
      <c r="I81" s="84">
        <f t="shared" si="27"/>
        <v>11.205477726960995</v>
      </c>
      <c r="J81" s="85" t="s">
        <v>194</v>
      </c>
      <c r="K81" s="86">
        <f>IF(J81="US",I81,I81*0.9)*0.7</f>
        <v>7.8438344088726959</v>
      </c>
    </row>
    <row r="82" spans="1:11" ht="20" customHeight="1" x14ac:dyDescent="0.15">
      <c r="A82" s="7" t="s">
        <v>181</v>
      </c>
      <c r="B82" s="7" t="s">
        <v>7</v>
      </c>
      <c r="C82" s="7" t="s">
        <v>12</v>
      </c>
      <c r="D82" s="7" t="e" vm="3">
        <v>#VALUE!</v>
      </c>
      <c r="E82" s="83">
        <v>1538160000</v>
      </c>
      <c r="F82" s="9">
        <f t="shared" si="3"/>
        <v>0.53536196185021601</v>
      </c>
      <c r="G82" s="9">
        <f>'Category Weightings'!C4/SUM('Category Weightings'!C7,'Category Weightings'!C11,'Category Weightings'!C12,'Category Weightings'!C3,'Category Weightings'!C4,'Category Weightings'!C10,'Category Weightings'!C2)</f>
        <v>8.5927224901359053E-2</v>
      </c>
      <c r="H82" s="9">
        <v>1</v>
      </c>
      <c r="I82" s="84">
        <f t="shared" si="27"/>
        <v>4.6002167699536312</v>
      </c>
      <c r="J82" s="85" t="s">
        <v>194</v>
      </c>
      <c r="K82" s="86">
        <f t="shared" ref="K82:K87" si="29">IF(J82="US",I82,I82*0.9)</f>
        <v>4.6002167699536312</v>
      </c>
    </row>
    <row r="83" spans="1:11" ht="20" customHeight="1" x14ac:dyDescent="0.15">
      <c r="A83" s="7" t="s">
        <v>181</v>
      </c>
      <c r="B83" s="7" t="s">
        <v>7</v>
      </c>
      <c r="C83" s="7" t="s">
        <v>42</v>
      </c>
      <c r="D83" s="7" t="e" vm="5">
        <v>#VALUE!</v>
      </c>
      <c r="E83" s="83">
        <v>5269383168</v>
      </c>
      <c r="F83" s="9">
        <f t="shared" si="6"/>
        <v>0.28453943891249656</v>
      </c>
      <c r="G83" s="9">
        <f>'Category Weightings'!C4/SUM('Category Weightings'!C7,'Category Weightings'!C4,'Category Weightings'!C12,'Category Weightings'!C2,'Category Weightings'!C8)</f>
        <v>0.14192614047791455</v>
      </c>
      <c r="H83" s="9">
        <f t="shared" si="7"/>
        <v>0.56554829707617171</v>
      </c>
      <c r="I83" s="84">
        <f t="shared" si="27"/>
        <v>2.2838867375150231</v>
      </c>
      <c r="J83" s="85" t="s">
        <v>195</v>
      </c>
      <c r="K83" s="86">
        <f t="shared" si="29"/>
        <v>2.0554980637635207</v>
      </c>
    </row>
    <row r="84" spans="1:11" ht="20" customHeight="1" x14ac:dyDescent="0.15">
      <c r="A84" s="7" t="s">
        <v>181</v>
      </c>
      <c r="B84" s="7" t="s">
        <v>7</v>
      </c>
      <c r="C84" s="7" t="s">
        <v>14</v>
      </c>
      <c r="D84" s="7" t="e" vm="6">
        <v>#VALUE!</v>
      </c>
      <c r="E84" s="83">
        <v>634830272</v>
      </c>
      <c r="F84" s="9">
        <f t="shared" si="8"/>
        <v>0.52810541035104086</v>
      </c>
      <c r="G84" s="9">
        <f>'Category Weightings'!C4/SUM('Category Weightings'!C7,'Category Weightings'!C2,'Category Weightings'!C4,'Category Weightings'!C8,'Category Weightings'!C11)</f>
        <v>0.14725770097670923</v>
      </c>
      <c r="H84" s="9">
        <v>1</v>
      </c>
      <c r="I84" s="84">
        <f t="shared" si="27"/>
        <v>7.7767588601655904</v>
      </c>
      <c r="J84" s="85" t="s">
        <v>194</v>
      </c>
      <c r="K84" s="86">
        <f t="shared" si="29"/>
        <v>7.7767588601655904</v>
      </c>
    </row>
    <row r="85" spans="1:11" ht="20" customHeight="1" x14ac:dyDescent="0.15">
      <c r="A85" s="7" t="s">
        <v>181</v>
      </c>
      <c r="B85" s="7" t="s">
        <v>7</v>
      </c>
      <c r="C85" s="7" t="s">
        <v>10</v>
      </c>
      <c r="D85" s="7" t="e" vm="7">
        <v>#VALUE!</v>
      </c>
      <c r="E85" s="83">
        <v>706839232</v>
      </c>
      <c r="F85" s="9">
        <f>(218930+1367412)/5318763</f>
        <v>0.2982539361125886</v>
      </c>
      <c r="G85" s="9">
        <v>1</v>
      </c>
      <c r="H85" s="9">
        <f t="shared" si="10"/>
        <v>0.93124002705140274</v>
      </c>
      <c r="I85" s="84">
        <f t="shared" si="27"/>
        <v>27.774600353367436</v>
      </c>
      <c r="J85" s="85" t="s">
        <v>194</v>
      </c>
      <c r="K85" s="86">
        <f t="shared" si="29"/>
        <v>27.774600353367436</v>
      </c>
    </row>
    <row r="86" spans="1:11" ht="20" customHeight="1" x14ac:dyDescent="0.15">
      <c r="A86" s="7" t="s">
        <v>181</v>
      </c>
      <c r="B86" s="7" t="s">
        <v>7</v>
      </c>
      <c r="C86" s="7" t="s">
        <v>24</v>
      </c>
      <c r="D86" s="7" t="e" vm="8">
        <v>#VALUE!</v>
      </c>
      <c r="E86" s="87">
        <v>18846382080</v>
      </c>
      <c r="F86" s="9">
        <f t="shared" si="11"/>
        <v>0.55409534410886085</v>
      </c>
      <c r="G86" s="9">
        <f>'Category Weightings'!C4/SUM('Category Weightings'!C2,'Category Weightings'!C3,'Category Weightings'!C4,'Category Weightings'!C7,'Category Weightings'!C8,'Category Weightings'!C11)</f>
        <v>0.11800120409391933</v>
      </c>
      <c r="H86" s="9">
        <f t="shared" si="12"/>
        <v>0.37302786265177934</v>
      </c>
      <c r="I86" s="84">
        <f t="shared" si="27"/>
        <v>2.4390023104137981</v>
      </c>
      <c r="J86" s="85" t="s">
        <v>195</v>
      </c>
      <c r="K86" s="86">
        <f t="shared" si="29"/>
        <v>2.1951020793724183</v>
      </c>
    </row>
    <row r="87" spans="1:11" ht="20" customHeight="1" x14ac:dyDescent="0.15">
      <c r="A87" s="7" t="s">
        <v>167</v>
      </c>
      <c r="B87" s="7" t="s">
        <v>7</v>
      </c>
      <c r="C87" s="7" t="s">
        <v>48</v>
      </c>
      <c r="D87" s="7" t="e" vm="1">
        <v>#VALUE!</v>
      </c>
      <c r="E87" s="83">
        <v>9037008896</v>
      </c>
      <c r="F87" s="23">
        <v>0.76100000000000001</v>
      </c>
      <c r="G87" s="9">
        <f>'Category Weightings'!C8/SUM('Category Weightings'!C2,'Category Weightings'!C3,'Category Weightings'!C4,'Category Weightings'!C7,'Category Weightings'!C8,'Category Weightings'!C10,'Category Weightings'!C12,'Category Weightings'!C11)</f>
        <v>3.5925612848689774E-2</v>
      </c>
      <c r="H87" s="9">
        <f t="shared" si="0"/>
        <v>0.40740740740740738</v>
      </c>
      <c r="I87" s="84">
        <f t="shared" si="27"/>
        <v>1.1138270561347485</v>
      </c>
      <c r="J87" s="85" t="s">
        <v>194</v>
      </c>
      <c r="K87" s="86">
        <f t="shared" si="29"/>
        <v>1.1138270561347485</v>
      </c>
    </row>
    <row r="88" spans="1:11" ht="20" customHeight="1" x14ac:dyDescent="0.15">
      <c r="A88" s="7" t="s">
        <v>167</v>
      </c>
      <c r="B88" s="7" t="s">
        <v>7</v>
      </c>
      <c r="C88" s="7" t="s">
        <v>8</v>
      </c>
      <c r="D88" s="7" t="e" vm="37">
        <v>#VALUE!</v>
      </c>
      <c r="E88" s="83">
        <v>342815360</v>
      </c>
      <c r="F88" s="9">
        <v>0.67</v>
      </c>
      <c r="G88" s="9">
        <f>'Category Weightings'!C8/SUM('Category Weightings'!C2,'Category Weightings'!C3,'Category Weightings'!C4,'Category Weightings'!C8,'Category Weightings'!C11)</f>
        <v>5.5338541666666657E-2</v>
      </c>
      <c r="H88" s="9">
        <v>1</v>
      </c>
      <c r="I88" s="84">
        <f t="shared" si="27"/>
        <v>3.7076822916666661</v>
      </c>
      <c r="J88" s="85" t="s">
        <v>194</v>
      </c>
      <c r="K88" s="86">
        <f>IF(J88="US",I88,I88*0.9)*0.75</f>
        <v>2.7807617187499996</v>
      </c>
    </row>
    <row r="89" spans="1:11" ht="20" customHeight="1" x14ac:dyDescent="0.15">
      <c r="A89" s="7" t="s">
        <v>167</v>
      </c>
      <c r="B89" s="7" t="s">
        <v>7</v>
      </c>
      <c r="C89" s="7" t="s">
        <v>5</v>
      </c>
      <c r="D89" s="7" t="e" vm="2">
        <v>#VALUE!</v>
      </c>
      <c r="E89" s="83">
        <v>1801669888</v>
      </c>
      <c r="F89" s="9">
        <f t="shared" si="2"/>
        <v>0.76951903165762747</v>
      </c>
      <c r="G89" s="9">
        <f>'Category Weightings'!C8/SUM('Category Weightings'!C2,'Category Weightings'!C3,'Category Weightings'!C4,'Category Weightings'!C7,'Category Weightings'!C8)</f>
        <v>6.315007429420505E-2</v>
      </c>
      <c r="H89" s="9">
        <v>1</v>
      </c>
      <c r="I89" s="84">
        <f t="shared" si="27"/>
        <v>4.8595184019983906</v>
      </c>
      <c r="J89" s="85" t="s">
        <v>194</v>
      </c>
      <c r="K89" s="86">
        <f>IF(J89="US",I89,I89*0.9)*0.7</f>
        <v>3.4016628813988734</v>
      </c>
    </row>
    <row r="90" spans="1:11" ht="20" customHeight="1" x14ac:dyDescent="0.15">
      <c r="A90" s="7" t="s">
        <v>167</v>
      </c>
      <c r="B90" s="7" t="s">
        <v>7</v>
      </c>
      <c r="C90" s="7" t="s">
        <v>29</v>
      </c>
      <c r="D90" s="7" t="e" vm="61">
        <v>#VALUE!</v>
      </c>
      <c r="E90" s="83">
        <v>166922640</v>
      </c>
      <c r="F90" s="9">
        <f>(388173+85904)/709942</f>
        <v>0.66776863462085634</v>
      </c>
      <c r="G90" s="9">
        <v>1</v>
      </c>
      <c r="H90" s="9">
        <f>1-((12.5+11.4)/709.942)</f>
        <v>0.96633527809314002</v>
      </c>
      <c r="I90" s="84">
        <f t="shared" si="27"/>
        <v>64.528838923822164</v>
      </c>
      <c r="J90" s="85" t="s">
        <v>194</v>
      </c>
      <c r="K90" s="86">
        <f t="shared" ref="K90:K96" si="30">IF(J90="US",I90,I90*0.9)</f>
        <v>64.528838923822164</v>
      </c>
    </row>
    <row r="91" spans="1:11" ht="20" customHeight="1" x14ac:dyDescent="0.15">
      <c r="A91" s="7" t="s">
        <v>167</v>
      </c>
      <c r="B91" s="7" t="s">
        <v>7</v>
      </c>
      <c r="C91" s="7" t="s">
        <v>42</v>
      </c>
      <c r="D91" s="7" t="e" vm="5">
        <v>#VALUE!</v>
      </c>
      <c r="E91" s="83">
        <v>5269383168</v>
      </c>
      <c r="F91" s="9">
        <f t="shared" si="6"/>
        <v>0.28453943891249656</v>
      </c>
      <c r="G91" s="9">
        <f>'Category Weightings'!C8/SUM('Category Weightings'!C7,'Category Weightings'!C4,'Category Weightings'!C12,'Category Weightings'!C2,'Category Weightings'!C8)</f>
        <v>6.15496017378711E-2</v>
      </c>
      <c r="H91" s="9">
        <f t="shared" si="7"/>
        <v>0.56554829707617171</v>
      </c>
      <c r="I91" s="84">
        <f t="shared" si="27"/>
        <v>0.9904610851468213</v>
      </c>
      <c r="J91" s="85" t="s">
        <v>195</v>
      </c>
      <c r="K91" s="86">
        <f t="shared" si="30"/>
        <v>0.8914149766321392</v>
      </c>
    </row>
    <row r="92" spans="1:11" ht="20" customHeight="1" x14ac:dyDescent="0.15">
      <c r="A92" s="7" t="s">
        <v>167</v>
      </c>
      <c r="B92" s="7" t="s">
        <v>7</v>
      </c>
      <c r="C92" s="7" t="s">
        <v>14</v>
      </c>
      <c r="D92" s="7" t="e" vm="6">
        <v>#VALUE!</v>
      </c>
      <c r="E92" s="83">
        <v>634830272</v>
      </c>
      <c r="F92" s="9">
        <f t="shared" si="8"/>
        <v>0.52810541035104086</v>
      </c>
      <c r="G92" s="9">
        <f>'Category Weightings'!C8/SUM('Category Weightings'!C7,'Category Weightings'!C2,'Category Weightings'!C4,'Category Weightings'!C8,'Category Weightings'!C11)</f>
        <v>6.3861758076634106E-2</v>
      </c>
      <c r="H92" s="9">
        <v>1</v>
      </c>
      <c r="I92" s="84">
        <f t="shared" si="27"/>
        <v>3.3725739954799749</v>
      </c>
      <c r="J92" s="85" t="s">
        <v>194</v>
      </c>
      <c r="K92" s="86">
        <f t="shared" si="30"/>
        <v>3.3725739954799749</v>
      </c>
    </row>
    <row r="93" spans="1:11" ht="20" customHeight="1" x14ac:dyDescent="0.15">
      <c r="A93" s="7" t="s">
        <v>167</v>
      </c>
      <c r="B93" s="7" t="s">
        <v>7</v>
      </c>
      <c r="C93" s="7" t="s">
        <v>10</v>
      </c>
      <c r="D93" s="7" t="e" vm="7">
        <v>#VALUE!</v>
      </c>
      <c r="E93" s="83">
        <v>706839232</v>
      </c>
      <c r="F93" s="9">
        <f t="shared" si="9"/>
        <v>2.9216943864579039E-2</v>
      </c>
      <c r="G93" s="9">
        <f>'Category Weightings'!C8/SUM('Category Weightings'!C8,'Category Weightings'!C7,'Category Weightings'!C3)</f>
        <v>0.15740740740740741</v>
      </c>
      <c r="H93" s="9">
        <f t="shared" si="10"/>
        <v>0.93124002705140274</v>
      </c>
      <c r="I93" s="84">
        <f t="shared" si="27"/>
        <v>0.42827387880719281</v>
      </c>
      <c r="J93" s="85" t="s">
        <v>194</v>
      </c>
      <c r="K93" s="86">
        <f t="shared" si="30"/>
        <v>0.42827387880719281</v>
      </c>
    </row>
    <row r="94" spans="1:11" ht="20" customHeight="1" x14ac:dyDescent="0.15">
      <c r="A94" s="7" t="s">
        <v>167</v>
      </c>
      <c r="B94" s="7" t="s">
        <v>7</v>
      </c>
      <c r="C94" s="7" t="s">
        <v>24</v>
      </c>
      <c r="D94" s="7" t="e" vm="8">
        <v>#VALUE!</v>
      </c>
      <c r="E94" s="87">
        <v>18846382080</v>
      </c>
      <c r="F94" s="9">
        <f t="shared" si="11"/>
        <v>0.55409534410886085</v>
      </c>
      <c r="G94" s="9">
        <f>'Category Weightings'!C8/SUM('Category Weightings'!C2,'Category Weightings'!C3,'Category Weightings'!C4,'Category Weightings'!C7,'Category Weightings'!C8,'Category Weightings'!C11)</f>
        <v>5.1173991571342559E-2</v>
      </c>
      <c r="H94" s="9">
        <f t="shared" si="12"/>
        <v>0.37302786265177934</v>
      </c>
      <c r="I94" s="84">
        <f t="shared" si="27"/>
        <v>1.0577305938019022</v>
      </c>
      <c r="J94" s="85" t="s">
        <v>195</v>
      </c>
      <c r="K94" s="86">
        <f t="shared" si="30"/>
        <v>0.95195753442171194</v>
      </c>
    </row>
    <row r="95" spans="1:11" ht="20" customHeight="1" x14ac:dyDescent="0.15">
      <c r="A95" s="7" t="s">
        <v>172</v>
      </c>
      <c r="B95" s="7" t="s">
        <v>7</v>
      </c>
      <c r="C95" s="7" t="s">
        <v>48</v>
      </c>
      <c r="D95" s="7" t="e" vm="1">
        <v>#VALUE!</v>
      </c>
      <c r="E95" s="83">
        <v>9037008896</v>
      </c>
      <c r="F95" s="23">
        <v>0.76100000000000001</v>
      </c>
      <c r="G95" s="9">
        <f>'Category Weightings'!C3/SUM('Category Weightings'!C2,'Category Weightings'!C3,'Category Weightings'!C4,'Category Weightings'!C7,'Category Weightings'!C8,'Category Weightings'!C10,'Category Weightings'!C12,'Category Weightings'!C11)</f>
        <v>0.13947590870667795</v>
      </c>
      <c r="H95" s="9">
        <f t="shared" si="0"/>
        <v>0.40740740740740738</v>
      </c>
      <c r="I95" s="84">
        <f t="shared" ref="I95:I126" si="31">H95*G95*F95*100</f>
        <v>4.3242697473466709</v>
      </c>
      <c r="J95" s="85" t="s">
        <v>194</v>
      </c>
      <c r="K95" s="86">
        <f t="shared" si="30"/>
        <v>4.3242697473466709</v>
      </c>
    </row>
    <row r="96" spans="1:11" ht="20" customHeight="1" x14ac:dyDescent="0.15">
      <c r="A96" s="7" t="s">
        <v>172</v>
      </c>
      <c r="B96" s="7" t="s">
        <v>28</v>
      </c>
      <c r="C96" s="7" t="s">
        <v>31</v>
      </c>
      <c r="D96" s="7" t="e" vm="60">
        <v>#VALUE!</v>
      </c>
      <c r="E96" s="83">
        <v>13520091714</v>
      </c>
      <c r="F96" s="9">
        <v>1</v>
      </c>
      <c r="G96" s="9">
        <f>'Category Weightings'!C3/('Category Weightings'!C4+'Category Weightings'!C3)</f>
        <v>0.62737642585551334</v>
      </c>
      <c r="H96" s="9">
        <f t="shared" si="28"/>
        <v>0.15378486055776894</v>
      </c>
      <c r="I96" s="84">
        <f t="shared" si="31"/>
        <v>9.648099616742158</v>
      </c>
      <c r="J96" s="85" t="s">
        <v>211</v>
      </c>
      <c r="K96" s="86">
        <f t="shared" si="30"/>
        <v>8.6832896550679433</v>
      </c>
    </row>
    <row r="97" spans="1:11" ht="20" customHeight="1" x14ac:dyDescent="0.15">
      <c r="A97" s="7" t="s">
        <v>172</v>
      </c>
      <c r="B97" s="7" t="s">
        <v>7</v>
      </c>
      <c r="C97" s="7" t="s">
        <v>8</v>
      </c>
      <c r="D97" s="7" t="e" vm="37">
        <v>#VALUE!</v>
      </c>
      <c r="E97" s="83">
        <v>342815360</v>
      </c>
      <c r="F97" s="9">
        <v>0.67</v>
      </c>
      <c r="G97" s="9">
        <f>'Category Weightings'!C3/SUM('Category Weightings'!C2,'Category Weightings'!C3,'Category Weightings'!C4,'Category Weightings'!C8,'Category Weightings'!C11)</f>
        <v>0.21484375</v>
      </c>
      <c r="H97" s="9">
        <v>1</v>
      </c>
      <c r="I97" s="84">
        <f t="shared" si="31"/>
        <v>14.39453125</v>
      </c>
      <c r="J97" s="85" t="s">
        <v>194</v>
      </c>
      <c r="K97" s="86">
        <f>IF(J97="US",I97,I97*0.9)*0.75</f>
        <v>10.7958984375</v>
      </c>
    </row>
    <row r="98" spans="1:11" ht="20" customHeight="1" x14ac:dyDescent="0.15">
      <c r="A98" s="7" t="s">
        <v>172</v>
      </c>
      <c r="B98" s="7" t="s">
        <v>7</v>
      </c>
      <c r="C98" s="7" t="s">
        <v>5</v>
      </c>
      <c r="D98" s="7" t="e" vm="2">
        <v>#VALUE!</v>
      </c>
      <c r="E98" s="83">
        <v>1801669888</v>
      </c>
      <c r="F98" s="9">
        <f t="shared" si="2"/>
        <v>0.76951903165762747</v>
      </c>
      <c r="G98" s="9">
        <f>'Category Weightings'!C3/SUM('Category Weightings'!C2,'Category Weightings'!C3,'Category Weightings'!C4,'Category Weightings'!C7,'Category Weightings'!C8)</f>
        <v>0.2451708766716196</v>
      </c>
      <c r="H98" s="9">
        <v>1</v>
      </c>
      <c r="I98" s="84">
        <f t="shared" si="31"/>
        <v>18.866365560699634</v>
      </c>
      <c r="J98" s="85" t="s">
        <v>194</v>
      </c>
      <c r="K98" s="86">
        <f>IF(J98="US",I98,I98*0.9)*0.7</f>
        <v>13.206455892489743</v>
      </c>
    </row>
    <row r="99" spans="1:11" ht="20" customHeight="1" x14ac:dyDescent="0.15">
      <c r="A99" s="7" t="s">
        <v>172</v>
      </c>
      <c r="B99" s="7" t="s">
        <v>28</v>
      </c>
      <c r="C99" s="7" t="s">
        <v>26</v>
      </c>
      <c r="D99" s="7" t="e" vm="62">
        <v>#VALUE!</v>
      </c>
      <c r="E99" s="83">
        <v>1814521856</v>
      </c>
      <c r="F99" s="9">
        <f t="shared" ref="F99:F107" si="32">131163/474692</f>
        <v>0.27631179796583888</v>
      </c>
      <c r="G99" s="9">
        <f>'Category Weightings'!C3/SUM('Category Weightings'!C3,'Category Weightings'!C2)</f>
        <v>0.35106382978723405</v>
      </c>
      <c r="H99" s="9">
        <f t="shared" ref="H99:H107" si="33">259557/474692</f>
        <v>0.54679033984141301</v>
      </c>
      <c r="I99" s="84">
        <f t="shared" si="31"/>
        <v>5.3040345990359414</v>
      </c>
      <c r="J99" s="85" t="s">
        <v>194</v>
      </c>
      <c r="K99" s="86">
        <f t="shared" ref="K99:K104" si="34">IF(J99="US",I99,I99*0.9)</f>
        <v>5.3040345990359414</v>
      </c>
    </row>
    <row r="100" spans="1:11" ht="20" customHeight="1" x14ac:dyDescent="0.15">
      <c r="A100" s="7" t="s">
        <v>172</v>
      </c>
      <c r="B100" s="7" t="s">
        <v>7</v>
      </c>
      <c r="C100" s="7" t="s">
        <v>12</v>
      </c>
      <c r="D100" s="7" t="e" vm="3">
        <v>#VALUE!</v>
      </c>
      <c r="E100" s="83">
        <v>1538160000</v>
      </c>
      <c r="F100" s="9">
        <f t="shared" si="3"/>
        <v>0.53536196185021601</v>
      </c>
      <c r="G100" s="9">
        <f>'Category Weightings'!C3/SUM('Category Weightings'!C7,'Category Weightings'!C11,'Category Weightings'!C12,'Category Weightings'!C3,'Category Weightings'!C4,'Category Weightings'!C10,'Category Weightings'!C2)</f>
        <v>0.1446733888645331</v>
      </c>
      <c r="H100" s="9">
        <v>1</v>
      </c>
      <c r="I100" s="84">
        <f t="shared" si="31"/>
        <v>7.7452629290035633</v>
      </c>
      <c r="J100" s="85" t="s">
        <v>194</v>
      </c>
      <c r="K100" s="86">
        <f t="shared" si="34"/>
        <v>7.7452629290035633</v>
      </c>
    </row>
    <row r="101" spans="1:11" ht="20" customHeight="1" x14ac:dyDescent="0.15">
      <c r="A101" s="7" t="s">
        <v>172</v>
      </c>
      <c r="B101" s="7" t="s">
        <v>28</v>
      </c>
      <c r="C101" s="7" t="s">
        <v>99</v>
      </c>
      <c r="D101" s="7" t="e" vm="55">
        <v>#VALUE!</v>
      </c>
      <c r="E101" s="83">
        <v>113981613160</v>
      </c>
      <c r="F101" s="9">
        <f t="shared" si="25"/>
        <v>0.15842069339680429</v>
      </c>
      <c r="G101" s="9">
        <f>'Category Weightings'!C3/SUM('Category Weightings'!C5,'Category Weightings'!C6,'Category Weightings'!C3)</f>
        <v>0.81481481481481488</v>
      </c>
      <c r="H101" s="9">
        <f t="shared" si="26"/>
        <v>0.22718283484135179</v>
      </c>
      <c r="I101" s="84">
        <f t="shared" si="31"/>
        <v>2.9325561811674432</v>
      </c>
      <c r="J101" s="85" t="s">
        <v>209</v>
      </c>
      <c r="K101" s="86">
        <f t="shared" si="34"/>
        <v>2.6393005630506989</v>
      </c>
    </row>
    <row r="102" spans="1:11" ht="20" customHeight="1" x14ac:dyDescent="0.15">
      <c r="A102" s="7" t="s">
        <v>172</v>
      </c>
      <c r="B102" s="7" t="s">
        <v>7</v>
      </c>
      <c r="C102" s="7" t="s">
        <v>10</v>
      </c>
      <c r="D102" s="7" t="e" vm="7">
        <v>#VALUE!</v>
      </c>
      <c r="E102" s="83">
        <v>706839232</v>
      </c>
      <c r="F102" s="9">
        <f t="shared" si="9"/>
        <v>2.9216943864579039E-2</v>
      </c>
      <c r="G102" s="9">
        <f>'Category Weightings'!C3/SUM('Category Weightings'!C8,'Category Weightings'!C7,'Category Weightings'!C3)</f>
        <v>0.61111111111111116</v>
      </c>
      <c r="H102" s="9">
        <f t="shared" si="10"/>
        <v>0.93124002705140274</v>
      </c>
      <c r="I102" s="84">
        <f t="shared" si="31"/>
        <v>1.6627103530161607</v>
      </c>
      <c r="J102" s="85" t="s">
        <v>194</v>
      </c>
      <c r="K102" s="86">
        <f t="shared" si="34"/>
        <v>1.6627103530161607</v>
      </c>
    </row>
    <row r="103" spans="1:11" ht="20" customHeight="1" x14ac:dyDescent="0.15">
      <c r="A103" s="7" t="s">
        <v>172</v>
      </c>
      <c r="B103" s="7" t="s">
        <v>7</v>
      </c>
      <c r="C103" s="7" t="s">
        <v>24</v>
      </c>
      <c r="D103" s="7" t="e" vm="8">
        <v>#VALUE!</v>
      </c>
      <c r="E103" s="87">
        <v>18846382080</v>
      </c>
      <c r="F103" s="9">
        <f t="shared" si="11"/>
        <v>0.55409534410886085</v>
      </c>
      <c r="G103" s="9">
        <f>'Category Weightings'!C3/SUM('Category Weightings'!C2,'Category Weightings'!C3,'Category Weightings'!C4,'Category Weightings'!C7,'Category Weightings'!C8,'Category Weightings'!C11)</f>
        <v>0.19867549668874171</v>
      </c>
      <c r="H103" s="9">
        <f t="shared" si="12"/>
        <v>0.37302786265177934</v>
      </c>
      <c r="I103" s="84">
        <f t="shared" si="31"/>
        <v>4.1064834818191498</v>
      </c>
      <c r="J103" s="85" t="s">
        <v>195</v>
      </c>
      <c r="K103" s="86">
        <f t="shared" si="34"/>
        <v>3.6958351336372348</v>
      </c>
    </row>
    <row r="104" spans="1:11" ht="20" customHeight="1" x14ac:dyDescent="0.15">
      <c r="A104" s="7" t="s">
        <v>171</v>
      </c>
      <c r="B104" s="7" t="s">
        <v>7</v>
      </c>
      <c r="C104" s="7" t="s">
        <v>48</v>
      </c>
      <c r="D104" s="7" t="e" vm="1">
        <v>#VALUE!</v>
      </c>
      <c r="E104" s="83">
        <v>9037008896</v>
      </c>
      <c r="F104" s="23">
        <v>0.76100000000000001</v>
      </c>
      <c r="G104" s="9">
        <f>'Category Weightings'!C2/SUM('Category Weightings'!C2,'Category Weightings'!C3,'Category Weightings'!C4,'Category Weightings'!C7,'Category Weightings'!C8,'Category Weightings'!C10,'Category Weightings'!C12,'Category Weightings'!C11)</f>
        <v>0.25781910397295016</v>
      </c>
      <c r="H104" s="9">
        <f t="shared" si="0"/>
        <v>0.40740740740740738</v>
      </c>
      <c r="I104" s="84">
        <f t="shared" si="31"/>
        <v>7.9933471087317258</v>
      </c>
      <c r="J104" s="85" t="s">
        <v>194</v>
      </c>
      <c r="K104" s="86">
        <f t="shared" si="34"/>
        <v>7.9933471087317258</v>
      </c>
    </row>
    <row r="105" spans="1:11" ht="20" customHeight="1" x14ac:dyDescent="0.15">
      <c r="A105" s="7" t="s">
        <v>171</v>
      </c>
      <c r="B105" s="7" t="s">
        <v>7</v>
      </c>
      <c r="C105" s="7" t="s">
        <v>8</v>
      </c>
      <c r="D105" s="7" t="e" vm="37">
        <v>#VALUE!</v>
      </c>
      <c r="E105" s="83">
        <v>342815360</v>
      </c>
      <c r="F105" s="9">
        <v>0.67</v>
      </c>
      <c r="G105" s="9">
        <f>'Category Weightings'!C2/SUM('Category Weightings'!C2,'Category Weightings'!C3,'Category Weightings'!C4,'Category Weightings'!C8,'Category Weightings'!C11)</f>
        <v>0.39713541666666669</v>
      </c>
      <c r="H105" s="9">
        <v>1</v>
      </c>
      <c r="I105" s="84">
        <f t="shared" si="31"/>
        <v>26.608072916666671</v>
      </c>
      <c r="J105" s="85" t="s">
        <v>194</v>
      </c>
      <c r="K105" s="86">
        <f>IF(J105="US",I105,I105*0.9)*0.75</f>
        <v>19.956054687500004</v>
      </c>
    </row>
    <row r="106" spans="1:11" ht="20" customHeight="1" x14ac:dyDescent="0.15">
      <c r="A106" s="7" t="s">
        <v>171</v>
      </c>
      <c r="B106" s="7" t="s">
        <v>7</v>
      </c>
      <c r="C106" s="7" t="s">
        <v>5</v>
      </c>
      <c r="D106" s="7" t="e" vm="2">
        <v>#VALUE!</v>
      </c>
      <c r="E106" s="83">
        <v>1801669888</v>
      </c>
      <c r="F106" s="9">
        <f t="shared" si="2"/>
        <v>0.76951903165762747</v>
      </c>
      <c r="G106" s="9">
        <f>'Category Weightings'!C2/SUM('Category Weightings'!C2,'Category Weightings'!C3,'Category Weightings'!C4,'Category Weightings'!C7,'Category Weightings'!C8)</f>
        <v>0.45319465081723631</v>
      </c>
      <c r="H106" s="9">
        <v>1</v>
      </c>
      <c r="I106" s="84">
        <f t="shared" si="31"/>
        <v>34.874190884929632</v>
      </c>
      <c r="J106" s="85" t="s">
        <v>194</v>
      </c>
      <c r="K106" s="86">
        <f>IF(J106="US",I106,I106*0.9)*0.7</f>
        <v>24.411933619450743</v>
      </c>
    </row>
    <row r="107" spans="1:11" ht="20" customHeight="1" x14ac:dyDescent="0.15">
      <c r="A107" s="7" t="s">
        <v>171</v>
      </c>
      <c r="B107" s="7" t="s">
        <v>28</v>
      </c>
      <c r="C107" s="7" t="s">
        <v>26</v>
      </c>
      <c r="D107" s="7" t="e" vm="62">
        <v>#VALUE!</v>
      </c>
      <c r="E107" s="83">
        <v>1814521856</v>
      </c>
      <c r="F107" s="9">
        <f t="shared" si="32"/>
        <v>0.27631179796583888</v>
      </c>
      <c r="G107" s="9">
        <f>'Category Weightings'!C2/SUM('Category Weightings'!C2,'Category Weightings'!C3)</f>
        <v>0.64893617021276606</v>
      </c>
      <c r="H107" s="9">
        <f t="shared" si="33"/>
        <v>0.54679033984141301</v>
      </c>
      <c r="I107" s="84">
        <f t="shared" si="31"/>
        <v>9.8044275921573476</v>
      </c>
      <c r="J107" s="85" t="s">
        <v>194</v>
      </c>
      <c r="K107" s="86">
        <f t="shared" ref="K107:K116" si="35">IF(J107="US",I107,I107*0.9)</f>
        <v>9.8044275921573476</v>
      </c>
    </row>
    <row r="108" spans="1:11" ht="20" customHeight="1" x14ac:dyDescent="0.15">
      <c r="A108" s="7" t="s">
        <v>171</v>
      </c>
      <c r="B108" s="7" t="s">
        <v>7</v>
      </c>
      <c r="C108" s="7" t="s">
        <v>16</v>
      </c>
      <c r="D108" s="7" t="e" vm="59">
        <v>#VALUE!</v>
      </c>
      <c r="E108" s="83">
        <v>1658581248</v>
      </c>
      <c r="F108" s="9">
        <f>1093014/2247392*0.25</f>
        <v>0.12158693276473352</v>
      </c>
      <c r="G108" s="9">
        <v>1</v>
      </c>
      <c r="H108" s="9">
        <v>0.92700000000000005</v>
      </c>
      <c r="I108" s="84">
        <f t="shared" si="31"/>
        <v>11.271108667290799</v>
      </c>
      <c r="J108" s="85" t="s">
        <v>194</v>
      </c>
      <c r="K108" s="86">
        <f t="shared" si="35"/>
        <v>11.271108667290799</v>
      </c>
    </row>
    <row r="109" spans="1:11" ht="20" customHeight="1" x14ac:dyDescent="0.15">
      <c r="A109" s="7" t="s">
        <v>171</v>
      </c>
      <c r="B109" s="7" t="s">
        <v>7</v>
      </c>
      <c r="C109" s="7" t="s">
        <v>12</v>
      </c>
      <c r="D109" s="7" t="e" vm="3">
        <v>#VALUE!</v>
      </c>
      <c r="E109" s="83">
        <v>1538160000</v>
      </c>
      <c r="F109" s="9">
        <f t="shared" si="3"/>
        <v>0.53536196185021601</v>
      </c>
      <c r="G109" s="9">
        <f>'Category Weightings'!C2/SUM('Category Weightings'!C7,'Category Weightings'!C11,'Category Weightings'!C12,'Category Weightings'!C3,'Category Weightings'!C4,'Category Weightings'!C10,'Category Weightings'!C2)</f>
        <v>0.26742656729504605</v>
      </c>
      <c r="H109" s="9">
        <v>1</v>
      </c>
      <c r="I109" s="84">
        <f t="shared" si="31"/>
        <v>14.317001171794466</v>
      </c>
      <c r="J109" s="85" t="s">
        <v>194</v>
      </c>
      <c r="K109" s="86">
        <f t="shared" si="35"/>
        <v>14.317001171794466</v>
      </c>
    </row>
    <row r="110" spans="1:11" ht="20" customHeight="1" x14ac:dyDescent="0.15">
      <c r="A110" s="7" t="s">
        <v>171</v>
      </c>
      <c r="B110" s="7" t="s">
        <v>7</v>
      </c>
      <c r="C110" s="7" t="s">
        <v>22</v>
      </c>
      <c r="D110" s="7" t="e" vm="4">
        <v>#VALUE!</v>
      </c>
      <c r="E110" s="83">
        <v>1347578496</v>
      </c>
      <c r="F110" s="9">
        <f t="shared" si="5"/>
        <v>0.12414732133523243</v>
      </c>
      <c r="G110" s="9">
        <f>'Category Weightings'!C2/SUM('Category Weightings'!C2,'Category Weightings'!C7,'Category Weightings'!C10)</f>
        <v>0.56744186046511635</v>
      </c>
      <c r="H110" s="9">
        <v>1</v>
      </c>
      <c r="I110" s="84">
        <f t="shared" si="31"/>
        <v>7.0446386990224932</v>
      </c>
      <c r="J110" s="85" t="s">
        <v>194</v>
      </c>
      <c r="K110" s="86">
        <f t="shared" si="35"/>
        <v>7.0446386990224932</v>
      </c>
    </row>
    <row r="111" spans="1:11" ht="20" customHeight="1" x14ac:dyDescent="0.15">
      <c r="A111" s="7" t="s">
        <v>171</v>
      </c>
      <c r="B111" s="7" t="s">
        <v>7</v>
      </c>
      <c r="C111" s="7" t="s">
        <v>42</v>
      </c>
      <c r="D111" s="7" t="e" vm="5">
        <v>#VALUE!</v>
      </c>
      <c r="E111" s="83">
        <v>5269383168</v>
      </c>
      <c r="F111" s="9">
        <f t="shared" si="6"/>
        <v>0.28453943891249656</v>
      </c>
      <c r="G111" s="9">
        <f>'Category Weightings'!C2/SUM('Category Weightings'!C7,'Category Weightings'!C4,'Category Weightings'!C12,'Category Weightings'!C8,'Category Weightings'!C2)</f>
        <v>0.44170890658942802</v>
      </c>
      <c r="H111" s="9">
        <f t="shared" si="7"/>
        <v>0.56554829707617171</v>
      </c>
      <c r="I111" s="84">
        <f t="shared" si="31"/>
        <v>7.1080148463477784</v>
      </c>
      <c r="J111" s="85" t="s">
        <v>195</v>
      </c>
      <c r="K111" s="86">
        <f t="shared" si="35"/>
        <v>6.3972133617130007</v>
      </c>
    </row>
    <row r="112" spans="1:11" ht="20" customHeight="1" x14ac:dyDescent="0.15">
      <c r="A112" s="7" t="s">
        <v>171</v>
      </c>
      <c r="B112" s="7" t="s">
        <v>7</v>
      </c>
      <c r="C112" s="7" t="s">
        <v>14</v>
      </c>
      <c r="D112" s="7" t="e" vm="6">
        <v>#VALUE!</v>
      </c>
      <c r="E112" s="83">
        <v>634830272</v>
      </c>
      <c r="F112" s="9">
        <f t="shared" si="8"/>
        <v>0.52810541035104086</v>
      </c>
      <c r="G112" s="9">
        <f>'Category Weightings'!C2/SUM('Category Weightings'!C7,'Category Weightings'!C2,'Category Weightings'!C4,'Category Weightings'!C8,'Category Weightings'!C11)</f>
        <v>0.45830202854996244</v>
      </c>
      <c r="H112" s="9">
        <v>1</v>
      </c>
      <c r="I112" s="84">
        <f t="shared" si="31"/>
        <v>24.203178085209235</v>
      </c>
      <c r="J112" s="85" t="s">
        <v>194</v>
      </c>
      <c r="K112" s="86">
        <f t="shared" si="35"/>
        <v>24.203178085209235</v>
      </c>
    </row>
    <row r="113" spans="1:11" ht="20" customHeight="1" x14ac:dyDescent="0.15">
      <c r="A113" s="7" t="s">
        <v>171</v>
      </c>
      <c r="B113" s="7" t="s">
        <v>7</v>
      </c>
      <c r="C113" s="7" t="s">
        <v>10</v>
      </c>
      <c r="D113" s="7" t="e" vm="7">
        <v>#VALUE!</v>
      </c>
      <c r="E113" s="83">
        <v>706839232</v>
      </c>
      <c r="F113" s="9">
        <f>(306161+122254+592430)/5318763</f>
        <v>0.19193278587521195</v>
      </c>
      <c r="G113" s="9">
        <v>1</v>
      </c>
      <c r="H113" s="9">
        <f t="shared" si="10"/>
        <v>0.93124002705140274</v>
      </c>
      <c r="I113" s="84">
        <f t="shared" si="31"/>
        <v>17.873549271048347</v>
      </c>
      <c r="J113" s="85" t="s">
        <v>194</v>
      </c>
      <c r="K113" s="86">
        <f t="shared" si="35"/>
        <v>17.873549271048347</v>
      </c>
    </row>
    <row r="114" spans="1:11" ht="20" customHeight="1" x14ac:dyDescent="0.15">
      <c r="A114" s="7" t="s">
        <v>171</v>
      </c>
      <c r="B114" s="7" t="s">
        <v>7</v>
      </c>
      <c r="C114" s="7" t="s">
        <v>24</v>
      </c>
      <c r="D114" s="7" t="e" vm="8">
        <v>#VALUE!</v>
      </c>
      <c r="E114" s="87">
        <v>18846382080</v>
      </c>
      <c r="F114" s="9">
        <f t="shared" si="11"/>
        <v>0.55409534410886085</v>
      </c>
      <c r="G114" s="9">
        <f>'Category Weightings'!C2/SUM('Category Weightings'!C2,'Category Weightings'!C3,'Category Weightings'!C4,'Category Weightings'!C7,'Category Weightings'!C8,'Category Weightings'!C11)</f>
        <v>0.36724864539434077</v>
      </c>
      <c r="H114" s="9">
        <f t="shared" si="12"/>
        <v>0.37302786265177934</v>
      </c>
      <c r="I114" s="84">
        <f t="shared" si="31"/>
        <v>7.5907724966960046</v>
      </c>
      <c r="J114" s="85" t="s">
        <v>195</v>
      </c>
      <c r="K114" s="86">
        <f t="shared" si="35"/>
        <v>6.8316952470264045</v>
      </c>
    </row>
    <row r="115" spans="1:11" ht="20" customHeight="1" x14ac:dyDescent="0.15">
      <c r="A115" s="7" t="s">
        <v>152</v>
      </c>
      <c r="B115" s="7" t="s">
        <v>7</v>
      </c>
      <c r="C115" s="7" t="s">
        <v>48</v>
      </c>
      <c r="D115" s="7" t="e" vm="1">
        <v>#VALUE!</v>
      </c>
      <c r="E115" s="83">
        <v>9037008896</v>
      </c>
      <c r="F115" s="23">
        <v>0.76100000000000001</v>
      </c>
      <c r="G115" s="9">
        <f>'Category Weightings'!C11/SUM('Category Weightings'!C2,'Category Weightings'!C3,'Category Weightings'!C4,'Category Weightings'!C7,'Category Weightings'!C8,'Category Weightings'!C10,'Category Weightings'!C12,'Category Weightings'!C11)</f>
        <v>0.13313609467455623</v>
      </c>
      <c r="H115" s="9">
        <f t="shared" si="0"/>
        <v>0.40740740740740738</v>
      </c>
      <c r="I115" s="84">
        <f t="shared" si="31"/>
        <v>4.1277120315581852</v>
      </c>
      <c r="J115" s="85" t="s">
        <v>194</v>
      </c>
      <c r="K115" s="86">
        <f t="shared" si="35"/>
        <v>4.1277120315581852</v>
      </c>
    </row>
    <row r="116" spans="1:11" ht="20" customHeight="1" x14ac:dyDescent="0.15">
      <c r="A116" s="7" t="s">
        <v>152</v>
      </c>
      <c r="B116" s="7" t="s">
        <v>28</v>
      </c>
      <c r="C116" s="7" t="s">
        <v>89</v>
      </c>
      <c r="D116" s="7" t="e" vm="63">
        <v>#VALUE!</v>
      </c>
      <c r="E116" s="83">
        <v>4536391168</v>
      </c>
      <c r="F116" s="9">
        <v>1</v>
      </c>
      <c r="G116" s="9">
        <v>1</v>
      </c>
      <c r="H116" s="9">
        <f>1164634/1429456</f>
        <v>0.81473931341713213</v>
      </c>
      <c r="I116" s="84">
        <f t="shared" si="31"/>
        <v>81.473931341713211</v>
      </c>
      <c r="J116" s="85" t="s">
        <v>194</v>
      </c>
      <c r="K116" s="86">
        <f t="shared" si="35"/>
        <v>81.473931341713211</v>
      </c>
    </row>
    <row r="117" spans="1:11" ht="20" customHeight="1" x14ac:dyDescent="0.15">
      <c r="A117" s="7" t="s">
        <v>152</v>
      </c>
      <c r="B117" s="7" t="s">
        <v>7</v>
      </c>
      <c r="C117" s="7" t="s">
        <v>8</v>
      </c>
      <c r="D117" s="7" t="e" vm="37">
        <v>#VALUE!</v>
      </c>
      <c r="E117" s="83">
        <v>342815360</v>
      </c>
      <c r="F117" s="9">
        <v>0.67</v>
      </c>
      <c r="G117" s="9">
        <f>'Category Weightings'!C11/SUM('Category Weightings'!C2,'Category Weightings'!C3,'Category Weightings'!C4,'Category Weightings'!C8,'Category Weightings'!C11)</f>
        <v>0.205078125</v>
      </c>
      <c r="H117" s="9">
        <v>1</v>
      </c>
      <c r="I117" s="84">
        <f t="shared" si="31"/>
        <v>13.740234375000002</v>
      </c>
      <c r="J117" s="85" t="s">
        <v>194</v>
      </c>
      <c r="K117" s="86">
        <f>IF(J117="US",I117,I117*0.9)*0.75</f>
        <v>10.305175781250002</v>
      </c>
    </row>
    <row r="118" spans="1:11" ht="20" customHeight="1" x14ac:dyDescent="0.15">
      <c r="A118" s="7" t="s">
        <v>152</v>
      </c>
      <c r="B118" s="7" t="s">
        <v>28</v>
      </c>
      <c r="C118" s="7" t="s">
        <v>72</v>
      </c>
      <c r="D118" s="7" t="e" vm="64">
        <v>#VALUE!</v>
      </c>
      <c r="E118" s="83">
        <v>3013630464</v>
      </c>
      <c r="F118" s="9">
        <v>1</v>
      </c>
      <c r="G118" s="9">
        <v>1</v>
      </c>
      <c r="H118" s="9">
        <f>376426/425544</f>
        <v>0.88457597804222365</v>
      </c>
      <c r="I118" s="84">
        <f t="shared" si="31"/>
        <v>88.45759780422236</v>
      </c>
      <c r="J118" s="85" t="s">
        <v>194</v>
      </c>
      <c r="K118" s="86">
        <f t="shared" ref="K118:K123" si="36">IF(J118="US",I118,I118*0.9)</f>
        <v>88.45759780422236</v>
      </c>
    </row>
    <row r="119" spans="1:11" ht="20" customHeight="1" x14ac:dyDescent="0.15">
      <c r="A119" s="7" t="s">
        <v>152</v>
      </c>
      <c r="B119" s="7" t="s">
        <v>28</v>
      </c>
      <c r="C119" s="7" t="s">
        <v>212</v>
      </c>
      <c r="D119" s="7" t="e" vm="65">
        <v>#VALUE!</v>
      </c>
      <c r="E119" s="83">
        <v>229126225920</v>
      </c>
      <c r="F119" s="9">
        <f>1910/22284</f>
        <v>8.5711721414467784E-2</v>
      </c>
      <c r="G119" s="9">
        <v>1</v>
      </c>
      <c r="H119" s="23">
        <v>0.88100000000000001</v>
      </c>
      <c r="I119" s="84">
        <f t="shared" si="31"/>
        <v>7.5512026566146115</v>
      </c>
      <c r="J119" s="85" t="s">
        <v>194</v>
      </c>
      <c r="K119" s="86">
        <f t="shared" si="36"/>
        <v>7.5512026566146115</v>
      </c>
    </row>
    <row r="120" spans="1:11" ht="20" customHeight="1" x14ac:dyDescent="0.15">
      <c r="A120" s="7" t="s">
        <v>152</v>
      </c>
      <c r="B120" s="7" t="s">
        <v>28</v>
      </c>
      <c r="C120" s="7" t="s">
        <v>213</v>
      </c>
      <c r="D120" s="7" t="e" vm="66">
        <v>#VALUE!</v>
      </c>
      <c r="E120" s="83">
        <v>1081893888</v>
      </c>
      <c r="F120" s="9">
        <f>7274/118986</f>
        <v>6.1133242566352344E-2</v>
      </c>
      <c r="G120" s="9">
        <v>1</v>
      </c>
      <c r="H120" s="9">
        <v>1</v>
      </c>
      <c r="I120" s="84">
        <f t="shared" si="31"/>
        <v>6.1133242566352344</v>
      </c>
      <c r="J120" s="85" t="s">
        <v>194</v>
      </c>
      <c r="K120" s="86">
        <f t="shared" si="36"/>
        <v>6.1133242566352344</v>
      </c>
    </row>
    <row r="121" spans="1:11" ht="20" customHeight="1" x14ac:dyDescent="0.15">
      <c r="A121" s="7" t="s">
        <v>152</v>
      </c>
      <c r="B121" s="7" t="s">
        <v>28</v>
      </c>
      <c r="C121" s="7" t="s">
        <v>117</v>
      </c>
      <c r="D121" s="7" t="e" vm="67">
        <v>#VALUE!</v>
      </c>
      <c r="E121" s="83">
        <v>3818136320</v>
      </c>
      <c r="F121" s="9">
        <f>327.6/734.7</f>
        <v>0.44589628419763166</v>
      </c>
      <c r="G121" s="9">
        <v>1</v>
      </c>
      <c r="H121" s="9">
        <v>0.92700000000000005</v>
      </c>
      <c r="I121" s="84">
        <f t="shared" si="31"/>
        <v>41.334585545120454</v>
      </c>
      <c r="J121" s="85" t="s">
        <v>194</v>
      </c>
      <c r="K121" s="86">
        <f t="shared" si="36"/>
        <v>41.334585545120454</v>
      </c>
    </row>
    <row r="122" spans="1:11" ht="20" customHeight="1" x14ac:dyDescent="0.15">
      <c r="A122" s="7" t="s">
        <v>152</v>
      </c>
      <c r="B122" s="7" t="s">
        <v>28</v>
      </c>
      <c r="C122" s="7" t="s">
        <v>97</v>
      </c>
      <c r="D122" s="7" t="e" vm="38">
        <v>#VALUE!</v>
      </c>
      <c r="E122" s="83">
        <v>5108915200</v>
      </c>
      <c r="F122" s="9">
        <v>1</v>
      </c>
      <c r="G122" s="9">
        <f>'Category Weightings'!C11/SUM('Category Weightings'!C11,'Category Weightings'!C10)</f>
        <v>0.48091603053435111</v>
      </c>
      <c r="H122" s="9">
        <f t="shared" si="16"/>
        <v>0.34710743149253753</v>
      </c>
      <c r="I122" s="84">
        <f t="shared" si="31"/>
        <v>16.692952812236538</v>
      </c>
      <c r="J122" s="85" t="s">
        <v>194</v>
      </c>
      <c r="K122" s="86">
        <f t="shared" si="36"/>
        <v>16.692952812236538</v>
      </c>
    </row>
    <row r="123" spans="1:11" ht="20" customHeight="1" x14ac:dyDescent="0.15">
      <c r="A123" s="7" t="s">
        <v>152</v>
      </c>
      <c r="B123" s="7" t="s">
        <v>28</v>
      </c>
      <c r="C123" s="7" t="s">
        <v>50</v>
      </c>
      <c r="D123" s="7" t="e" vm="39">
        <v>#VALUE!</v>
      </c>
      <c r="E123" s="83">
        <v>919656768</v>
      </c>
      <c r="F123" s="9">
        <v>1</v>
      </c>
      <c r="G123" s="9">
        <f>'Category Weightings'!C10/SUM('Category Weightings'!C11,'Category Weightings'!C10)</f>
        <v>0.51908396946564883</v>
      </c>
      <c r="H123" s="9">
        <f t="shared" si="18"/>
        <v>0.70755400940490076</v>
      </c>
      <c r="I123" s="84">
        <f t="shared" si="31"/>
        <v>36.727994381323093</v>
      </c>
      <c r="J123" s="85" t="s">
        <v>194</v>
      </c>
      <c r="K123" s="86">
        <f t="shared" si="36"/>
        <v>36.727994381323093</v>
      </c>
    </row>
    <row r="124" spans="1:11" ht="20" customHeight="1" x14ac:dyDescent="0.15">
      <c r="A124" s="7" t="s">
        <v>152</v>
      </c>
      <c r="B124" s="7" t="s">
        <v>7</v>
      </c>
      <c r="C124" s="7" t="s">
        <v>5</v>
      </c>
      <c r="D124" s="7" t="e" vm="2">
        <v>#VALUE!</v>
      </c>
      <c r="E124" s="83">
        <v>1801669888</v>
      </c>
      <c r="F124" s="9">
        <f>440317/3562459</f>
        <v>0.12359917686070211</v>
      </c>
      <c r="G124" s="9">
        <v>1</v>
      </c>
      <c r="H124" s="9">
        <v>0.68</v>
      </c>
      <c r="I124" s="84">
        <f t="shared" si="31"/>
        <v>8.4047440265277444</v>
      </c>
      <c r="J124" s="85" t="s">
        <v>194</v>
      </c>
      <c r="K124" s="86">
        <f>IF(J124="US",I124,I124*0.9)*0.7</f>
        <v>5.8833208185694206</v>
      </c>
    </row>
    <row r="125" spans="1:11" ht="20" customHeight="1" x14ac:dyDescent="0.15">
      <c r="A125" s="7" t="s">
        <v>152</v>
      </c>
      <c r="B125" s="7" t="s">
        <v>28</v>
      </c>
      <c r="C125" s="7" t="s">
        <v>129</v>
      </c>
      <c r="D125" s="7" t="e" vm="40">
        <v>#VALUE!</v>
      </c>
      <c r="E125" s="83">
        <v>17003054080</v>
      </c>
      <c r="F125" s="9">
        <f t="shared" si="19"/>
        <v>0.25905004409677307</v>
      </c>
      <c r="G125" s="9">
        <f>'Category Weightings'!C11/SUM('Category Weightings'!C11,'Category Weightings'!C10)</f>
        <v>0.48091603053435111</v>
      </c>
      <c r="H125" s="9">
        <f t="shared" si="20"/>
        <v>0.5647925009548016</v>
      </c>
      <c r="I125" s="84">
        <f t="shared" si="31"/>
        <v>7.0362594683249524</v>
      </c>
      <c r="J125" s="85" t="s">
        <v>194</v>
      </c>
      <c r="K125" s="86">
        <f t="shared" ref="K125:K140" si="37">IF(J125="US",I125,I125*0.9)</f>
        <v>7.0362594683249524</v>
      </c>
    </row>
    <row r="126" spans="1:11" ht="20" customHeight="1" x14ac:dyDescent="0.15">
      <c r="A126" s="7" t="s">
        <v>152</v>
      </c>
      <c r="B126" s="7" t="s">
        <v>35</v>
      </c>
      <c r="C126" s="7" t="s">
        <v>115</v>
      </c>
      <c r="D126" s="7" t="e" vm="68">
        <v>#VALUE!</v>
      </c>
      <c r="E126" s="83">
        <v>2555346432</v>
      </c>
      <c r="F126" s="9">
        <f>1583002/2425292</f>
        <v>0.65270573605157645</v>
      </c>
      <c r="G126" s="9">
        <v>1</v>
      </c>
      <c r="H126" s="9">
        <f>1765810/2398043</f>
        <v>0.73635460248210727</v>
      </c>
      <c r="I126" s="84">
        <f t="shared" si="31"/>
        <v>48.062287280804981</v>
      </c>
      <c r="J126" s="85" t="s">
        <v>194</v>
      </c>
      <c r="K126" s="86">
        <f t="shared" si="37"/>
        <v>48.062287280804981</v>
      </c>
    </row>
    <row r="127" spans="1:11" ht="20" customHeight="1" x14ac:dyDescent="0.15">
      <c r="A127" s="7" t="s">
        <v>152</v>
      </c>
      <c r="B127" s="7" t="s">
        <v>28</v>
      </c>
      <c r="C127" s="7" t="s">
        <v>68</v>
      </c>
      <c r="D127" s="7" t="e" vm="69">
        <v>#VALUE!</v>
      </c>
      <c r="E127" s="83">
        <v>2435481600</v>
      </c>
      <c r="F127" s="9">
        <f>(788.9+74.1)/964.1</f>
        <v>0.89513535940255162</v>
      </c>
      <c r="G127" s="9">
        <v>1</v>
      </c>
      <c r="H127" s="9">
        <v>1</v>
      </c>
      <c r="I127" s="84">
        <f t="shared" ref="I127:I158" si="38">H127*G127*F127*100</f>
        <v>89.513535940255167</v>
      </c>
      <c r="J127" s="85" t="s">
        <v>194</v>
      </c>
      <c r="K127" s="86">
        <f t="shared" si="37"/>
        <v>89.513535940255167</v>
      </c>
    </row>
    <row r="128" spans="1:11" ht="20" customHeight="1" x14ac:dyDescent="0.15">
      <c r="A128" s="7" t="s">
        <v>152</v>
      </c>
      <c r="B128" s="7" t="s">
        <v>7</v>
      </c>
      <c r="C128" s="7" t="s">
        <v>12</v>
      </c>
      <c r="D128" s="7" t="e" vm="3">
        <v>#VALUE!</v>
      </c>
      <c r="E128" s="83">
        <v>1538160000</v>
      </c>
      <c r="F128" s="9">
        <f t="shared" si="3"/>
        <v>0.53536196185021601</v>
      </c>
      <c r="G128" s="9">
        <f>'Category Weightings'!C11/SUM('Category Weightings'!C7,'Category Weightings'!C11,'Category Weightings'!C12,'Category Weightings'!C3,'Category Weightings'!C4,'Category Weightings'!C10,'Category Weightings'!C2)</f>
        <v>0.13809732573432704</v>
      </c>
      <c r="H128" s="9">
        <v>1</v>
      </c>
      <c r="I128" s="84">
        <f t="shared" si="38"/>
        <v>7.3932055231397644</v>
      </c>
      <c r="J128" s="85" t="s">
        <v>194</v>
      </c>
      <c r="K128" s="86">
        <f t="shared" si="37"/>
        <v>7.3932055231397644</v>
      </c>
    </row>
    <row r="129" spans="1:11" ht="20" customHeight="1" x14ac:dyDescent="0.15">
      <c r="A129" s="7" t="s">
        <v>152</v>
      </c>
      <c r="B129" s="7" t="s">
        <v>35</v>
      </c>
      <c r="C129" s="7" t="s">
        <v>70</v>
      </c>
      <c r="D129" s="7" t="e" vm="70">
        <v>#VALUE!</v>
      </c>
      <c r="E129" s="83">
        <v>256733520</v>
      </c>
      <c r="F129" s="9">
        <v>1</v>
      </c>
      <c r="G129" s="9">
        <v>1</v>
      </c>
      <c r="H129" s="9">
        <f>254956/285907</f>
        <v>0.89174451832239154</v>
      </c>
      <c r="I129" s="84">
        <f t="shared" si="38"/>
        <v>89.174451832239157</v>
      </c>
      <c r="J129" s="85" t="s">
        <v>194</v>
      </c>
      <c r="K129" s="86">
        <f t="shared" si="37"/>
        <v>89.174451832239157</v>
      </c>
    </row>
    <row r="130" spans="1:11" ht="20" customHeight="1" x14ac:dyDescent="0.15">
      <c r="A130" s="7" t="s">
        <v>152</v>
      </c>
      <c r="B130" s="7" t="s">
        <v>28</v>
      </c>
      <c r="C130" s="7" t="s">
        <v>214</v>
      </c>
      <c r="D130" s="7" t="e" vm="71">
        <v>#VALUE!</v>
      </c>
      <c r="E130" s="83">
        <v>13084932096</v>
      </c>
      <c r="F130" s="9">
        <f>1273.6/3017.8</f>
        <v>0.42202929286235003</v>
      </c>
      <c r="G130" s="9">
        <v>1</v>
      </c>
      <c r="H130" s="9">
        <v>0.67</v>
      </c>
      <c r="I130" s="84">
        <f t="shared" si="38"/>
        <v>28.275962621777452</v>
      </c>
      <c r="J130" s="85" t="s">
        <v>202</v>
      </c>
      <c r="K130" s="86">
        <f t="shared" si="37"/>
        <v>25.448366359599706</v>
      </c>
    </row>
    <row r="131" spans="1:11" ht="20" customHeight="1" x14ac:dyDescent="0.15">
      <c r="A131" s="7" t="s">
        <v>152</v>
      </c>
      <c r="B131" s="7" t="s">
        <v>28</v>
      </c>
      <c r="C131" s="7" t="s">
        <v>121</v>
      </c>
      <c r="D131" s="7" t="e" vm="72">
        <v>#VALUE!</v>
      </c>
      <c r="E131" s="83">
        <v>7174260224</v>
      </c>
      <c r="F131" s="9">
        <f>694.1/2068.3</f>
        <v>0.33558961465938209</v>
      </c>
      <c r="G131" s="9">
        <v>1</v>
      </c>
      <c r="H131" s="9">
        <v>0.92700000000000005</v>
      </c>
      <c r="I131" s="84">
        <f t="shared" si="38"/>
        <v>31.109157278924719</v>
      </c>
      <c r="J131" s="85" t="s">
        <v>194</v>
      </c>
      <c r="K131" s="86">
        <f t="shared" si="37"/>
        <v>31.109157278924719</v>
      </c>
    </row>
    <row r="132" spans="1:11" ht="20" customHeight="1" x14ac:dyDescent="0.15">
      <c r="A132" s="7" t="s">
        <v>152</v>
      </c>
      <c r="B132" s="7" t="s">
        <v>7</v>
      </c>
      <c r="C132" s="7" t="s">
        <v>42</v>
      </c>
      <c r="D132" s="7" t="e" vm="5">
        <v>#VALUE!</v>
      </c>
      <c r="E132" s="83">
        <v>5269383168</v>
      </c>
      <c r="F132" s="9">
        <f>1003.9/4730.1</f>
        <v>0.21223652776896892</v>
      </c>
      <c r="G132" s="9">
        <v>1</v>
      </c>
      <c r="H132" s="9">
        <f t="shared" si="7"/>
        <v>0.56554829707617171</v>
      </c>
      <c r="I132" s="84">
        <f t="shared" si="38"/>
        <v>12.003000685710001</v>
      </c>
      <c r="J132" s="85" t="s">
        <v>195</v>
      </c>
      <c r="K132" s="86">
        <f t="shared" si="37"/>
        <v>10.802700617139001</v>
      </c>
    </row>
    <row r="133" spans="1:11" ht="20" customHeight="1" x14ac:dyDescent="0.15">
      <c r="A133" s="7" t="s">
        <v>152</v>
      </c>
      <c r="B133" s="7" t="s">
        <v>7</v>
      </c>
      <c r="C133" s="7" t="s">
        <v>14</v>
      </c>
      <c r="D133" s="7" t="e" vm="6">
        <v>#VALUE!</v>
      </c>
      <c r="E133" s="83">
        <v>634830272</v>
      </c>
      <c r="F133" s="9">
        <f t="shared" si="8"/>
        <v>0.52810541035104086</v>
      </c>
      <c r="G133" s="9">
        <f>'Category Weightings'!C11/SUM('Category Weightings'!C7,'Category Weightings'!C2,'Category Weightings'!C4,'Category Weightings'!C8,'Category Weightings'!C11)</f>
        <v>0.23666416228399698</v>
      </c>
      <c r="H133" s="9">
        <v>1</v>
      </c>
      <c r="I133" s="84">
        <f t="shared" si="38"/>
        <v>12.498362453837556</v>
      </c>
      <c r="J133" s="85" t="s">
        <v>194</v>
      </c>
      <c r="K133" s="86">
        <f t="shared" si="37"/>
        <v>12.498362453837556</v>
      </c>
    </row>
    <row r="134" spans="1:11" ht="20" customHeight="1" x14ac:dyDescent="0.15">
      <c r="A134" s="7" t="s">
        <v>152</v>
      </c>
      <c r="B134" s="7" t="s">
        <v>7</v>
      </c>
      <c r="C134" s="7" t="s">
        <v>10</v>
      </c>
      <c r="D134" s="7" t="e" vm="7">
        <v>#VALUE!</v>
      </c>
      <c r="E134" s="83">
        <v>706839232</v>
      </c>
      <c r="F134" s="9">
        <f>(73769+101705)/5318763</f>
        <v>3.2991505731689866E-2</v>
      </c>
      <c r="G134" s="9">
        <v>1</v>
      </c>
      <c r="H134" s="9">
        <f t="shared" si="10"/>
        <v>0.93124002705140274</v>
      </c>
      <c r="I134" s="84">
        <f t="shared" si="38"/>
        <v>3.072301069004538</v>
      </c>
      <c r="J134" s="85" t="s">
        <v>194</v>
      </c>
      <c r="K134" s="86">
        <f t="shared" si="37"/>
        <v>3.072301069004538</v>
      </c>
    </row>
    <row r="135" spans="1:11" ht="20" customHeight="1" x14ac:dyDescent="0.15">
      <c r="A135" s="7" t="s">
        <v>152</v>
      </c>
      <c r="B135" s="7" t="s">
        <v>7</v>
      </c>
      <c r="C135" s="7" t="s">
        <v>44</v>
      </c>
      <c r="D135" s="7" t="e" vm="42">
        <v>#VALUE!</v>
      </c>
      <c r="E135" s="83">
        <v>7406132224</v>
      </c>
      <c r="F135" s="9">
        <v>1</v>
      </c>
      <c r="G135" s="9">
        <f>'Category Weightings'!C11/('Category Weightings'!C11+'Category Weightings'!C10)</f>
        <v>0.48091603053435111</v>
      </c>
      <c r="H135" s="9">
        <f t="shared" si="21"/>
        <v>0.70368470839172448</v>
      </c>
      <c r="I135" s="84">
        <f t="shared" si="38"/>
        <v>33.841325670747054</v>
      </c>
      <c r="J135" s="85" t="s">
        <v>194</v>
      </c>
      <c r="K135" s="86">
        <f t="shared" si="37"/>
        <v>33.841325670747054</v>
      </c>
    </row>
    <row r="136" spans="1:11" ht="20" customHeight="1" x14ac:dyDescent="0.15">
      <c r="A136" s="7" t="s">
        <v>152</v>
      </c>
      <c r="B136" s="7" t="s">
        <v>7</v>
      </c>
      <c r="C136" s="7" t="s">
        <v>24</v>
      </c>
      <c r="D136" s="7" t="e" vm="8">
        <v>#VALUE!</v>
      </c>
      <c r="E136" s="87">
        <v>18846382080</v>
      </c>
      <c r="F136" s="9">
        <f t="shared" si="11"/>
        <v>0.55409534410886085</v>
      </c>
      <c r="G136" s="9">
        <f>'Category Weightings'!C11/SUM('Category Weightings'!C2,'Category Weightings'!C3,'Category Weightings'!C4,'Category Weightings'!C7,'Category Weightings'!C8,'Category Weightings'!C11)</f>
        <v>0.18964479229379891</v>
      </c>
      <c r="H136" s="9">
        <f t="shared" si="12"/>
        <v>0.37302786265177934</v>
      </c>
      <c r="I136" s="84">
        <f t="shared" si="38"/>
        <v>3.919825141736462</v>
      </c>
      <c r="J136" s="85" t="s">
        <v>195</v>
      </c>
      <c r="K136" s="86">
        <f t="shared" si="37"/>
        <v>3.5278426275628161</v>
      </c>
    </row>
    <row r="137" spans="1:11" ht="20" customHeight="1" x14ac:dyDescent="0.15">
      <c r="A137" s="7" t="s">
        <v>152</v>
      </c>
      <c r="B137" s="7" t="s">
        <v>28</v>
      </c>
      <c r="C137" s="7" t="s">
        <v>105</v>
      </c>
      <c r="D137" s="7" t="e" vm="43">
        <v>#VALUE!</v>
      </c>
      <c r="E137" s="83">
        <v>23745484800</v>
      </c>
      <c r="F137" s="9">
        <f t="shared" si="22"/>
        <v>0.63043478260869568</v>
      </c>
      <c r="G137" s="9">
        <f>'Category Weightings'!C11/SUM('Category Weightings'!C11,'Category Weightings'!C10)</f>
        <v>0.48091603053435111</v>
      </c>
      <c r="H137" s="9">
        <f t="shared" si="23"/>
        <v>0.47108285479901557</v>
      </c>
      <c r="I137" s="84">
        <f t="shared" si="38"/>
        <v>14.28258174108532</v>
      </c>
      <c r="J137" s="85" t="s">
        <v>194</v>
      </c>
      <c r="K137" s="86">
        <f t="shared" si="37"/>
        <v>14.28258174108532</v>
      </c>
    </row>
    <row r="138" spans="1:11" ht="20" customHeight="1" x14ac:dyDescent="0.15">
      <c r="A138" s="7" t="s">
        <v>215</v>
      </c>
      <c r="B138" s="7" t="s">
        <v>7</v>
      </c>
      <c r="C138" s="7" t="s">
        <v>64</v>
      </c>
      <c r="D138" s="7" t="e" vm="17">
        <v>#VALUE!</v>
      </c>
      <c r="E138" s="83">
        <v>6752251392</v>
      </c>
      <c r="F138" s="9">
        <f>1789.8/6321</f>
        <v>0.28315140009492168</v>
      </c>
      <c r="G138" s="9">
        <v>1</v>
      </c>
      <c r="H138" s="9">
        <f t="shared" si="13"/>
        <v>0.9808574592627749</v>
      </c>
      <c r="I138" s="84">
        <f>H138*G138*F138*100*0.5</f>
        <v>13.886558144190117</v>
      </c>
      <c r="J138" s="85" t="s">
        <v>194</v>
      </c>
      <c r="K138" s="86">
        <f t="shared" si="37"/>
        <v>13.886558144190117</v>
      </c>
    </row>
    <row r="139" spans="1:11" ht="20" customHeight="1" x14ac:dyDescent="0.15">
      <c r="A139" s="7" t="s">
        <v>215</v>
      </c>
      <c r="B139" s="7" t="s">
        <v>7</v>
      </c>
      <c r="C139" s="7" t="s">
        <v>22</v>
      </c>
      <c r="D139" s="7" t="e" vm="4">
        <v>#VALUE!</v>
      </c>
      <c r="E139" s="83">
        <v>1347578496</v>
      </c>
      <c r="F139" s="23">
        <f>897041/3491497</f>
        <v>0.25692160125012281</v>
      </c>
      <c r="G139" s="9">
        <v>1</v>
      </c>
      <c r="H139" s="9">
        <v>1</v>
      </c>
      <c r="I139" s="84">
        <f>H139*G139*F137*100*0.5</f>
        <v>31.521739130434785</v>
      </c>
      <c r="J139" s="85" t="s">
        <v>194</v>
      </c>
      <c r="K139" s="86">
        <f t="shared" si="37"/>
        <v>31.521739130434785</v>
      </c>
    </row>
    <row r="140" spans="1:11" ht="20.25" customHeight="1" x14ac:dyDescent="0.15">
      <c r="A140" s="10" t="s">
        <v>215</v>
      </c>
      <c r="B140" s="10" t="s">
        <v>7</v>
      </c>
      <c r="C140" s="10" t="s">
        <v>20</v>
      </c>
      <c r="D140" s="10" t="e" vm="20">
        <v>#VALUE!</v>
      </c>
      <c r="E140" s="88">
        <v>13226397696</v>
      </c>
      <c r="F140" s="12">
        <f>3429329/(11202672-7600)</f>
        <v>0.30632487222949528</v>
      </c>
      <c r="G140" s="12">
        <v>1</v>
      </c>
      <c r="H140" s="12">
        <v>1</v>
      </c>
      <c r="I140" s="89">
        <f>H140*G140*F140*100*0.75</f>
        <v>22.974365417212148</v>
      </c>
      <c r="J140" s="90" t="s">
        <v>194</v>
      </c>
      <c r="K140" s="91">
        <f t="shared" si="37"/>
        <v>22.974365417212148</v>
      </c>
    </row>
    <row r="141" spans="1:11" ht="20.25" customHeight="1" x14ac:dyDescent="0.15">
      <c r="A141" s="13"/>
      <c r="B141" s="13"/>
      <c r="C141" s="13"/>
      <c r="D141" s="13"/>
      <c r="E141" s="13"/>
      <c r="F141" s="78"/>
      <c r="G141" s="78"/>
      <c r="H141" s="78"/>
      <c r="I141" s="92"/>
      <c r="J141" s="93">
        <f>SUM(J2:J140)</f>
        <v>0</v>
      </c>
      <c r="K141" s="94">
        <f>SUM(K2:K140)</f>
        <v>3761.9012394871011</v>
      </c>
    </row>
  </sheetData>
  <pageMargins left="0.5" right="0.5" top="0.75" bottom="0.75" header="0.27777800000000002" footer="0.27777800000000002"/>
  <pageSetup scale="72"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9"/>
  <sheetViews>
    <sheetView showGridLines="0" tabSelected="1"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96" customWidth="1"/>
    <col min="2" max="2" width="36.5" style="96" customWidth="1"/>
    <col min="3" max="3" width="24.33203125" style="96" customWidth="1"/>
    <col min="4" max="4" width="29.83203125" style="96" customWidth="1"/>
    <col min="5" max="8" width="16.33203125" style="96" customWidth="1"/>
    <col min="9" max="16384" width="16.33203125" style="96"/>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'!$C2</f>
        <v>ACM</v>
      </c>
      <c r="B2" s="4" t="e" vm="1">
        <f>'Universe Weighting Workshhet - '!$D2</f>
        <v>#VALUE!</v>
      </c>
      <c r="C2" s="17" t="str">
        <f>'Universe Weighting Workshhet - '!$B2</f>
        <v>Construction/Engineering</v>
      </c>
      <c r="D2" s="37">
        <f>'Universe Weighting Workshhet - '!K2</f>
        <v>1.637980964904042</v>
      </c>
      <c r="E2" s="19">
        <f t="shared" ref="E2:E9" si="0">D2/SUM(D$2:D$9)</f>
        <v>8.4789805332611753E-2</v>
      </c>
      <c r="F2" s="19">
        <f>E2*'Category Weightings'!$C$7</f>
        <v>2.9685624834104676E-3</v>
      </c>
      <c r="G2" s="20"/>
    </row>
    <row r="3" spans="1:7" ht="20" customHeight="1" x14ac:dyDescent="0.15">
      <c r="A3" s="7" t="str">
        <f>'Universe Weighting Workshhet - '!$C3</f>
        <v>GVA</v>
      </c>
      <c r="B3" s="7" t="e" vm="2">
        <f>'Universe Weighting Workshhet - '!$D3</f>
        <v>#VALUE!</v>
      </c>
      <c r="C3" s="21" t="str">
        <f>'Universe Weighting Workshhet - '!$B3</f>
        <v>Construction/Engineering</v>
      </c>
      <c r="D3" s="95">
        <f>'Universe Weighting Workshhet - '!K3</f>
        <v>5.0024454138218726</v>
      </c>
      <c r="E3" s="23">
        <f t="shared" si="0"/>
        <v>0.25895073380771638</v>
      </c>
      <c r="F3" s="23">
        <f>E3*'Category Weightings'!$C$7</f>
        <v>9.0660832445328965E-3</v>
      </c>
      <c r="G3" s="24"/>
    </row>
    <row r="4" spans="1:7" ht="20" customHeight="1" x14ac:dyDescent="0.15">
      <c r="A4" s="7" t="str">
        <f>'Universe Weighting Workshhet - '!$C4</f>
        <v>NVEE</v>
      </c>
      <c r="B4" s="7" t="e" vm="3">
        <f>'Universe Weighting Workshhet - '!$D4</f>
        <v>#VALUE!</v>
      </c>
      <c r="C4" s="21" t="str">
        <f>'Universe Weighting Workshhet - '!$B4</f>
        <v>Construction/Engineering</v>
      </c>
      <c r="D4" s="95">
        <f>'Universe Weighting Workshhet - '!K4</f>
        <v>2.9338117155316525</v>
      </c>
      <c r="E4" s="23">
        <f t="shared" si="0"/>
        <v>0.1518682631681483</v>
      </c>
      <c r="F4" s="23">
        <f>E4*'Category Weightings'!$C$7</f>
        <v>5.317035776803169E-3</v>
      </c>
      <c r="G4" s="24"/>
    </row>
    <row r="5" spans="1:7" ht="20" customHeight="1" x14ac:dyDescent="0.15">
      <c r="A5" s="7" t="str">
        <f>'Universe Weighting Workshhet - '!$C5</f>
        <v>PRIM</v>
      </c>
      <c r="B5" s="7" t="e" vm="4">
        <f>'Universe Weighting Workshhet - '!$D5</f>
        <v>#VALUE!</v>
      </c>
      <c r="C5" s="21" t="str">
        <f>'Universe Weighting Workshhet - '!$B5</f>
        <v>Construction/Engineering</v>
      </c>
      <c r="D5" s="95">
        <f>'Universe Weighting Workshhet - '!K5</f>
        <v>1.4435735038980515</v>
      </c>
      <c r="E5" s="23">
        <f t="shared" si="0"/>
        <v>7.472633626484336E-2</v>
      </c>
      <c r="F5" s="23">
        <f>E5*'Category Weightings'!$C$7</f>
        <v>2.6162319572304664E-3</v>
      </c>
      <c r="G5" s="24"/>
    </row>
    <row r="6" spans="1:7" ht="20" customHeight="1" x14ac:dyDescent="0.15">
      <c r="A6" s="7" t="str">
        <f>'Universe Weighting Workshhet - '!$C6</f>
        <v>STN</v>
      </c>
      <c r="B6" s="7" t="e" vm="5">
        <f>'Universe Weighting Workshhet - '!$D6</f>
        <v>#VALUE!</v>
      </c>
      <c r="C6" s="21" t="str">
        <f>'Universe Weighting Workshhet - '!$B6</f>
        <v>Construction/Engineering</v>
      </c>
      <c r="D6" s="95">
        <f>'Universe Weighting Workshhet - '!K6</f>
        <v>1.3109043774002047</v>
      </c>
      <c r="E6" s="23">
        <f t="shared" si="0"/>
        <v>6.7858741554999422E-2</v>
      </c>
      <c r="F6" s="23">
        <f>E6*'Category Weightings'!$C$7</f>
        <v>2.3757916834624393E-3</v>
      </c>
      <c r="G6" s="24"/>
    </row>
    <row r="7" spans="1:7" ht="20" customHeight="1" x14ac:dyDescent="0.15">
      <c r="A7" s="7" t="str">
        <f>'Universe Weighting Workshhet - '!$C7</f>
        <v>STRL</v>
      </c>
      <c r="B7" s="7" t="e" vm="6">
        <f>'Universe Weighting Workshhet - '!$D7</f>
        <v>#VALUE!</v>
      </c>
      <c r="C7" s="21" t="str">
        <f>'Universe Weighting Workshhet - '!$B7</f>
        <v>Construction/Engineering</v>
      </c>
      <c r="D7" s="95">
        <f>'Universe Weighting Workshhet - '!K7</f>
        <v>4.9596676404117286</v>
      </c>
      <c r="E7" s="23">
        <f t="shared" si="0"/>
        <v>0.25673634966179243</v>
      </c>
      <c r="F7" s="23">
        <f>E7*'Category Weightings'!$C$7</f>
        <v>8.9885557909237957E-3</v>
      </c>
      <c r="G7" s="24"/>
    </row>
    <row r="8" spans="1:7" ht="20" customHeight="1" x14ac:dyDescent="0.15">
      <c r="A8" s="7" t="str">
        <f>'Universe Weighting Workshhet - '!$C8</f>
        <v>TPC</v>
      </c>
      <c r="B8" s="7" t="e" vm="7">
        <f>'Universe Weighting Workshhet - '!$D8</f>
        <v>#VALUE!</v>
      </c>
      <c r="C8" s="21" t="str">
        <f>'Universe Weighting Workshhet - '!$B8</f>
        <v>Construction/Engineering</v>
      </c>
      <c r="D8" s="95">
        <f>'Universe Weighting Workshhet - '!K8</f>
        <v>0.62981452765763657</v>
      </c>
      <c r="E8" s="23">
        <f t="shared" si="0"/>
        <v>3.2602241625482059E-2</v>
      </c>
      <c r="F8" s="23">
        <f>E8*'Category Weightings'!$C$7</f>
        <v>1.141431932587125E-3</v>
      </c>
      <c r="G8" s="24"/>
    </row>
    <row r="9" spans="1:7" ht="20" customHeight="1" x14ac:dyDescent="0.15">
      <c r="A9" s="7" t="str">
        <f>'Universe Weighting Workshhet - '!$C9</f>
        <v>WSP.TO</v>
      </c>
      <c r="B9" s="7" t="e" vm="8">
        <f>'Universe Weighting Workshhet - '!$D9</f>
        <v>#VALUE!</v>
      </c>
      <c r="C9" s="21" t="str">
        <f>'Universe Weighting Workshhet - '!$B9</f>
        <v>Construction/Engineering</v>
      </c>
      <c r="D9" s="95">
        <f>'Universe Weighting Workshhet - '!K9</f>
        <v>1.399937550620165</v>
      </c>
      <c r="E9" s="23">
        <f t="shared" si="0"/>
        <v>7.2467528584406318E-2</v>
      </c>
      <c r="F9" s="23">
        <f>E9*'Category Weightings'!$C$7</f>
        <v>2.5371491982704598E-3</v>
      </c>
      <c r="G9" s="24"/>
    </row>
  </sheetData>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12"/>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97" customWidth="1"/>
    <col min="2" max="2" width="34.33203125" style="97" customWidth="1"/>
    <col min="3" max="3" width="27" style="97" customWidth="1"/>
    <col min="4" max="4" width="29.83203125" style="97" customWidth="1"/>
    <col min="5" max="8" width="16.33203125" style="97" customWidth="1"/>
    <col min="9" max="16384" width="16.33203125" style="97"/>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'!$C10</f>
        <v>ADTN</v>
      </c>
      <c r="B2" s="4" t="e" vm="9">
        <f>'Universe Weighting Workshhet - '!$D10</f>
        <v>#VALUE!</v>
      </c>
      <c r="C2" s="17" t="str">
        <f>'Universe Weighting Workshhet - '!$B10</f>
        <v>Equipment</v>
      </c>
      <c r="D2" s="37">
        <f>'Universe Weighting Workshhet - '!K10</f>
        <v>66.452493525317323</v>
      </c>
      <c r="E2" s="19">
        <f>D2/SUM(D2:D12)</f>
        <v>0.12032667919607687</v>
      </c>
      <c r="F2" s="19">
        <f>E2*'Category Weightings'!$C$9</f>
        <v>1.0953119740698181E-2</v>
      </c>
      <c r="G2" s="20"/>
    </row>
    <row r="3" spans="1:7" ht="20" customHeight="1" x14ac:dyDescent="0.15">
      <c r="A3" s="7" t="str">
        <f>'Universe Weighting Workshhet - '!$C12</f>
        <v>CASA</v>
      </c>
      <c r="B3" s="7" t="e" vm="11">
        <f>'Universe Weighting Workshhet - '!$D12</f>
        <v>#VALUE!</v>
      </c>
      <c r="C3" s="21" t="str">
        <f>'Universe Weighting Workshhet - '!$B12</f>
        <v>Materials</v>
      </c>
      <c r="D3" s="95">
        <f>'Universe Weighting Workshhet - '!K12</f>
        <v>22.593580285513077</v>
      </c>
      <c r="E3" s="23">
        <f>D3/SUM(D2:D12)</f>
        <v>4.0910586536079228E-2</v>
      </c>
      <c r="F3" s="23">
        <f>E3*'Category Weightings'!$C$9</f>
        <v>3.7240166186393053E-3</v>
      </c>
      <c r="G3" s="24"/>
    </row>
    <row r="4" spans="1:7" ht="20" customHeight="1" x14ac:dyDescent="0.15">
      <c r="A4" s="7" t="str">
        <f>'Universe Weighting Workshhet - '!$C13</f>
        <v>COMM</v>
      </c>
      <c r="B4" s="7" t="e" vm="12">
        <f>'Universe Weighting Workshhet - '!$D13</f>
        <v>#VALUE!</v>
      </c>
      <c r="C4" s="21" t="str">
        <f>'Universe Weighting Workshhet - '!$B13</f>
        <v>Materials</v>
      </c>
      <c r="D4" s="95">
        <f>'Universe Weighting Workshhet - '!K13</f>
        <v>21.083202740667861</v>
      </c>
      <c r="E4" s="23">
        <f>D4/SUM(D2:D12)</f>
        <v>3.8175719796514233E-2</v>
      </c>
      <c r="F4" s="23">
        <f>E4*'Category Weightings'!$C$9</f>
        <v>3.4750666511554115E-3</v>
      </c>
      <c r="G4" s="24"/>
    </row>
    <row r="5" spans="1:7" ht="20" customHeight="1" x14ac:dyDescent="0.15">
      <c r="A5" s="7" t="str">
        <f>'Universe Weighting Workshhet - '!$C14</f>
        <v>CSCO</v>
      </c>
      <c r="B5" s="7" t="e" vm="13">
        <f>'Universe Weighting Workshhet - '!$D14</f>
        <v>#VALUE!</v>
      </c>
      <c r="C5" s="21" t="str">
        <f>'Universe Weighting Workshhet - '!$B14</f>
        <v>Equipment</v>
      </c>
      <c r="D5" s="95">
        <f>'Universe Weighting Workshhet - '!K14</f>
        <v>52.940102634834993</v>
      </c>
      <c r="E5" s="23">
        <f>D5/SUM(D2:D12)</f>
        <v>9.5859559339519243E-2</v>
      </c>
      <c r="F5" s="23">
        <f>E5*'Category Weightings'!$C$9</f>
        <v>8.725922120940156E-3</v>
      </c>
      <c r="G5" s="24"/>
    </row>
    <row r="6" spans="1:7" ht="20" customHeight="1" x14ac:dyDescent="0.15">
      <c r="A6" s="7" t="str">
        <f>'Universe Weighting Workshhet - '!$C15</f>
        <v>DY</v>
      </c>
      <c r="B6" s="7" t="e" vm="14">
        <f>'Universe Weighting Workshhet - '!$D15</f>
        <v>#VALUE!</v>
      </c>
      <c r="C6" s="21" t="str">
        <f>'Universe Weighting Workshhet - '!$B15</f>
        <v>Construction/Engineering</v>
      </c>
      <c r="D6" s="95">
        <f>'Universe Weighting Workshhet - '!K15</f>
        <v>100</v>
      </c>
      <c r="E6" s="23">
        <f>D6/SUM(D2:D12)</f>
        <v>0.18107172931025434</v>
      </c>
      <c r="F6" s="23">
        <f>E6*'Category Weightings'!$C$9</f>
        <v>1.6482631666071671E-2</v>
      </c>
      <c r="G6" s="24"/>
    </row>
    <row r="7" spans="1:7" ht="20" customHeight="1" x14ac:dyDescent="0.15">
      <c r="A7" s="7" t="str">
        <f>'Universe Weighting Workshhet - '!$C17</f>
        <v>JNPR</v>
      </c>
      <c r="B7" s="7" t="e" vm="16">
        <f>'Universe Weighting Workshhet - '!$D17</f>
        <v>#VALUE!</v>
      </c>
      <c r="C7" s="21" t="str">
        <f>'Universe Weighting Workshhet - '!$B17</f>
        <v>Equipment</v>
      </c>
      <c r="D7" s="95">
        <f>'Universe Weighting Workshhet - '!K17</f>
        <v>50.255337337742681</v>
      </c>
      <c r="E7" s="23">
        <f>D7/SUM(D2:D12)</f>
        <v>9.0998208388152604E-2</v>
      </c>
      <c r="F7" s="23">
        <f>E7*'Category Weightings'!$C$9</f>
        <v>8.2834021459219156E-3</v>
      </c>
      <c r="G7" s="24"/>
    </row>
    <row r="8" spans="1:7" ht="20" customHeight="1" x14ac:dyDescent="0.15">
      <c r="A8" s="7" t="str">
        <f>'Universe Weighting Workshhet - '!$C18</f>
        <v>MTZ</v>
      </c>
      <c r="B8" s="7" t="e" vm="17">
        <f>'Universe Weighting Workshhet - '!$D18</f>
        <v>#VALUE!</v>
      </c>
      <c r="C8" s="21" t="str">
        <f>'Universe Weighting Workshhet - '!$B18</f>
        <v>Construction/Engineering</v>
      </c>
      <c r="D8" s="95">
        <f>'Universe Weighting Workshhet - '!K18</f>
        <v>38.98291582281194</v>
      </c>
      <c r="E8" s="23">
        <f>D8/SUM(D2:D12)</f>
        <v>7.0587039815926345E-2</v>
      </c>
      <c r="F8" s="23">
        <f>E8*'Category Weightings'!$C$9</f>
        <v>6.4254104277688658E-3</v>
      </c>
      <c r="G8" s="24"/>
    </row>
    <row r="9" spans="1:7" ht="20" customHeight="1" x14ac:dyDescent="0.15">
      <c r="A9" s="7" t="str">
        <f>'Universe Weighting Workshhet - '!$C20</f>
        <v>OCC</v>
      </c>
      <c r="B9" s="7" t="e" vm="19">
        <f>'Universe Weighting Workshhet - '!$D20</f>
        <v>#VALUE!</v>
      </c>
      <c r="C9" s="21" t="str">
        <f>'Universe Weighting Workshhet - '!$B20</f>
        <v>Materials</v>
      </c>
      <c r="D9" s="95">
        <f>'Universe Weighting Workshhet - '!K20</f>
        <v>80.796054083585702</v>
      </c>
      <c r="E9" s="23">
        <f>D9/SUM(D2:D12)</f>
        <v>0.14629881234359701</v>
      </c>
      <c r="F9" s="23">
        <f>E9*'Category Weightings'!$C$9</f>
        <v>1.3317315995317493E-2</v>
      </c>
      <c r="G9" s="24"/>
    </row>
    <row r="10" spans="1:7" ht="20" customHeight="1" x14ac:dyDescent="0.15">
      <c r="A10" s="7" t="str">
        <f>'Universe Weighting Workshhet - '!$C21</f>
        <v>PWR</v>
      </c>
      <c r="B10" s="7" t="e" vm="20">
        <f>'Universe Weighting Workshhet - '!$D21</f>
        <v>#VALUE!</v>
      </c>
      <c r="C10" s="21" t="str">
        <f>'Universe Weighting Workshhet - '!$B21</f>
        <v>Construction/Engineering</v>
      </c>
      <c r="D10" s="95">
        <f>'Universe Weighting Workshhet - '!K21</f>
        <v>32.673103844262904</v>
      </c>
      <c r="E10" s="23">
        <f>D10/SUM(D2:D12)</f>
        <v>5.9161754150142028E-2</v>
      </c>
      <c r="F10" s="23">
        <f>E10*'Category Weightings'!$C$9</f>
        <v>5.385387360522958E-3</v>
      </c>
      <c r="G10" s="24"/>
    </row>
    <row r="11" spans="1:7" ht="20" customHeight="1" x14ac:dyDescent="0.15">
      <c r="A11" s="7" t="str">
        <f>'Universe Weighting Workshhet - '!$C22</f>
        <v>RFIL</v>
      </c>
      <c r="B11" s="7" t="e" vm="21">
        <f>'Universe Weighting Workshhet - '!$D22</f>
        <v>#VALUE!</v>
      </c>
      <c r="C11" s="21" t="str">
        <f>'Universe Weighting Workshhet - '!$B22</f>
        <v>Materials</v>
      </c>
      <c r="D11" s="95">
        <f>'Universe Weighting Workshhet - '!K22</f>
        <v>64.018413943746594</v>
      </c>
      <c r="E11" s="23">
        <f>D11/SUM(D2:D12)</f>
        <v>0.11591924920493896</v>
      </c>
      <c r="F11" s="23">
        <f>E11*'Category Weightings'!$C$9</f>
        <v>1.055191936880882E-2</v>
      </c>
      <c r="G11" s="24"/>
    </row>
    <row r="12" spans="1:7" ht="20" customHeight="1" x14ac:dyDescent="0.15">
      <c r="A12" s="7" t="str">
        <f>'Universe Weighting Workshhet - '!$C24</f>
        <v>VIAV</v>
      </c>
      <c r="B12" s="7" t="e" vm="23">
        <f>'Universe Weighting Workshhet - '!$D24</f>
        <v>#VALUE!</v>
      </c>
      <c r="C12" s="21" t="str">
        <f>'Universe Weighting Workshhet - '!$B24</f>
        <v>Equipment</v>
      </c>
      <c r="D12" s="95">
        <f>'Universe Weighting Workshhet - '!K24</f>
        <v>22.47212310491518</v>
      </c>
      <c r="E12" s="23">
        <f>D12/SUM(D2:D12)</f>
        <v>4.0690661918799137E-2</v>
      </c>
      <c r="F12" s="23">
        <f>E12*'Category Weightings'!$C$9</f>
        <v>3.703997278929358E-3</v>
      </c>
      <c r="G12" s="24"/>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14"/>
  <sheetViews>
    <sheetView showGridLines="0" workbookViewId="0">
      <pane xSplit="3" ySplit="1" topLeftCell="D2" activePane="bottomRight" state="frozen"/>
      <selection pane="topRight"/>
      <selection pane="bottomLeft"/>
      <selection pane="bottomRight" activeCell="D2" sqref="D2"/>
    </sheetView>
  </sheetViews>
  <sheetFormatPr baseColWidth="10" defaultColWidth="16.33203125" defaultRowHeight="20" customHeight="1" x14ac:dyDescent="0.15"/>
  <cols>
    <col min="1" max="1" width="16.33203125" style="98" customWidth="1"/>
    <col min="2" max="2" width="32" style="98" customWidth="1"/>
    <col min="3" max="3" width="16.33203125" style="98" customWidth="1"/>
    <col min="4" max="4" width="29.83203125" style="98" customWidth="1"/>
    <col min="5" max="8" width="16.33203125" style="98" customWidth="1"/>
    <col min="9" max="16384" width="16.33203125" style="98"/>
  </cols>
  <sheetData>
    <row r="1" spans="1:7" ht="20.25" customHeight="1" x14ac:dyDescent="0.15">
      <c r="A1" s="2" t="s">
        <v>0</v>
      </c>
      <c r="B1" s="2" t="s">
        <v>216</v>
      </c>
      <c r="C1" s="2" t="s">
        <v>135</v>
      </c>
      <c r="D1" s="2" t="s">
        <v>192</v>
      </c>
      <c r="E1" s="2" t="s">
        <v>217</v>
      </c>
      <c r="F1" s="2" t="s">
        <v>218</v>
      </c>
      <c r="G1" s="3"/>
    </row>
    <row r="2" spans="1:7" ht="20.25" customHeight="1" x14ac:dyDescent="0.15">
      <c r="A2" s="4" t="str">
        <f>'Universe Weighting Workshhet - '!$C25</f>
        <v>BXC</v>
      </c>
      <c r="B2" s="4" t="e" vm="24">
        <f>'Universe Weighting Workshhet - '!$D25</f>
        <v>#VALUE!</v>
      </c>
      <c r="C2" s="17" t="str">
        <f>'Universe Weighting Workshhet - '!$B25</f>
        <v>Materials</v>
      </c>
      <c r="D2" s="37">
        <f>'Universe Weighting Workshhet - '!K25</f>
        <v>38.589290833905871</v>
      </c>
      <c r="E2" s="19">
        <f>D2/SUM(D2:D14)</f>
        <v>4.7631617792794928E-2</v>
      </c>
      <c r="F2" s="19">
        <f>E2*'Category Weightings'!$C$13</f>
        <v>7.1447426689192385E-3</v>
      </c>
      <c r="G2" s="20"/>
    </row>
    <row r="3" spans="1:7" ht="20" customHeight="1" x14ac:dyDescent="0.15">
      <c r="A3" s="7" t="str">
        <f>'Universe Weighting Workshhet - '!$C26</f>
        <v>CMC</v>
      </c>
      <c r="B3" s="7" t="e" vm="25">
        <f>'Universe Weighting Workshhet - '!$D26</f>
        <v>#VALUE!</v>
      </c>
      <c r="C3" s="21" t="str">
        <f>'Universe Weighting Workshhet - '!$B26</f>
        <v>Materials</v>
      </c>
      <c r="D3" s="95">
        <f>'Universe Weighting Workshhet - '!K26</f>
        <v>80.740239105879212</v>
      </c>
      <c r="E3" s="23">
        <f>D3/SUM(D2:D14)</f>
        <v>9.965946837797475E-2</v>
      </c>
      <c r="F3" s="23">
        <f>E3*'Category Weightings'!$C$13</f>
        <v>1.4948920256696212E-2</v>
      </c>
      <c r="G3" s="24"/>
    </row>
    <row r="4" spans="1:7" ht="20" customHeight="1" x14ac:dyDescent="0.15">
      <c r="A4" s="7" t="str">
        <f>'Universe Weighting Workshhet - '!$C27</f>
        <v>CRH</v>
      </c>
      <c r="B4" s="7" t="e" vm="26">
        <f>'Universe Weighting Workshhet - '!$D27</f>
        <v>#VALUE!</v>
      </c>
      <c r="C4" s="21" t="str">
        <f>'Universe Weighting Workshhet - '!$B27</f>
        <v>Materials</v>
      </c>
      <c r="D4" s="95">
        <f>'Universe Weighting Workshhet - '!K27</f>
        <v>32.735618783926554</v>
      </c>
      <c r="E4" s="23">
        <f>D4/SUM(D2:D14)</f>
        <v>4.0406300515805724E-2</v>
      </c>
      <c r="F4" s="23">
        <f>E4*'Category Weightings'!$C$13</f>
        <v>6.0609450773708587E-3</v>
      </c>
      <c r="G4" s="24"/>
    </row>
    <row r="5" spans="1:7" ht="20" customHeight="1" x14ac:dyDescent="0.15">
      <c r="A5" s="7" t="str">
        <f>'Universe Weighting Workshhet - '!$C28</f>
        <v>CX</v>
      </c>
      <c r="B5" s="7" t="e" vm="27">
        <f>'Universe Weighting Workshhet - '!$D28</f>
        <v>#VALUE!</v>
      </c>
      <c r="C5" s="21" t="str">
        <f>'Universe Weighting Workshhet - '!$B28</f>
        <v>Materials</v>
      </c>
      <c r="D5" s="95">
        <f>'Universe Weighting Workshhet - '!K28</f>
        <v>25.903293218995461</v>
      </c>
      <c r="E5" s="23">
        <f>D5/SUM(D2:D14)</f>
        <v>3.1973009493551398E-2</v>
      </c>
      <c r="F5" s="23">
        <f>E5*'Category Weightings'!$C$13</f>
        <v>4.7959514240327097E-3</v>
      </c>
      <c r="G5" s="24"/>
    </row>
    <row r="6" spans="1:7" ht="20" customHeight="1" x14ac:dyDescent="0.15">
      <c r="A6" s="7" t="str">
        <f>'Universe Weighting Workshhet - '!$C29</f>
        <v>EXP</v>
      </c>
      <c r="B6" s="7" t="e" vm="28">
        <f>'Universe Weighting Workshhet - '!$D29</f>
        <v>#VALUE!</v>
      </c>
      <c r="C6" s="21" t="str">
        <f>'Universe Weighting Workshhet - '!$B29</f>
        <v>Materials</v>
      </c>
      <c r="D6" s="95">
        <f>'Universe Weighting Workshhet - '!K29</f>
        <v>68.615566465061306</v>
      </c>
      <c r="E6" s="23">
        <f>D6/SUM(D2:D14)</f>
        <v>8.4693715947438533E-2</v>
      </c>
      <c r="F6" s="23">
        <f>E6*'Category Weightings'!$C$13</f>
        <v>1.270405739211578E-2</v>
      </c>
      <c r="G6" s="24"/>
    </row>
    <row r="7" spans="1:7" ht="20" customHeight="1" x14ac:dyDescent="0.15">
      <c r="A7" s="7" t="str">
        <f>'Universe Weighting Workshhet - '!$C30</f>
        <v>GVA</v>
      </c>
      <c r="B7" s="7" t="e" vm="2">
        <f>'Universe Weighting Workshhet - '!$D30</f>
        <v>#VALUE!</v>
      </c>
      <c r="C7" s="21" t="str">
        <f>'Universe Weighting Workshhet - '!$B30</f>
        <v>Materials</v>
      </c>
      <c r="D7" s="95">
        <f>'Universe Weighting Workshhet - '!K30</f>
        <v>7.4817254037169274</v>
      </c>
      <c r="E7" s="23">
        <f>D7/SUM(D2:D14)</f>
        <v>9.2348596504233521E-3</v>
      </c>
      <c r="F7" s="23">
        <f>E7*'Category Weightings'!$C$13</f>
        <v>1.3852289475635028E-3</v>
      </c>
      <c r="G7" s="24"/>
    </row>
    <row r="8" spans="1:7" ht="20" customHeight="1" x14ac:dyDescent="0.15">
      <c r="A8" s="7" t="str">
        <f>'Universe Weighting Workshhet - '!$C32</f>
        <v>MLM</v>
      </c>
      <c r="B8" s="7" t="e" vm="30">
        <f>'Universe Weighting Workshhet - '!$D32</f>
        <v>#VALUE!</v>
      </c>
      <c r="C8" s="21" t="str">
        <f>'Universe Weighting Workshhet - '!$B32</f>
        <v>Materials</v>
      </c>
      <c r="D8" s="95">
        <f>'Universe Weighting Workshhet - '!K32</f>
        <v>98.5</v>
      </c>
      <c r="E8" s="23">
        <f>D8/SUM(D2:D14)</f>
        <v>0.12158073525590679</v>
      </c>
      <c r="F8" s="23">
        <f>E8*'Category Weightings'!$C$13</f>
        <v>1.8237110288386017E-2</v>
      </c>
      <c r="G8" s="24"/>
    </row>
    <row r="9" spans="1:7" ht="20" customHeight="1" x14ac:dyDescent="0.15">
      <c r="A9" s="7" t="str">
        <f>'Universe Weighting Workshhet - '!$C33</f>
        <v>NUE</v>
      </c>
      <c r="B9" s="7" t="e" vm="31">
        <f>'Universe Weighting Workshhet - '!$D33</f>
        <v>#VALUE!</v>
      </c>
      <c r="C9" s="21" t="str">
        <f>'Universe Weighting Workshhet - '!$B33</f>
        <v>Materials</v>
      </c>
      <c r="D9" s="95">
        <f>'Universe Weighting Workshhet - '!K33</f>
        <v>88.1</v>
      </c>
      <c r="E9" s="23">
        <f>D9/SUM(D2:D14)</f>
        <v>0.10874378452837957</v>
      </c>
      <c r="F9" s="23">
        <f>E9*'Category Weightings'!$C$13</f>
        <v>1.6311567679256934E-2</v>
      </c>
      <c r="G9" s="24"/>
    </row>
    <row r="10" spans="1:7" ht="20" customHeight="1" x14ac:dyDescent="0.15">
      <c r="A10" s="7" t="str">
        <f>'Universe Weighting Workshhet - '!$C34</f>
        <v>SCHN</v>
      </c>
      <c r="B10" s="7" t="e" vm="32">
        <f>'Universe Weighting Workshhet - '!$D34</f>
        <v>#VALUE!</v>
      </c>
      <c r="C10" s="21" t="str">
        <f>'Universe Weighting Workshhet - '!$B34</f>
        <v>Materials</v>
      </c>
      <c r="D10" s="95">
        <f>'Universe Weighting Workshhet - '!K34</f>
        <v>20.155769824462883</v>
      </c>
      <c r="E10" s="23">
        <f>D10/SUM(D2:D14)</f>
        <v>2.4878713856924028E-2</v>
      </c>
      <c r="F10" s="23">
        <f>E10*'Category Weightings'!$C$13</f>
        <v>3.7318070785386042E-3</v>
      </c>
      <c r="G10" s="24"/>
    </row>
    <row r="11" spans="1:7" ht="20" customHeight="1" x14ac:dyDescent="0.15">
      <c r="A11" s="7" t="str">
        <f>'Universe Weighting Workshhet - '!$C35</f>
        <v>STLD</v>
      </c>
      <c r="B11" s="7" t="e" vm="33">
        <f>'Universe Weighting Workshhet - '!$D35</f>
        <v>#VALUE!</v>
      </c>
      <c r="C11" s="21" t="str">
        <f>'Universe Weighting Workshhet - '!$B35</f>
        <v>Materials</v>
      </c>
      <c r="D11" s="95">
        <f>'Universe Weighting Workshhet - '!K35</f>
        <v>56.798694201582634</v>
      </c>
      <c r="E11" s="23">
        <f>D11/SUM(D2:D14)</f>
        <v>7.0107888351307879E-2</v>
      </c>
      <c r="F11" s="23">
        <f>E11*'Category Weightings'!$C$13</f>
        <v>1.0516183252696182E-2</v>
      </c>
      <c r="G11" s="24"/>
    </row>
    <row r="12" spans="1:7" ht="20" customHeight="1" x14ac:dyDescent="0.15">
      <c r="A12" s="7" t="str">
        <f>'Universe Weighting Workshhet - '!$C36</f>
        <v>SUM</v>
      </c>
      <c r="B12" s="7" t="e" vm="34">
        <f>'Universe Weighting Workshhet - '!$D36</f>
        <v>#VALUE!</v>
      </c>
      <c r="C12" s="21" t="str">
        <f>'Universe Weighting Workshhet - '!$B36</f>
        <v>Materials</v>
      </c>
      <c r="D12" s="95">
        <f>'Universe Weighting Workshhet - '!K36</f>
        <v>100</v>
      </c>
      <c r="E12" s="23">
        <f>D12/SUM(D2:D14)</f>
        <v>0.12343221853391553</v>
      </c>
      <c r="F12" s="23">
        <f>E12*'Category Weightings'!$C$13</f>
        <v>1.851483278008733E-2</v>
      </c>
      <c r="G12" s="24"/>
    </row>
    <row r="13" spans="1:7" ht="20" customHeight="1" x14ac:dyDescent="0.15">
      <c r="A13" s="7" t="str">
        <f>'Universe Weighting Workshhet - '!$C37</f>
        <v>USCR</v>
      </c>
      <c r="B13" s="7" t="e" vm="35">
        <f>'Universe Weighting Workshhet - '!$D37</f>
        <v>#VALUE!</v>
      </c>
      <c r="C13" s="21" t="str">
        <f>'Universe Weighting Workshhet - '!$B37</f>
        <v>Materials</v>
      </c>
      <c r="D13" s="95">
        <f>'Universe Weighting Workshhet - '!K37</f>
        <v>92.7</v>
      </c>
      <c r="E13" s="23">
        <f>D13/SUM(D2:D14)</f>
        <v>0.1144216665809397</v>
      </c>
      <c r="F13" s="23">
        <f>E13*'Category Weightings'!$C$13</f>
        <v>1.7163249987140954E-2</v>
      </c>
      <c r="G13" s="24"/>
    </row>
    <row r="14" spans="1:7" ht="20" customHeight="1" x14ac:dyDescent="0.15">
      <c r="A14" s="7" t="str">
        <f>'Universe Weighting Workshhet - '!$C38</f>
        <v>VMC</v>
      </c>
      <c r="B14" s="7" t="e" vm="36">
        <f>'Universe Weighting Workshhet - '!$D38</f>
        <v>#VALUE!</v>
      </c>
      <c r="C14" s="21" t="str">
        <f>'Universe Weighting Workshhet - '!$B38</f>
        <v>Materials</v>
      </c>
      <c r="D14" s="95">
        <f>'Universe Weighting Workshhet - '!K38</f>
        <v>99.841048454278578</v>
      </c>
      <c r="E14" s="23">
        <f>D14/SUM(D2:D14)</f>
        <v>0.12323602111463763</v>
      </c>
      <c r="F14" s="23">
        <f>E14*'Category Weightings'!$C$13</f>
        <v>1.8485403167195644E-2</v>
      </c>
      <c r="G14" s="24"/>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PORTFOLIO - Table 1</vt:lpstr>
      <vt:lpstr>Sectors</vt:lpstr>
      <vt:lpstr>Bill - Table 1</vt:lpstr>
      <vt:lpstr>Bill - Table 2</vt:lpstr>
      <vt:lpstr>Category Weightings</vt:lpstr>
      <vt:lpstr>Universe Weighting Workshhet - </vt:lpstr>
      <vt:lpstr>Airport</vt:lpstr>
      <vt:lpstr>Broadband</vt:lpstr>
      <vt:lpstr>Concrete_Asphalt_Steel</vt:lpstr>
      <vt:lpstr>Environmental</vt:lpstr>
      <vt:lpstr>Equip_Rental_Transpo</vt:lpstr>
      <vt:lpstr>EV Buses</vt:lpstr>
      <vt:lpstr>EV Charging</vt:lpstr>
      <vt:lpstr>Grid</vt:lpstr>
      <vt:lpstr>Mass Transit</vt:lpstr>
      <vt:lpstr>Ports</vt:lpstr>
      <vt:lpstr>Rails</vt:lpstr>
      <vt:lpstr>Roads and Bridges</vt:lpstr>
      <vt:lpstr>Water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TPR</cp:lastModifiedBy>
  <dcterms:modified xsi:type="dcterms:W3CDTF">2021-08-18T15:14:48Z</dcterms:modified>
</cp:coreProperties>
</file>