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SkillsCheck" sheetId="11" state="visible" r:id="rId11"/>
    <sheet name="Writing" sheetId="12" state="visible" r:id="rId12"/>
    <sheet name="Incidents" sheetId="13" state="visible" r:id="rId13"/>
    <sheet name="Counseling" sheetId="14" state="visible" r:id="rId14"/>
    <sheet name="Memos" sheetId="15" state="visible" r:id="rId15"/>
    <sheet name="DailyLog" sheetId="16" state="visible" r:id="rId16"/>
    <sheet name="PT" sheetId="17" state="visible" r:id="rId17"/>
    <sheet name="Medical" sheetId="18" state="visible" r:id="rId18"/>
    <sheet name="Certifications" sheetId="19" state="visible" r:id="rId19"/>
    <sheet name="StateExam" sheetId="20" state="visible" r:id="rId20"/>
    <sheet name="AdvisoryBoard" sheetId="21" state="visible" r:id="rId21"/>
    <sheet name="DismissalLog" sheetId="22" state="visible" r:id="rId22"/>
    <sheet name="ScoresGrid" sheetId="23" state="visible" r:id="rId23"/>
    <sheet name="Ranking" sheetId="24" state="visible" r:id="rId24"/>
    <sheet name="WatchList" sheetId="25" state="visible" r:id="rId25"/>
    <sheet name="CadetProfile" sheetId="26" state="visible" r:id="rId26"/>
    <sheet name="Transcript" sheetId="27" state="visible" r:id="rId27"/>
    <sheet name="GradChecklist" sheetId="28" state="visible" r:id="rId28"/>
    <sheet name="Audit" sheetId="29" state="visible" r:id="rId29"/>
    <sheet name="Addendum" sheetId="30" state="visible" r:id="rId30"/>
    <sheet name="ChapterPacket" sheetId="31" state="visible" r:id="rId31"/>
    <sheet name="ExamSheet" sheetId="32" state="visible" r:id="rId32"/>
    <sheet name="SignIn" sheetId="33" state="visible" r:id="rId33"/>
    <sheet name="EvalSheet" sheetId="34" state="visible" r:id="rId34"/>
    <sheet name="SpellingPrint" sheetId="35" state="visible" r:id="rId35"/>
    <sheet name="WritingHandout" sheetId="36" state="visible" r:id="rId36"/>
    <sheet name="EmailPreview" sheetId="37" state="visible" r:id="rId37"/>
    <sheet name="EmailLog" sheetId="38" state="visible" r:id="rId38"/>
    <sheet name="Settings" sheetId="39" state="visible" r:id="rId39"/>
    <sheet name="Lists" sheetId="40" state="visible" r:id="rId40"/>
    <sheet name="Agencies" sheetId="41" state="visible" r:id="rId41"/>
    <sheet name="Instructors" sheetId="42" state="visible" r:id="rId42"/>
    <sheet name="InstructorBanks" sheetId="43" state="visible" r:id="rId43"/>
    <sheet name="ChapterMaster" sheetId="44" state="visible" r:id="rId44"/>
    <sheet name="ExamMaster" sheetId="45" state="visible" r:id="rId45"/>
    <sheet name="ExamPlan" sheetId="46" state="visible" r:id="rId46"/>
    <sheet name="SkillsMaster" sheetId="47" state="visible" r:id="rId47"/>
    <sheet name="SpellingMaster" sheetId="48" state="visible" r:id="rId48"/>
    <sheet name="WritingMaster" sheetId="49" state="visible" r:id="rId49"/>
    <sheet name="Control" sheetId="50" state="visible" r:id="rId50"/>
    <sheet name="Schedule" sheetId="51" state="visible" r:id="rId51"/>
    <sheet name="sysGrades" sheetId="52" state="visible" r:id="rId52"/>
    <sheet name="sysAttendance" sheetId="53" state="visible" r:id="rId53"/>
    <sheet name="sysSkills" sheetId="54" state="visible" r:id="rId54"/>
    <sheet name="sysIncidents" sheetId="55" state="visible" r:id="rId55"/>
    <sheet name="sysFlags" sheetId="56" state="visible" r:id="rId56"/>
    <sheet name="sysChecks" sheetId="57" state="visible" r:id="rId57"/>
    <sheet name="sysAwards" sheetId="58" state="visible" r:id="rId58"/>
    <sheet name="sysAudit" sheetId="59" state="visible" r:id="rId59"/>
    <sheet name="sysListsHelper" sheetId="60" state="veryHidden" r:id="rId60"/>
    <sheet name="NamedRanges" sheetId="61" state="visible" r:id="rId61"/>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MakeupAdvisoryMin">'Settings'!$C$21</definedName>
    <definedName name="cfgMakeupCriticalMin">'Settings'!$C$22</definedName>
    <definedName name="cfgPTCapSessions">'Settings'!$C$23</definedName>
    <definedName name="cfgAttendanceAdvisoryPct">'Settings'!$C$24</definedName>
    <definedName name="cfgAttendanceCriticalPct">'Settings'!$C$25</definedName>
    <definedName name="cfgHomeAgency">'Settings'!$C$26</definedName>
    <definedName name="cfgCurrentExamNum">'Settings'!$C$27</definedName>
    <definedName name="cfgCurrentSpellingNum">'Settings'!$C$28</definedName>
    <definedName name="cfgWritingDueTime">'Settings'!$C$29</definedName>
    <definedName name="cfgPTFinalMinPoints">'Settings'!$C$30</definedName>
    <definedName name="cfgFlagConsecFails">'Settings'!$C$31</definedName>
    <definedName name="cfgFlagGradeDrop">'Settings'!$C$32</definedName>
    <definedName name="cfgFlagCategoryMargin">'Settings'!$C$33</definedName>
    <definedName name="cfgFlagAttendancePct">'Settings'!$C$34</definedName>
    <definedName name="cfgFlagOpenIncidents">'Settings'!$C$35</definedName>
    <definedName name="cfgFlagOverdueWriting">'Settings'!$C$36</definedName>
    <definedName name="cfgWeightsTotal">'Settings'!$C$37</definedName>
    <definedName name="nrPTTierPts">'Settings'!$D$43:$H$43</definedName>
    <definedName name="nrPTBands">'Settings'!$D$44:$H$48</definedName>
    <definedName name="nrPTBandEvents">'Settings'!$B$44:$B$48</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'InstructorBanks'!$B$6:$B$81</definedName>
    <definedName name="nrBankGrid">'InstructorBanks'!$C$6:$L$81</definedName>
    <definedName name="nrBankSel">'InstructorBanks'!$M$6:$V$81</definedName>
    <definedName name="nrCHmod">'ChapterMaster'!$B$6:$B$50</definedName>
    <definedName name="nrCHnum">'ChapterMaster'!$C$6:$C$50</definedName>
    <definedName name="nrCHname">'ChapterMaster'!$D$6:$D$50</definedName>
    <definedName name="nrCHmin">'ChapterMaster'!$E$6:$E$50</definedName>
    <definedName name="nrCHplan">'ChapterMaster'!$F$6:$F$50</definedName>
    <definedName name="nrCHdeliv">'ChapterMaster'!$G$6:$G$50</definedName>
    <definedName name="nrCHfirst">'ChapterMaster'!$I$6:$I$50</definedName>
    <definedName name="nrCHinstr">'ChapterMaster'!$K$6:$K$50</definedName>
    <definedName name="nrCHlesson">'ChapterMaster'!$L$6:$L$50</definedName>
    <definedName name="nrCHbio">'ChapterMaster'!$M$6:$M$50</definedName>
    <definedName name="nrCHsignin">'ChapterMaster'!$N$6:$N$50</definedName>
    <definedName name="nrCHassess">'ChapterMaster'!$O$6:$O$50</definedName>
    <definedName name="nrCHgrade">'ChapterMaster'!$P$6:$P$50</definedName>
    <definedName name="nrCHevals">'ChapterMaster'!$Q$6:$Q$50</definedName>
    <definedName name="nrCHhandoutOpt">'ChapterMaster'!$R$6:$R$50</definedName>
    <definedName name="nrCHspecial">'ChapterMaster'!$S$6:$S$50</definedName>
    <definedName name="nrCHspecialMet">'ChapterMaster'!$T$6:$T$50</definedName>
    <definedName name="nrCHfileOK">'ChapterMaster'!$U$6:$U$50</definedName>
    <definedName name="nrCHtotalDelivered">'ChapterMaster'!$G$52</definedName>
    <definedName name="nrSUBname">'ChapterMaster'!$B$57:$B$71</definedName>
    <definedName name="nrSUBparent">'ChapterMaster'!$E$57:$E$71</definedName>
    <definedName name="nrSUBtarget">'ChapterMaster'!$F$57:$F$71</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'sysListsHelper'!$B$6:$B$90</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SKC_Failed">'SkillsCheck'!$N$6:$N$55</definedName>
    <definedName name="nrSKC_NotAssessed">'SkillsCheck'!$O$6:$O$55</definedName>
    <definedName name="nrSKC_OK">'SkillsCheck'!$P$6:$P$55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CERTwaived">'Certifications'!$V$6:$V$55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'sysAudit'!$E$6:$E$41</definedName>
    <definedName name="nrAUDcheck">'sysAudit'!$B$6:$B$41</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'Audit'!$B$52:$B$69</definedName>
    <definedName name="nrPRGmet">'Audit'!$F$52:$F$69</definedName>
    <definedName name="nrENRall">'Audit'!$J$73:$J$122</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'ExamScores'!$B$5:$Y$5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2" hidden="1">'Incidents'!$B$5:$O$5</definedName>
    <definedName name="_xlnm._FilterDatabase" localSheetId="13" hidden="1">'Counseling'!$B$5:$N$5</definedName>
    <definedName name="_xlnm._FilterDatabase" localSheetId="14" hidden="1">'Memos'!$B$5:$N$5</definedName>
    <definedName name="_xlnm._FilterDatabase" localSheetId="15" hidden="1">'DailyLog'!$B$5:$N$5</definedName>
    <definedName name="_xlnm._FilterDatabase" localSheetId="17" hidden="1">'Medical'!$B$5:$N$5</definedName>
    <definedName name="_xlnm._FilterDatabase" localSheetId="21" hidden="1">'DismissalLog'!$B$5:$P$5</definedName>
    <definedName name="_xlnm.Print_Titles" localSheetId="23">'Ranking'!$5:$5</definedName>
    <definedName name="_xlnm.Print_Area" localSheetId="23">'Ranking'!$B$5:$J$60</definedName>
    <definedName name="_xlnm.Print_Titles" localSheetId="24">'WatchList'!$5:$5</definedName>
    <definedName name="_xlnm.Print_Area" localSheetId="24">'WatchList'!$B$5:$I$60</definedName>
    <definedName name="_xlnm.Print_Area" localSheetId="25">'CadetProfile'!$B$5:$J$86</definedName>
    <definedName name="_xlnm.Print_Area" localSheetId="26">'Transcript'!$B$5:$J$58</definedName>
    <definedName name="_xlnm.Print_Titles" localSheetId="27">'GradChecklist'!$5:$5</definedName>
    <definedName name="_xlnm.Print_Area" localSheetId="27">'GradChecklist'!$B$5:$R$55</definedName>
    <definedName name="_xlnm.Print_Area" localSheetId="28">'Audit'!$B$5:$J$122</definedName>
    <definedName name="_xlnm.Print_Titles" localSheetId="29">'Addendum'!$5:$8</definedName>
    <definedName name="_xlnm.Print_Area" localSheetId="29">'Addendum'!$B$5:$G$61</definedName>
    <definedName name="_xlnm.Print_Area" localSheetId="30">'ChapterPacket'!$B$5:$I$75</definedName>
    <definedName name="_xlnm.Print_Titles" localSheetId="31">'ExamSheet'!$7:$10</definedName>
    <definedName name="_xlnm.Print_Area" localSheetId="31">'ExamSheet'!$B$7:$J$64</definedName>
    <definedName name="_xlnm.Print_Area" localSheetId="32">'SignIn'!$B$5:$H$81</definedName>
    <definedName name="_xlnm.Print_Area" localSheetId="33">'EvalSheet'!$B$7:$H$36</definedName>
    <definedName name="_xlnm.Print_Area" localSheetId="34">'SpellingPrint'!$B$7:$F$26</definedName>
    <definedName name="_xlnm.Print_Area" localSheetId="35">'WritingHandout'!$B$7:$F$19</definedName>
    <definedName name="_xlnm._FilterDatabase" localSheetId="37" hidden="1">'EmailLog'!$B$5:$I$5</definedName>
    <definedName name="_xlnm._FilterDatabase" localSheetId="50" hidden="1">'Schedule'!$B$5:$P$5</definedName>
    <definedName name="_xlnm.Print_Titles" localSheetId="50">'Schedule'!$5:$5</definedName>
    <definedName name="_xlnm.Print_Area" localSheetId="50">'Schedule'!$B$5:$P$905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7">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7">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6" borderId="0" applyAlignment="1" pivotButton="0" quotePrefix="0" xfId="0">
      <alignment horizontal="left" vertical="center"/>
    </xf>
    <xf numFmtId="0" fontId="0" fillId="6" borderId="0" pivotButton="0" quotePrefix="0" xfId="0"/>
    <xf numFmtId="0" fontId="8" fillId="6"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0" fillId="0" borderId="5"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pivotButton="0" quotePrefix="0" xfId="0"/>
    <xf numFmtId="9" fontId="5" fillId="3" borderId="1" pivotButton="0" quotePrefix="0" xfId="0"/>
    <xf numFmtId="9" fontId="6" fillId="4" borderId="1" pivotButton="0" quotePrefix="0" xfId="0"/>
    <xf numFmtId="0" fontId="5" fillId="0" borderId="1" pivotButton="0" quotePrefix="0" xfId="0"/>
    <xf numFmtId="49" fontId="5" fillId="3" borderId="1" pivotButton="0" quotePrefix="0" xfId="0"/>
    <xf numFmtId="0" fontId="4" fillId="4" borderId="0" pivotButton="0" quotePrefix="0" xfId="0"/>
    <xf numFmtId="164" fontId="4" fillId="4" borderId="0" pivotButton="0" quotePrefix="0" xfId="0"/>
    <xf numFmtId="18" fontId="5" fillId="3" borderId="1" pivotButton="0" quotePrefix="0" xfId="0"/>
    <xf numFmtId="3" fontId="6" fillId="4" borderId="1" pivotButton="0" quotePrefix="0" xfId="0"/>
    <xf numFmtId="165" fontId="6" fillId="4"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CE8B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s="2">
        <f>IF(COUNTIF(nrDL_Date,TODAY())=0,"DailyLog: no entry for today yet","DailyLog: entered ✓")</f>
        <v/>
      </c>
      <c r="H11" s="3">
        <f>IFERROR("Training Day #"&amp;_xlfn.XLOOKUP(TODAY(),nrCDdate,nrCDnum)&amp;"  (Week "&amp;_xlfn.XLOOKUP(TODAY(),nrCDdate,nrCDweek)&amp;")","(not a class day)")</f>
        <v/>
      </c>
    </row>
    <row r="12"/>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15"/>
    <row r="16"/>
    <row r="17"/>
    <row r="18"/>
    <row r="19"/>
    <row r="20"/>
    <row r="21"/>
    <row r="22"/>
    <row r="23">
      <c r="B23" s="4" t="inlineStr">
        <is>
          <t>Separated / total enrolled</t>
        </is>
      </c>
      <c r="C23" s="5" t="n"/>
      <c r="D23" s="4" t="inlineStr">
        <is>
          <t>Class current avg</t>
        </is>
      </c>
      <c r="E23" s="5" t="n"/>
      <c r="F23" s="4" t="inlineStr">
        <is>
          <t>Graduation eligible</t>
        </is>
      </c>
      <c r="G23" s="5" t="n"/>
      <c r="H23" s="4" t="inlineStr">
        <is>
          <t>Flagged cadets</t>
        </is>
      </c>
      <c r="I23" s="5" t="n"/>
      <c r="J23" s="4" t="inlineStr">
        <is>
          <t>Retests overdue / late / undated</t>
        </is>
      </c>
      <c r="K23" s="5" t="n"/>
    </row>
    <row r="24">
      <c r="B24" s="6">
        <f>SUMPRODUCT((nrCadetStatus="Separated")*1)&amp;" / "&amp;SUMPRODUCT((nrCadetStatus&lt;&gt;"")*1)</f>
        <v/>
      </c>
      <c r="C24" s="5" t="n"/>
      <c r="D24" s="6">
        <f>IFERROR(ROUND(AVERAGEIF(nrCadetStatus,"Active",nrGRcurrent),1),"—")</f>
        <v/>
      </c>
      <c r="E24" s="5" t="n"/>
      <c r="F24" s="6">
        <f>SUMPRODUCT((nrCadetStatus="Active")*(nrCKgradElig="Yes"))</f>
        <v/>
      </c>
      <c r="G24" s="5" t="n"/>
      <c r="H24" s="6">
        <f>SUMPRODUCT((nrCadetStatus="Active")*(nrFLcount&gt;0))</f>
        <v/>
      </c>
      <c r="I24" s="5" t="n"/>
      <c r="J24" s="6">
        <f>COUNTIF(nrES_RetStat,"OVERDUE")+COUNTIF(nrES_RetStat,"CHECK DATE")+COUNTIF(nrES_RetStat,"LATE RETEST*")+COUNTIF(nrES_RetStat,"RETEST UNDATED")+COUNTIF(nrES_RetStat,"RETEST DATE UNCHECKED")</f>
        <v/>
      </c>
      <c r="K24" s="5" t="n"/>
    </row>
    <row r="25"/>
    <row r="26">
      <c r="B26" s="4" t="inlineStr">
        <is>
          <t>Spelling interventions</t>
        </is>
      </c>
      <c r="C26" s="5" t="n"/>
      <c r="D26" s="4" t="inlineStr">
        <is>
          <t>Makeup owed (cadets)</t>
        </is>
      </c>
      <c r="E26" s="5" t="n"/>
      <c r="F26" s="4" t="inlineStr">
        <is>
          <t>Delivered hours</t>
        </is>
      </c>
      <c r="G26" s="5" t="n"/>
      <c r="H26" s="4" t="inlineStr">
        <is>
          <t>Audit checks failing</t>
        </is>
      </c>
      <c r="I26" s="5" t="n"/>
      <c r="J26" s="4" t="inlineStr">
        <is>
          <t>Days to graduation</t>
        </is>
      </c>
      <c r="K26" s="5" t="n"/>
      <c r="L26" s="4" t="inlineStr">
        <is>
          <t>Cert copies to collect</t>
        </is>
      </c>
      <c r="M26" s="5" t="n"/>
    </row>
    <row r="27">
      <c r="B27" s="6">
        <f>COUNTIF(nrSpellFlag,"INTERVENTION")</f>
        <v/>
      </c>
      <c r="C27" s="5" t="n"/>
      <c r="D27" s="6">
        <f>SUMPRODUCT((nrCadetStatus="Active")*(nrATTmakeupOK="No"))</f>
        <v/>
      </c>
      <c r="E27" s="5" t="n"/>
      <c r="F27" s="6">
        <f>ROUND(N(nrCHtotalDelivered),0)&amp;" / "&amp;cfgRequiredHours</f>
        <v/>
      </c>
      <c r="G27" s="5" t="n"/>
      <c r="H27" s="6">
        <f>SUMPRODUCT((nrAUDstatus&lt;&gt;"OK")*(nrAUDstatus&lt;&gt;""))</f>
        <v/>
      </c>
      <c r="I27" s="5" t="n"/>
      <c r="J27" s="6">
        <f>MAX(0,cfgEndDate-TODAY())</f>
        <v/>
      </c>
      <c r="K27" s="5" t="n"/>
      <c r="L27" s="6">
        <f>SUMPRODUCT((nrCadetStatus="Active")*(nrCERTmissing&lt;&gt;""))</f>
        <v/>
      </c>
      <c r="M27" s="5" t="n"/>
    </row>
    <row r="28"/>
    <row r="29" ht="16" customHeight="1">
      <c r="B29" s="7" t="inlineStr">
        <is>
          <t>Watch list — highest flag counts first (full list on WatchList)</t>
        </is>
      </c>
      <c r="C29" s="8" t="n"/>
      <c r="D29" s="8" t="n"/>
      <c r="E29" s="8" t="n"/>
      <c r="F29" s="8" t="n"/>
      <c r="G29" s="8" t="n"/>
      <c r="H29" s="8" t="n"/>
      <c r="I29" s="8" t="n"/>
      <c r="J29" s="8" t="n"/>
      <c r="K29" s="8" t="n"/>
    </row>
    <row r="30">
      <c r="B30">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31"/>
    <row r="32"/>
    <row r="33"/>
    <row r="34"/>
    <row r="35"/>
    <row r="36"/>
    <row r="37"/>
    <row r="38"/>
    <row r="39"/>
    <row r="40"/>
    <row r="41" ht="16" customHeight="1">
      <c r="B41" s="7" t="inlineStr">
        <is>
          <t>Certification reminders — copies to collect from cadets (Certifications sheet)</t>
        </is>
      </c>
      <c r="C41" s="8" t="n"/>
      <c r="D41" s="8" t="n"/>
      <c r="E41" s="8" t="n"/>
      <c r="F41" s="8" t="n"/>
      <c r="G41" s="8" t="n"/>
      <c r="H41" s="8" t="n"/>
      <c r="I41" s="8" t="n"/>
      <c r="J41" s="8" t="n"/>
      <c r="K41" s="8" t="n"/>
    </row>
    <row r="42">
      <c r="B42">
        <f>IFERROR(_xlfn.TAKE(_xlfn._xlws.FILTER(_xlfn.HSTACK(rngCadetNames,nrCadetAgency,nrCERTmissing),(nrCERTmissing&lt;&gt;"")*(nrCadetStatus="Active"),"All certification copies collected"),9),"⚠ LIST UNAVAILABLE - a reference in this panel is broken; do NOT read it as 'nothing to report'")</f>
        <v/>
      </c>
    </row>
    <row r="43"/>
    <row r="44"/>
    <row r="45"/>
    <row r="46"/>
    <row r="47"/>
    <row r="48"/>
    <row r="49"/>
    <row r="50"/>
    <row r="51" ht="16" customHeight="1">
      <c r="B51" s="7" t="inlineStr">
        <is>
          <t>Open missed-time events — not yet made up (Attendance ↔ Makeup by EventID)</t>
        </is>
      </c>
      <c r="C51" s="8" t="n"/>
      <c r="D51" s="8" t="n"/>
      <c r="E51" s="8" t="n"/>
      <c r="F51" s="8" t="n"/>
      <c r="G51" s="8" t="n"/>
      <c r="H51" s="8" t="n"/>
      <c r="I51" s="8" t="n"/>
      <c r="J51" s="8" t="n"/>
      <c r="K51" s="8" t="n"/>
    </row>
    <row r="52">
      <c r="B52">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53"/>
    <row r="54"/>
    <row r="55"/>
    <row r="56"/>
    <row r="57"/>
    <row r="58"/>
    <row r="59"/>
    <row r="60"/>
    <row r="61" ht="16" customHeight="1">
      <c r="B61" s="7" t="inlineStr">
        <is>
          <t>Outstanding memos (pending / overdue)</t>
        </is>
      </c>
      <c r="C61" s="8" t="n"/>
      <c r="D61" s="8" t="n"/>
      <c r="E61" s="8" t="n"/>
      <c r="F61" s="8" t="n"/>
      <c r="G61" s="8" t="n"/>
      <c r="H61" s="8" t="n"/>
      <c r="I61" s="8" t="n"/>
      <c r="J61" s="8" t="n"/>
      <c r="K61" s="8" t="n"/>
    </row>
    <row r="62">
      <c r="B6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63"/>
    <row r="64"/>
    <row r="65"/>
    <row r="66"/>
    <row r="67"/>
    <row r="68"/>
    <row r="69"/>
    <row r="70" ht="16" customHeight="1">
      <c r="B70" s="7" t="inlineStr">
        <is>
          <t>Class average by exam</t>
        </is>
      </c>
      <c r="C70" s="8" t="n"/>
      <c r="D70" s="8" t="n"/>
      <c r="E70" s="8" t="n"/>
      <c r="F70" s="8" t="n"/>
      <c r="G70" s="8" t="n"/>
      <c r="H70" s="8" t="n"/>
      <c r="I70" s="8" t="n"/>
      <c r="J70" s="8" t="n"/>
      <c r="K70" s="8" t="n"/>
    </row>
    <row r="71"/>
    <row r="72"/>
    <row r="73"/>
    <row r="74"/>
    <row r="75"/>
    <row r="76"/>
    <row r="77"/>
    <row r="78"/>
    <row r="79"/>
    <row r="80"/>
    <row r="81"/>
    <row r="82"/>
    <row r="83"/>
    <row r="84"/>
    <row r="85"/>
    <row r="86" ht="16" customHeight="1">
      <c r="B86" s="7" t="inlineStr">
        <is>
          <t>Spelling class average by test</t>
        </is>
      </c>
      <c r="C86" s="8" t="n"/>
      <c r="D86" s="8" t="n"/>
      <c r="E86" s="8" t="n"/>
      <c r="F86" s="8" t="n"/>
      <c r="G86" s="8" t="n"/>
      <c r="H86" s="8" t="n"/>
      <c r="I86" s="8" t="n"/>
      <c r="J86" s="8" t="n"/>
      <c r="K86" s="8" t="n"/>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7:C7"/>
    <mergeCell ref="B51:K51"/>
    <mergeCell ref="B27:C27"/>
    <mergeCell ref="F7:G7"/>
    <mergeCell ref="B41:K41"/>
    <mergeCell ref="F24:G24"/>
    <mergeCell ref="J23:K23"/>
    <mergeCell ref="J24:K24"/>
    <mergeCell ref="D27:E27"/>
    <mergeCell ref="B23:C23"/>
    <mergeCell ref="J8:K8"/>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B10:K10"/>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white boxes with a blue border are yours to type (your entries show in blue),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3"/>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White boxes with a blue border are yours to type (what you type shows in blue); gray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HYPERLINK("#SkillsCheck!B6","SkillsCheck")</f>
        <v/>
      </c>
      <c r="C27" s="13" t="inlineStr">
        <is>
          <t>One Pass/Fail per skills training per cadet — your call, not the attempt log's. Marking any skill Fail blocks graduation and names that skill in Blocking Issues. Blank is not a failure, but it is counted under 'Not Assessed'.</t>
        </is>
      </c>
    </row>
    <row r="28" ht="26" customHeight="1">
      <c r="B28" s="3">
        <f>HYPERLINK("#Writing!B6","Writing")</f>
        <v/>
      </c>
      <c r="C28" s="13" t="inlineStr">
        <is>
          <t>Type X when an assignment is received (auto-capitalizes).</t>
        </is>
      </c>
    </row>
    <row r="29" ht="26" customHeight="1">
      <c r="B29" s="3">
        <f>HYPERLINK("#Incidents!B6","Incidents")</f>
        <v/>
      </c>
      <c r="C29" s="13" t="inlineStr">
        <is>
          <t>Positive/negative incidents with severity and resolution.</t>
        </is>
      </c>
    </row>
    <row r="30" ht="26" customHeight="1">
      <c r="B30" s="3">
        <f>HYPERLINK("#Counseling!B6","Counseling")</f>
        <v/>
      </c>
      <c r="C30" s="13" t="inlineStr">
        <is>
          <t>Every intervention: tutoring, counseling, agency notification, performance plans. 'Agency Notified?' = Yes puts it in the next email digest.</t>
        </is>
      </c>
    </row>
    <row r="31" ht="26" customHeight="1">
      <c r="B31" s="3">
        <f>HYPERLINK("#Memos!B6","Memos")</f>
        <v/>
      </c>
      <c r="C31" s="13" t="inlineStr">
        <is>
          <t>Deficiency memos: assign, link to the I/A/C record, due auto-computes, mark received. 'Report to Agency?' is your call.</t>
        </is>
      </c>
    </row>
    <row r="32" ht="26" customHeight="1">
      <c r="B32" s="3">
        <f>HYPERLINK("#DailyLog!B6","DailyLog")</f>
        <v/>
      </c>
      <c r="C32" s="13" t="inlineStr">
        <is>
          <t>One row per training day — the digital daily report. Counters compute; mark when the leader's signed report is scanned.</t>
        </is>
      </c>
    </row>
    <row r="33" ht="26" customHeight="1">
      <c r="B33" s="3">
        <f>HYPERLINK("#PT!B6","PT")</f>
        <v/>
      </c>
      <c r="C33" s="13" t="inlineStr">
        <is>
          <t>Baseline and final raw values per event; final points once the rubric arrives.</t>
        </is>
      </c>
    </row>
    <row r="34" ht="26" customHeight="1">
      <c r="B34" s="3">
        <f>HYPERLINK("#Medical!B6","Medical")</f>
        <v/>
      </c>
      <c r="C34" s="13" t="inlineStr">
        <is>
          <t>Injuries, restrictions, clearances and expirations.</t>
        </is>
      </c>
    </row>
    <row r="35" ht="26" customHeight="1">
      <c r="B35" s="3">
        <f>HYPERLINK("#Certifications!B6","Certifications")</f>
        <v/>
      </c>
      <c r="C35" s="13" t="inlineStr">
        <is>
          <t>Per-cadet TIM/SFST/TCIC/CPR/ALERRT/ICS completion dates and certificate copies collected.</t>
        </is>
      </c>
    </row>
    <row r="36" ht="26" customHeight="1">
      <c r="B36" s="3">
        <f>HYPERLINK("#StateExam!B6","StateExam")</f>
        <v/>
      </c>
      <c r="C36" s="13" t="inlineStr">
        <is>
          <t>TCOLE licensing exam attempts and results (3 max).</t>
        </is>
      </c>
    </row>
    <row r="37" ht="26" customHeight="1">
      <c r="B37" s="3">
        <f>HYPERLINK("#DismissalLog!B6","DismissalLog")</f>
        <v/>
      </c>
      <c r="C37" s="13" t="inlineStr">
        <is>
          <t>Formal reviews: trigger, decision, approvals.</t>
        </is>
      </c>
    </row>
    <row r="38" ht="26" customHeight="1">
      <c r="B38" s="3">
        <f>HYPERLINK("#AdvisoryBoard!B6","AdvisoryBoard")</f>
        <v/>
      </c>
      <c r="C38" s="13" t="inlineStr">
        <is>
          <t>Governance: this academy's alignment record (policy version, minutes reviewed, workbook aligned) + the running board-meeting list with minutes folder locations. The Startup Review button fills it.</t>
        </is>
      </c>
    </row>
    <row r="39" ht="16" customHeight="1">
      <c r="B39" s="7" t="inlineStr">
        <is>
          <t>End of academy / as needed</t>
        </is>
      </c>
      <c r="C39" s="8" t="n"/>
      <c r="D39" s="8" t="n"/>
      <c r="E39" s="8" t="n"/>
      <c r="F39" s="8" t="n"/>
      <c r="G39" s="8" t="n"/>
      <c r="H39" s="8" t="n"/>
    </row>
    <row r="40" ht="26" customHeight="1">
      <c r="B40" s="3">
        <f>HYPERLINK("#Audit!B6","Audit")</f>
        <v/>
      </c>
      <c r="C40" s="13" t="inlineStr">
        <is>
          <t>Program-requirement checklist answers + per-cadet enrollment documents grid.</t>
        </is>
      </c>
    </row>
    <row r="41" ht="26" customHeight="1">
      <c r="B41" s="3">
        <f>HYPERLINK("#EmailPreview!B6","EmailPreview")</f>
        <v/>
      </c>
      <c r="C41" s="13" t="inlineStr">
        <is>
          <t>Pick an agency to preview its email; the button builds Outlook drafts.</t>
        </is>
      </c>
    </row>
    <row r="42" ht="26" customHeight="1">
      <c r="B42" s="3">
        <f>HYPERLINK("#sysAwards!B6","sysAwards")</f>
        <v/>
      </c>
      <c r="C42" s="13" t="inlineStr">
        <is>
          <t>Award override cells — your pick always wins.</t>
        </is>
      </c>
    </row>
    <row r="43" ht="26" customHeight="1">
      <c r="B43" s="3">
        <f>HYPERLINK("#PrintCenter!B6","PrintCenter")</f>
        <v/>
      </c>
      <c r="C43"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8">
    <mergeCell ref="C25:H25"/>
    <mergeCell ref="C10:H10"/>
    <mergeCell ref="C16:H16"/>
    <mergeCell ref="C41:H41"/>
    <mergeCell ref="C22:H22"/>
    <mergeCell ref="C40:H40"/>
    <mergeCell ref="C9:H9"/>
    <mergeCell ref="C31:H31"/>
    <mergeCell ref="B6:H6"/>
    <mergeCell ref="C43:H43"/>
    <mergeCell ref="C12:H12"/>
    <mergeCell ref="B20:H20"/>
    <mergeCell ref="C21:H21"/>
    <mergeCell ref="C11:H11"/>
    <mergeCell ref="C36:H36"/>
    <mergeCell ref="C27:H27"/>
    <mergeCell ref="C23:H23"/>
    <mergeCell ref="C8:H8"/>
    <mergeCell ref="C17:H17"/>
    <mergeCell ref="C7:H7"/>
    <mergeCell ref="C32:H32"/>
    <mergeCell ref="C38:H38"/>
    <mergeCell ref="C19:H19"/>
    <mergeCell ref="C28:H28"/>
    <mergeCell ref="C13:H13"/>
    <mergeCell ref="C37:H37"/>
    <mergeCell ref="B39:H39"/>
    <mergeCell ref="C18:H18"/>
    <mergeCell ref="C34:H34"/>
    <mergeCell ref="C30:H30"/>
    <mergeCell ref="C15:H15"/>
    <mergeCell ref="C33:H33"/>
    <mergeCell ref="C24:H24"/>
    <mergeCell ref="C42:H42"/>
    <mergeCell ref="C14:H14"/>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Y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row>
    <row r="56"/>
    <row r="57">
      <c r="C57" s="3" t="inlineStr">
        <is>
          <t>Scores entered:</t>
        </is>
      </c>
      <c r="D57" s="20">
        <f>COUNTIFS(D6:D55,"&gt;=0",D6:D55,"&lt;=100")</f>
        <v/>
      </c>
      <c r="E57" s="20">
        <f>COUNTIFS(E6:E55,"&gt;=0",E6:E55,"&lt;=100")</f>
        <v/>
      </c>
      <c r="F57" s="20">
        <f>COUNTIFS(F6:F55,"&gt;=0",F6:F55,"&lt;=100")</f>
        <v/>
      </c>
      <c r="G57" s="20">
        <f>COUNTIFS(G6:G55,"&gt;=0",G6:G55,"&lt;=100")</f>
        <v/>
      </c>
      <c r="H57" s="20">
        <f>COUNTIFS(H6:H55,"&gt;=0",H6:H55,"&lt;=100")</f>
        <v/>
      </c>
      <c r="I57" s="20">
        <f>COUNTIFS(I6:I55,"&gt;=0",I6:I55,"&lt;=100")</f>
        <v/>
      </c>
      <c r="J57" s="20">
        <f>COUNTIFS(J6:J55,"&gt;=0",J6:J55,"&lt;=100")</f>
        <v/>
      </c>
      <c r="K57" s="20">
        <f>COUNTIFS(K6:K55,"&gt;=0",K6:K55,"&lt;=100")</f>
        <v/>
      </c>
      <c r="L57" s="20">
        <f>COUNTIFS(L6:L55,"&gt;=0",L6:L55,"&lt;=100")</f>
        <v/>
      </c>
      <c r="M57" s="20">
        <f>COUNTIFS(M6:M55,"&gt;=0",M6:M55,"&lt;=100")</f>
        <v/>
      </c>
      <c r="N57" s="20">
        <f>COUNTIFS(N6:N55,"&gt;=0",N6:N55,"&lt;=100")</f>
        <v/>
      </c>
      <c r="O57" s="20">
        <f>COUNTIFS(O6:O55,"&gt;=0",O6:O55,"&lt;=100")</f>
        <v/>
      </c>
    </row>
    <row r="58">
      <c r="C58" s="3" t="inlineStr">
        <is>
          <t>Class average:</t>
        </is>
      </c>
      <c r="D58" s="20">
        <f>IF(D57=0,"",ROUND(AVERAGEIFS(D6:D55,D6:D55,"&gt;=0",D6:D55,"&lt;=100"),1))</f>
        <v/>
      </c>
      <c r="E58" s="20">
        <f>IF(E57=0,"",ROUND(AVERAGEIFS(E6:E55,E6:E55,"&gt;=0",E6:E55,"&lt;=100"),1))</f>
        <v/>
      </c>
      <c r="F58" s="20">
        <f>IF(F57=0,"",ROUND(AVERAGEIFS(F6:F55,F6:F55,"&gt;=0",F6:F55,"&lt;=100"),1))</f>
        <v/>
      </c>
      <c r="G58" s="20">
        <f>IF(G57=0,"",ROUND(AVERAGEIFS(G6:G55,G6:G55,"&gt;=0",G6:G55,"&lt;=100"),1))</f>
        <v/>
      </c>
      <c r="H58" s="20">
        <f>IF(H57=0,"",ROUND(AVERAGEIFS(H6:H55,H6:H55,"&gt;=0",H6:H55,"&lt;=100"),1))</f>
        <v/>
      </c>
      <c r="I58" s="20">
        <f>IF(I57=0,"",ROUND(AVERAGEIFS(I6:I55,I6:I55,"&gt;=0",I6:I55,"&lt;=100"),1))</f>
        <v/>
      </c>
      <c r="J58" s="20">
        <f>IF(J57=0,"",ROUND(AVERAGEIFS(J6:J55,J6:J55,"&gt;=0",J6:J55,"&lt;=100"),1))</f>
        <v/>
      </c>
      <c r="K58" s="20">
        <f>IF(K57=0,"",ROUND(AVERAGEIFS(K6:K55,K6:K55,"&gt;=0",K6:K55,"&lt;=100"),1))</f>
        <v/>
      </c>
      <c r="L58" s="20">
        <f>IF(L57=0,"",ROUND(AVERAGEIFS(L6:L55,L6:L55,"&gt;=0",L6:L55,"&lt;=100"),1))</f>
        <v/>
      </c>
      <c r="M58" s="20">
        <f>IF(M57=0,"",ROUND(AVERAGEIFS(M6:M55,M6:M55,"&gt;=0",M6:M55,"&lt;=100"),1))</f>
        <v/>
      </c>
      <c r="N58" s="20">
        <f>IF(N57=0,"",ROUND(AVERAGEIFS(N6:N55,N6:N55,"&gt;=0",N6:N55,"&lt;=100"),1))</f>
        <v/>
      </c>
      <c r="O58" s="20">
        <f>IF(O57=0,"",ROUND(AVERAGEIFS(O6:O55,O6:O55,"&gt;=0",O6:O55,"&lt;=100"),1))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S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T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S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34" customWidth="1" min="14" max="14"/>
    <col width="13" customWidth="1" min="15" max="15"/>
    <col width="14" customWidth="1" min="16" max="16"/>
  </cols>
  <sheetData>
    <row r="1">
      <c r="B1" s="10">
        <f>HYPERLINK("#Dashboard!B5","◄ Dashboard")</f>
        <v/>
      </c>
    </row>
    <row r="2"/>
    <row r="3"/>
    <row r="4">
      <c r="B4" s="11" t="inlineStr">
        <is>
          <t>One Pass/Fail per skills training, per cadet - your call, not the attempt log's. EVERY skill must read Pass before a cadet can graduate: a Fail blocks and names that skill in Blocking Issues, and a skill left BLANK blocks too (it counts under 'Not Assessed'). Nothing here is automatic - missed skills time does not mark anything, because in practice parts of skills training can be made up - so the block lifts the moment you mark the skill Pass. A column only counts if its category exists on SkillsMaster; the spare columns are ignored until you name them there.</t>
        </is>
      </c>
    </row>
    <row r="5" ht="26" customHeight="1">
      <c r="B5" s="12" t="inlineStr">
        <is>
          <t>PID</t>
        </is>
      </c>
      <c r="C5" s="12" t="inlineStr">
        <is>
          <t>Cadet Name</t>
        </is>
      </c>
      <c r="D5" s="12" t="inlineStr">
        <is>
          <t>Firearms</t>
        </is>
      </c>
      <c r="E5" s="12" t="inlineStr">
        <is>
          <t>Driving</t>
        </is>
      </c>
      <c r="F5" s="12" t="inlineStr">
        <is>
          <t>MOA</t>
        </is>
      </c>
      <c r="G5" s="12" t="inlineStr">
        <is>
          <t>OC</t>
        </is>
      </c>
      <c r="H5" s="12" t="inlineStr">
        <is>
          <t>SFST</t>
        </is>
      </c>
      <c r="I5" s="12" t="inlineStr">
        <is>
          <t>Medical</t>
        </is>
      </c>
      <c r="J5" s="12">
        <f>IF(SkillsMaster!$B$12="","(spare)",SkillsMaster!$B$12)</f>
        <v/>
      </c>
      <c r="K5" s="12">
        <f>IF(SkillsMaster!$B$13="","(spare)",SkillsMaster!$B$13)</f>
        <v/>
      </c>
      <c r="L5" s="12">
        <f>IF(SkillsMaster!$B$14="","(spare)",SkillsMaster!$B$14)</f>
        <v/>
      </c>
      <c r="M5" s="12">
        <f>IF(SkillsMaster!$B$15="","(spare)",SkillsMaster!$B$15)</f>
        <v/>
      </c>
      <c r="N5" s="12" t="inlineStr">
        <is>
          <t>Failed</t>
        </is>
      </c>
      <c r="O5" s="12" t="inlineStr">
        <is>
          <t>Not Assessed</t>
        </is>
      </c>
      <c r="P5" s="12" t="inlineStr">
        <is>
          <t>Skills P/F OK?</t>
        </is>
      </c>
    </row>
    <row r="6">
      <c r="B6" s="17">
        <f>IF(Cadets!$B6="","",Cadets!$B6)</f>
        <v/>
      </c>
      <c r="C6" s="17">
        <f>IF(Cadets!$B6="","",Cadets!$F6)</f>
        <v/>
      </c>
      <c r="D6" s="16" t="n"/>
      <c r="E6" s="16" t="n"/>
      <c r="F6" s="16" t="n"/>
      <c r="G6" s="16" t="n"/>
      <c r="H6" s="16" t="n"/>
      <c r="I6" s="16" t="n"/>
      <c r="J6" s="16" t="n"/>
      <c r="K6" s="16" t="n"/>
      <c r="L6" s="16" t="n"/>
      <c r="M6" s="16" t="n"/>
      <c r="N6" s="17">
        <f>IF($C6="","",_xlfn.TEXTJOIN(", ",TRUE,IF($D6="Fail",SkillsMaster!$B$6,""),IF($E6="Fail",SkillsMaster!$B$7,""),IF($F6="Fail",SkillsMaster!$B$8,""),IF($G6="Fail",SkillsMaster!$B$9,""),IF($H6="Fail",SkillsMaster!$B$10,""),IF($I6="Fail",SkillsMaster!$B$11,""),IF($J6="Fail",SkillsMaster!$B$12,""),IF($K6="Fail",SkillsMaster!$B$13,""),IF($L6="Fail",SkillsMaster!$B$14,""),IF($M6="Fail",SkillsMaster!$B$15,"")))</f>
        <v/>
      </c>
      <c r="O6" s="17">
        <f>IF($C6="","",IF(SkillsMaster!$B$6="",0,IF($D6="",1,0))+IF(SkillsMaster!$B$7="",0,IF($E6="",1,0))+IF(SkillsMaster!$B$8="",0,IF($F6="",1,0))+IF(SkillsMaster!$B$9="",0,IF($G6="",1,0))+IF(SkillsMaster!$B$10="",0,IF($H6="",1,0))+IF(SkillsMaster!$B$11="",0,IF($I6="",1,0))+IF(SkillsMaster!$B$12="",0,IF($J6="",1,0))+IF(SkillsMaster!$B$13="",0,IF($K6="",1,0))+IF(SkillsMaster!$B$14="",0,IF($L6="",1,0))+IF(SkillsMaster!$B$15="",0,IF($M6="",1,0)))</f>
        <v/>
      </c>
      <c r="P6" s="17">
        <f>IF($C6="","",IF(AND($N6="",$O6=0),"Yes","No"))</f>
        <v/>
      </c>
    </row>
    <row r="7">
      <c r="B7" s="17">
        <f>IF(Cadets!$B7="","",Cadets!$B7)</f>
        <v/>
      </c>
      <c r="C7" s="17">
        <f>IF(Cadets!$B7="","",Cadets!$F7)</f>
        <v/>
      </c>
      <c r="D7" s="16" t="n"/>
      <c r="E7" s="16" t="n"/>
      <c r="F7" s="16" t="n"/>
      <c r="G7" s="16" t="n"/>
      <c r="H7" s="16" t="n"/>
      <c r="I7" s="16" t="n"/>
      <c r="J7" s="16" t="n"/>
      <c r="K7" s="16" t="n"/>
      <c r="L7" s="16" t="n"/>
      <c r="M7" s="16" t="n"/>
      <c r="N7" s="17">
        <f>IF($C7="","",_xlfn.TEXTJOIN(", ",TRUE,IF($D7="Fail",SkillsMaster!$B$6,""),IF($E7="Fail",SkillsMaster!$B$7,""),IF($F7="Fail",SkillsMaster!$B$8,""),IF($G7="Fail",SkillsMaster!$B$9,""),IF($H7="Fail",SkillsMaster!$B$10,""),IF($I7="Fail",SkillsMaster!$B$11,""),IF($J7="Fail",SkillsMaster!$B$12,""),IF($K7="Fail",SkillsMaster!$B$13,""),IF($L7="Fail",SkillsMaster!$B$14,""),IF($M7="Fail",SkillsMaster!$B$15,"")))</f>
        <v/>
      </c>
      <c r="O7" s="17">
        <f>IF($C7="","",IF(SkillsMaster!$B$6="",0,IF($D7="",1,0))+IF(SkillsMaster!$B$7="",0,IF($E7="",1,0))+IF(SkillsMaster!$B$8="",0,IF($F7="",1,0))+IF(SkillsMaster!$B$9="",0,IF($G7="",1,0))+IF(SkillsMaster!$B$10="",0,IF($H7="",1,0))+IF(SkillsMaster!$B$11="",0,IF($I7="",1,0))+IF(SkillsMaster!$B$12="",0,IF($J7="",1,0))+IF(SkillsMaster!$B$13="",0,IF($K7="",1,0))+IF(SkillsMaster!$B$14="",0,IF($L7="",1,0))+IF(SkillsMaster!$B$15="",0,IF($M7="",1,0)))</f>
        <v/>
      </c>
      <c r="P7" s="17">
        <f>IF($C7="","",IF(AND($N7="",$O7=0),"Yes","No"))</f>
        <v/>
      </c>
    </row>
    <row r="8">
      <c r="B8" s="17">
        <f>IF(Cadets!$B8="","",Cadets!$B8)</f>
        <v/>
      </c>
      <c r="C8" s="17">
        <f>IF(Cadets!$B8="","",Cadets!$F8)</f>
        <v/>
      </c>
      <c r="D8" s="16" t="n"/>
      <c r="E8" s="16" t="n"/>
      <c r="F8" s="16" t="n"/>
      <c r="G8" s="16" t="n"/>
      <c r="H8" s="16" t="n"/>
      <c r="I8" s="16" t="n"/>
      <c r="J8" s="16" t="n"/>
      <c r="K8" s="16" t="n"/>
      <c r="L8" s="16" t="n"/>
      <c r="M8" s="16" t="n"/>
      <c r="N8" s="17">
        <f>IF($C8="","",_xlfn.TEXTJOIN(", ",TRUE,IF($D8="Fail",SkillsMaster!$B$6,""),IF($E8="Fail",SkillsMaster!$B$7,""),IF($F8="Fail",SkillsMaster!$B$8,""),IF($G8="Fail",SkillsMaster!$B$9,""),IF($H8="Fail",SkillsMaster!$B$10,""),IF($I8="Fail",SkillsMaster!$B$11,""),IF($J8="Fail",SkillsMaster!$B$12,""),IF($K8="Fail",SkillsMaster!$B$13,""),IF($L8="Fail",SkillsMaster!$B$14,""),IF($M8="Fail",SkillsMaster!$B$15,"")))</f>
        <v/>
      </c>
      <c r="O8" s="17">
        <f>IF($C8="","",IF(SkillsMaster!$B$6="",0,IF($D8="",1,0))+IF(SkillsMaster!$B$7="",0,IF($E8="",1,0))+IF(SkillsMaster!$B$8="",0,IF($F8="",1,0))+IF(SkillsMaster!$B$9="",0,IF($G8="",1,0))+IF(SkillsMaster!$B$10="",0,IF($H8="",1,0))+IF(SkillsMaster!$B$11="",0,IF($I8="",1,0))+IF(SkillsMaster!$B$12="",0,IF($J8="",1,0))+IF(SkillsMaster!$B$13="",0,IF($K8="",1,0))+IF(SkillsMaster!$B$14="",0,IF($L8="",1,0))+IF(SkillsMaster!$B$15="",0,IF($M8="",1,0)))</f>
        <v/>
      </c>
      <c r="P8" s="17">
        <f>IF($C8="","",IF(AND($N8="",$O8=0),"Yes","No"))</f>
        <v/>
      </c>
    </row>
    <row r="9">
      <c r="B9" s="17">
        <f>IF(Cadets!$B9="","",Cadets!$B9)</f>
        <v/>
      </c>
      <c r="C9" s="17">
        <f>IF(Cadets!$B9="","",Cadets!$F9)</f>
        <v/>
      </c>
      <c r="D9" s="16" t="n"/>
      <c r="E9" s="16" t="n"/>
      <c r="F9" s="16" t="n"/>
      <c r="G9" s="16" t="n"/>
      <c r="H9" s="16" t="n"/>
      <c r="I9" s="16" t="n"/>
      <c r="J9" s="16" t="n"/>
      <c r="K9" s="16" t="n"/>
      <c r="L9" s="16" t="n"/>
      <c r="M9" s="16" t="n"/>
      <c r="N9" s="17">
        <f>IF($C9="","",_xlfn.TEXTJOIN(", ",TRUE,IF($D9="Fail",SkillsMaster!$B$6,""),IF($E9="Fail",SkillsMaster!$B$7,""),IF($F9="Fail",SkillsMaster!$B$8,""),IF($G9="Fail",SkillsMaster!$B$9,""),IF($H9="Fail",SkillsMaster!$B$10,""),IF($I9="Fail",SkillsMaster!$B$11,""),IF($J9="Fail",SkillsMaster!$B$12,""),IF($K9="Fail",SkillsMaster!$B$13,""),IF($L9="Fail",SkillsMaster!$B$14,""),IF($M9="Fail",SkillsMaster!$B$15,"")))</f>
        <v/>
      </c>
      <c r="O9" s="17">
        <f>IF($C9="","",IF(SkillsMaster!$B$6="",0,IF($D9="",1,0))+IF(SkillsMaster!$B$7="",0,IF($E9="",1,0))+IF(SkillsMaster!$B$8="",0,IF($F9="",1,0))+IF(SkillsMaster!$B$9="",0,IF($G9="",1,0))+IF(SkillsMaster!$B$10="",0,IF($H9="",1,0))+IF(SkillsMaster!$B$11="",0,IF($I9="",1,0))+IF(SkillsMaster!$B$12="",0,IF($J9="",1,0))+IF(SkillsMaster!$B$13="",0,IF($K9="",1,0))+IF(SkillsMaster!$B$14="",0,IF($L9="",1,0))+IF(SkillsMaster!$B$15="",0,IF($M9="",1,0)))</f>
        <v/>
      </c>
      <c r="P9" s="17">
        <f>IF($C9="","",IF(AND($N9="",$O9=0),"Yes","No"))</f>
        <v/>
      </c>
    </row>
    <row r="10">
      <c r="B10" s="17">
        <f>IF(Cadets!$B10="","",Cadets!$B10)</f>
        <v/>
      </c>
      <c r="C10" s="17">
        <f>IF(Cadets!$B10="","",Cadets!$F10)</f>
        <v/>
      </c>
      <c r="D10" s="16" t="n"/>
      <c r="E10" s="16" t="n"/>
      <c r="F10" s="16" t="n"/>
      <c r="G10" s="16" t="n"/>
      <c r="H10" s="16" t="n"/>
      <c r="I10" s="16" t="n"/>
      <c r="J10" s="16" t="n"/>
      <c r="K10" s="16" t="n"/>
      <c r="L10" s="16" t="n"/>
      <c r="M10" s="16" t="n"/>
      <c r="N10" s="17">
        <f>IF($C10="","",_xlfn.TEXTJOIN(", ",TRUE,IF($D10="Fail",SkillsMaster!$B$6,""),IF($E10="Fail",SkillsMaster!$B$7,""),IF($F10="Fail",SkillsMaster!$B$8,""),IF($G10="Fail",SkillsMaster!$B$9,""),IF($H10="Fail",SkillsMaster!$B$10,""),IF($I10="Fail",SkillsMaster!$B$11,""),IF($J10="Fail",SkillsMaster!$B$12,""),IF($K10="Fail",SkillsMaster!$B$13,""),IF($L10="Fail",SkillsMaster!$B$14,""),IF($M10="Fail",SkillsMaster!$B$15,"")))</f>
        <v/>
      </c>
      <c r="O10" s="17">
        <f>IF($C10="","",IF(SkillsMaster!$B$6="",0,IF($D10="",1,0))+IF(SkillsMaster!$B$7="",0,IF($E10="",1,0))+IF(SkillsMaster!$B$8="",0,IF($F10="",1,0))+IF(SkillsMaster!$B$9="",0,IF($G10="",1,0))+IF(SkillsMaster!$B$10="",0,IF($H10="",1,0))+IF(SkillsMaster!$B$11="",0,IF($I10="",1,0))+IF(SkillsMaster!$B$12="",0,IF($J10="",1,0))+IF(SkillsMaster!$B$13="",0,IF($K10="",1,0))+IF(SkillsMaster!$B$14="",0,IF($L10="",1,0))+IF(SkillsMaster!$B$15="",0,IF($M10="",1,0)))</f>
        <v/>
      </c>
      <c r="P10" s="17">
        <f>IF($C10="","",IF(AND($N10="",$O10=0),"Yes","No"))</f>
        <v/>
      </c>
    </row>
    <row r="11">
      <c r="B11" s="17">
        <f>IF(Cadets!$B11="","",Cadets!$B11)</f>
        <v/>
      </c>
      <c r="C11" s="17">
        <f>IF(Cadets!$B11="","",Cadets!$F11)</f>
        <v/>
      </c>
      <c r="D11" s="16" t="n"/>
      <c r="E11" s="16" t="n"/>
      <c r="F11" s="16" t="n"/>
      <c r="G11" s="16" t="n"/>
      <c r="H11" s="16" t="n"/>
      <c r="I11" s="16" t="n"/>
      <c r="J11" s="16" t="n"/>
      <c r="K11" s="16" t="n"/>
      <c r="L11" s="16" t="n"/>
      <c r="M11" s="16" t="n"/>
      <c r="N11" s="17">
        <f>IF($C11="","",_xlfn.TEXTJOIN(", ",TRUE,IF($D11="Fail",SkillsMaster!$B$6,""),IF($E11="Fail",SkillsMaster!$B$7,""),IF($F11="Fail",SkillsMaster!$B$8,""),IF($G11="Fail",SkillsMaster!$B$9,""),IF($H11="Fail",SkillsMaster!$B$10,""),IF($I11="Fail",SkillsMaster!$B$11,""),IF($J11="Fail",SkillsMaster!$B$12,""),IF($K11="Fail",SkillsMaster!$B$13,""),IF($L11="Fail",SkillsMaster!$B$14,""),IF($M11="Fail",SkillsMaster!$B$15,"")))</f>
        <v/>
      </c>
      <c r="O11" s="17">
        <f>IF($C11="","",IF(SkillsMaster!$B$6="",0,IF($D11="",1,0))+IF(SkillsMaster!$B$7="",0,IF($E11="",1,0))+IF(SkillsMaster!$B$8="",0,IF($F11="",1,0))+IF(SkillsMaster!$B$9="",0,IF($G11="",1,0))+IF(SkillsMaster!$B$10="",0,IF($H11="",1,0))+IF(SkillsMaster!$B$11="",0,IF($I11="",1,0))+IF(SkillsMaster!$B$12="",0,IF($J11="",1,0))+IF(SkillsMaster!$B$13="",0,IF($K11="",1,0))+IF(SkillsMaster!$B$14="",0,IF($L11="",1,0))+IF(SkillsMaster!$B$15="",0,IF($M11="",1,0)))</f>
        <v/>
      </c>
      <c r="P11" s="17">
        <f>IF($C11="","",IF(AND($N11="",$O11=0),"Yes","No"))</f>
        <v/>
      </c>
    </row>
    <row r="12">
      <c r="B12" s="17">
        <f>IF(Cadets!$B12="","",Cadets!$B12)</f>
        <v/>
      </c>
      <c r="C12" s="17">
        <f>IF(Cadets!$B12="","",Cadets!$F12)</f>
        <v/>
      </c>
      <c r="D12" s="16" t="n"/>
      <c r="E12" s="16" t="n"/>
      <c r="F12" s="16" t="n"/>
      <c r="G12" s="16" t="n"/>
      <c r="H12" s="16" t="n"/>
      <c r="I12" s="16" t="n"/>
      <c r="J12" s="16" t="n"/>
      <c r="K12" s="16" t="n"/>
      <c r="L12" s="16" t="n"/>
      <c r="M12" s="16" t="n"/>
      <c r="N12" s="17">
        <f>IF($C12="","",_xlfn.TEXTJOIN(", ",TRUE,IF($D12="Fail",SkillsMaster!$B$6,""),IF($E12="Fail",SkillsMaster!$B$7,""),IF($F12="Fail",SkillsMaster!$B$8,""),IF($G12="Fail",SkillsMaster!$B$9,""),IF($H12="Fail",SkillsMaster!$B$10,""),IF($I12="Fail",SkillsMaster!$B$11,""),IF($J12="Fail",SkillsMaster!$B$12,""),IF($K12="Fail",SkillsMaster!$B$13,""),IF($L12="Fail",SkillsMaster!$B$14,""),IF($M12="Fail",SkillsMaster!$B$15,"")))</f>
        <v/>
      </c>
      <c r="O12" s="17">
        <f>IF($C12="","",IF(SkillsMaster!$B$6="",0,IF($D12="",1,0))+IF(SkillsMaster!$B$7="",0,IF($E12="",1,0))+IF(SkillsMaster!$B$8="",0,IF($F12="",1,0))+IF(SkillsMaster!$B$9="",0,IF($G12="",1,0))+IF(SkillsMaster!$B$10="",0,IF($H12="",1,0))+IF(SkillsMaster!$B$11="",0,IF($I12="",1,0))+IF(SkillsMaster!$B$12="",0,IF($J12="",1,0))+IF(SkillsMaster!$B$13="",0,IF($K12="",1,0))+IF(SkillsMaster!$B$14="",0,IF($L12="",1,0))+IF(SkillsMaster!$B$15="",0,IF($M12="",1,0)))</f>
        <v/>
      </c>
      <c r="P12" s="17">
        <f>IF($C12="","",IF(AND($N12="",$O12=0),"Yes","No"))</f>
        <v/>
      </c>
    </row>
    <row r="13">
      <c r="B13" s="17">
        <f>IF(Cadets!$B13="","",Cadets!$B13)</f>
        <v/>
      </c>
      <c r="C13" s="17">
        <f>IF(Cadets!$B13="","",Cadets!$F13)</f>
        <v/>
      </c>
      <c r="D13" s="16" t="n"/>
      <c r="E13" s="16" t="n"/>
      <c r="F13" s="16" t="n"/>
      <c r="G13" s="16" t="n"/>
      <c r="H13" s="16" t="n"/>
      <c r="I13" s="16" t="n"/>
      <c r="J13" s="16" t="n"/>
      <c r="K13" s="16" t="n"/>
      <c r="L13" s="16" t="n"/>
      <c r="M13" s="16" t="n"/>
      <c r="N13" s="17">
        <f>IF($C13="","",_xlfn.TEXTJOIN(", ",TRUE,IF($D13="Fail",SkillsMaster!$B$6,""),IF($E13="Fail",SkillsMaster!$B$7,""),IF($F13="Fail",SkillsMaster!$B$8,""),IF($G13="Fail",SkillsMaster!$B$9,""),IF($H13="Fail",SkillsMaster!$B$10,""),IF($I13="Fail",SkillsMaster!$B$11,""),IF($J13="Fail",SkillsMaster!$B$12,""),IF($K13="Fail",SkillsMaster!$B$13,""),IF($L13="Fail",SkillsMaster!$B$14,""),IF($M13="Fail",SkillsMaster!$B$15,"")))</f>
        <v/>
      </c>
      <c r="O13" s="17">
        <f>IF($C13="","",IF(SkillsMaster!$B$6="",0,IF($D13="",1,0))+IF(SkillsMaster!$B$7="",0,IF($E13="",1,0))+IF(SkillsMaster!$B$8="",0,IF($F13="",1,0))+IF(SkillsMaster!$B$9="",0,IF($G13="",1,0))+IF(SkillsMaster!$B$10="",0,IF($H13="",1,0))+IF(SkillsMaster!$B$11="",0,IF($I13="",1,0))+IF(SkillsMaster!$B$12="",0,IF($J13="",1,0))+IF(SkillsMaster!$B$13="",0,IF($K13="",1,0))+IF(SkillsMaster!$B$14="",0,IF($L13="",1,0))+IF(SkillsMaster!$B$15="",0,IF($M13="",1,0)))</f>
        <v/>
      </c>
      <c r="P13" s="17">
        <f>IF($C13="","",IF(AND($N13="",$O13=0),"Yes","No"))</f>
        <v/>
      </c>
    </row>
    <row r="14">
      <c r="B14" s="17">
        <f>IF(Cadets!$B14="","",Cadets!$B14)</f>
        <v/>
      </c>
      <c r="C14" s="17">
        <f>IF(Cadets!$B14="","",Cadets!$F14)</f>
        <v/>
      </c>
      <c r="D14" s="16" t="n"/>
      <c r="E14" s="16" t="n"/>
      <c r="F14" s="16" t="n"/>
      <c r="G14" s="16" t="n"/>
      <c r="H14" s="16" t="n"/>
      <c r="I14" s="16" t="n"/>
      <c r="J14" s="16" t="n"/>
      <c r="K14" s="16" t="n"/>
      <c r="L14" s="16" t="n"/>
      <c r="M14" s="16" t="n"/>
      <c r="N14" s="17">
        <f>IF($C14="","",_xlfn.TEXTJOIN(", ",TRUE,IF($D14="Fail",SkillsMaster!$B$6,""),IF($E14="Fail",SkillsMaster!$B$7,""),IF($F14="Fail",SkillsMaster!$B$8,""),IF($G14="Fail",SkillsMaster!$B$9,""),IF($H14="Fail",SkillsMaster!$B$10,""),IF($I14="Fail",SkillsMaster!$B$11,""),IF($J14="Fail",SkillsMaster!$B$12,""),IF($K14="Fail",SkillsMaster!$B$13,""),IF($L14="Fail",SkillsMaster!$B$14,""),IF($M14="Fail",SkillsMaster!$B$15,"")))</f>
        <v/>
      </c>
      <c r="O14" s="17">
        <f>IF($C14="","",IF(SkillsMaster!$B$6="",0,IF($D14="",1,0))+IF(SkillsMaster!$B$7="",0,IF($E14="",1,0))+IF(SkillsMaster!$B$8="",0,IF($F14="",1,0))+IF(SkillsMaster!$B$9="",0,IF($G14="",1,0))+IF(SkillsMaster!$B$10="",0,IF($H14="",1,0))+IF(SkillsMaster!$B$11="",0,IF($I14="",1,0))+IF(SkillsMaster!$B$12="",0,IF($J14="",1,0))+IF(SkillsMaster!$B$13="",0,IF($K14="",1,0))+IF(SkillsMaster!$B$14="",0,IF($L14="",1,0))+IF(SkillsMaster!$B$15="",0,IF($M14="",1,0)))</f>
        <v/>
      </c>
      <c r="P14" s="17">
        <f>IF($C14="","",IF(AND($N14="",$O14=0),"Yes","No"))</f>
        <v/>
      </c>
    </row>
    <row r="15">
      <c r="B15" s="17">
        <f>IF(Cadets!$B15="","",Cadets!$B15)</f>
        <v/>
      </c>
      <c r="C15" s="17">
        <f>IF(Cadets!$B15="","",Cadets!$F15)</f>
        <v/>
      </c>
      <c r="D15" s="16" t="n"/>
      <c r="E15" s="16" t="n"/>
      <c r="F15" s="16" t="n"/>
      <c r="G15" s="16" t="n"/>
      <c r="H15" s="16" t="n"/>
      <c r="I15" s="16" t="n"/>
      <c r="J15" s="16" t="n"/>
      <c r="K15" s="16" t="n"/>
      <c r="L15" s="16" t="n"/>
      <c r="M15" s="16" t="n"/>
      <c r="N15" s="17">
        <f>IF($C15="","",_xlfn.TEXTJOIN(", ",TRUE,IF($D15="Fail",SkillsMaster!$B$6,""),IF($E15="Fail",SkillsMaster!$B$7,""),IF($F15="Fail",SkillsMaster!$B$8,""),IF($G15="Fail",SkillsMaster!$B$9,""),IF($H15="Fail",SkillsMaster!$B$10,""),IF($I15="Fail",SkillsMaster!$B$11,""),IF($J15="Fail",SkillsMaster!$B$12,""),IF($K15="Fail",SkillsMaster!$B$13,""),IF($L15="Fail",SkillsMaster!$B$14,""),IF($M15="Fail",SkillsMaster!$B$15,"")))</f>
        <v/>
      </c>
      <c r="O15" s="17">
        <f>IF($C15="","",IF(SkillsMaster!$B$6="",0,IF($D15="",1,0))+IF(SkillsMaster!$B$7="",0,IF($E15="",1,0))+IF(SkillsMaster!$B$8="",0,IF($F15="",1,0))+IF(SkillsMaster!$B$9="",0,IF($G15="",1,0))+IF(SkillsMaster!$B$10="",0,IF($H15="",1,0))+IF(SkillsMaster!$B$11="",0,IF($I15="",1,0))+IF(SkillsMaster!$B$12="",0,IF($J15="",1,0))+IF(SkillsMaster!$B$13="",0,IF($K15="",1,0))+IF(SkillsMaster!$B$14="",0,IF($L15="",1,0))+IF(SkillsMaster!$B$15="",0,IF($M15="",1,0)))</f>
        <v/>
      </c>
      <c r="P15" s="17">
        <f>IF($C15="","",IF(AND($N15="",$O15=0),"Yes","No"))</f>
        <v/>
      </c>
    </row>
    <row r="16">
      <c r="B16" s="17">
        <f>IF(Cadets!$B16="","",Cadets!$B16)</f>
        <v/>
      </c>
      <c r="C16" s="17">
        <f>IF(Cadets!$B16="","",Cadets!$F16)</f>
        <v/>
      </c>
      <c r="D16" s="16" t="n"/>
      <c r="E16" s="16" t="n"/>
      <c r="F16" s="16" t="n"/>
      <c r="G16" s="16" t="n"/>
      <c r="H16" s="16" t="n"/>
      <c r="I16" s="16" t="n"/>
      <c r="J16" s="16" t="n"/>
      <c r="K16" s="16" t="n"/>
      <c r="L16" s="16" t="n"/>
      <c r="M16" s="16" t="n"/>
      <c r="N16" s="17">
        <f>IF($C16="","",_xlfn.TEXTJOIN(", ",TRUE,IF($D16="Fail",SkillsMaster!$B$6,""),IF($E16="Fail",SkillsMaster!$B$7,""),IF($F16="Fail",SkillsMaster!$B$8,""),IF($G16="Fail",SkillsMaster!$B$9,""),IF($H16="Fail",SkillsMaster!$B$10,""),IF($I16="Fail",SkillsMaster!$B$11,""),IF($J16="Fail",SkillsMaster!$B$12,""),IF($K16="Fail",SkillsMaster!$B$13,""),IF($L16="Fail",SkillsMaster!$B$14,""),IF($M16="Fail",SkillsMaster!$B$15,"")))</f>
        <v/>
      </c>
      <c r="O16" s="17">
        <f>IF($C16="","",IF(SkillsMaster!$B$6="",0,IF($D16="",1,0))+IF(SkillsMaster!$B$7="",0,IF($E16="",1,0))+IF(SkillsMaster!$B$8="",0,IF($F16="",1,0))+IF(SkillsMaster!$B$9="",0,IF($G16="",1,0))+IF(SkillsMaster!$B$10="",0,IF($H16="",1,0))+IF(SkillsMaster!$B$11="",0,IF($I16="",1,0))+IF(SkillsMaster!$B$12="",0,IF($J16="",1,0))+IF(SkillsMaster!$B$13="",0,IF($K16="",1,0))+IF(SkillsMaster!$B$14="",0,IF($L16="",1,0))+IF(SkillsMaster!$B$15="",0,IF($M16="",1,0)))</f>
        <v/>
      </c>
      <c r="P16" s="17">
        <f>IF($C16="","",IF(AND($N16="",$O16=0),"Yes","No"))</f>
        <v/>
      </c>
    </row>
    <row r="17">
      <c r="B17" s="17">
        <f>IF(Cadets!$B17="","",Cadets!$B17)</f>
        <v/>
      </c>
      <c r="C17" s="17">
        <f>IF(Cadets!$B17="","",Cadets!$F17)</f>
        <v/>
      </c>
      <c r="D17" s="16" t="n"/>
      <c r="E17" s="16" t="n"/>
      <c r="F17" s="16" t="n"/>
      <c r="G17" s="16" t="n"/>
      <c r="H17" s="16" t="n"/>
      <c r="I17" s="16" t="n"/>
      <c r="J17" s="16" t="n"/>
      <c r="K17" s="16" t="n"/>
      <c r="L17" s="16" t="n"/>
      <c r="M17" s="16" t="n"/>
      <c r="N17" s="17">
        <f>IF($C17="","",_xlfn.TEXTJOIN(", ",TRUE,IF($D17="Fail",SkillsMaster!$B$6,""),IF($E17="Fail",SkillsMaster!$B$7,""),IF($F17="Fail",SkillsMaster!$B$8,""),IF($G17="Fail",SkillsMaster!$B$9,""),IF($H17="Fail",SkillsMaster!$B$10,""),IF($I17="Fail",SkillsMaster!$B$11,""),IF($J17="Fail",SkillsMaster!$B$12,""),IF($K17="Fail",SkillsMaster!$B$13,""),IF($L17="Fail",SkillsMaster!$B$14,""),IF($M17="Fail",SkillsMaster!$B$15,"")))</f>
        <v/>
      </c>
      <c r="O17" s="17">
        <f>IF($C17="","",IF(SkillsMaster!$B$6="",0,IF($D17="",1,0))+IF(SkillsMaster!$B$7="",0,IF($E17="",1,0))+IF(SkillsMaster!$B$8="",0,IF($F17="",1,0))+IF(SkillsMaster!$B$9="",0,IF($G17="",1,0))+IF(SkillsMaster!$B$10="",0,IF($H17="",1,0))+IF(SkillsMaster!$B$11="",0,IF($I17="",1,0))+IF(SkillsMaster!$B$12="",0,IF($J17="",1,0))+IF(SkillsMaster!$B$13="",0,IF($K17="",1,0))+IF(SkillsMaster!$B$14="",0,IF($L17="",1,0))+IF(SkillsMaster!$B$15="",0,IF($M17="",1,0)))</f>
        <v/>
      </c>
      <c r="P17" s="17">
        <f>IF($C17="","",IF(AND($N17="",$O17=0),"Yes","No"))</f>
        <v/>
      </c>
    </row>
    <row r="18">
      <c r="B18" s="17">
        <f>IF(Cadets!$B18="","",Cadets!$B18)</f>
        <v/>
      </c>
      <c r="C18" s="17">
        <f>IF(Cadets!$B18="","",Cadets!$F18)</f>
        <v/>
      </c>
      <c r="D18" s="16" t="n"/>
      <c r="E18" s="16" t="n"/>
      <c r="F18" s="16" t="n"/>
      <c r="G18" s="16" t="n"/>
      <c r="H18" s="16" t="n"/>
      <c r="I18" s="16" t="n"/>
      <c r="J18" s="16" t="n"/>
      <c r="K18" s="16" t="n"/>
      <c r="L18" s="16" t="n"/>
      <c r="M18" s="16" t="n"/>
      <c r="N18" s="17">
        <f>IF($C18="","",_xlfn.TEXTJOIN(", ",TRUE,IF($D18="Fail",SkillsMaster!$B$6,""),IF($E18="Fail",SkillsMaster!$B$7,""),IF($F18="Fail",SkillsMaster!$B$8,""),IF($G18="Fail",SkillsMaster!$B$9,""),IF($H18="Fail",SkillsMaster!$B$10,""),IF($I18="Fail",SkillsMaster!$B$11,""),IF($J18="Fail",SkillsMaster!$B$12,""),IF($K18="Fail",SkillsMaster!$B$13,""),IF($L18="Fail",SkillsMaster!$B$14,""),IF($M18="Fail",SkillsMaster!$B$15,"")))</f>
        <v/>
      </c>
      <c r="O18" s="17">
        <f>IF($C18="","",IF(SkillsMaster!$B$6="",0,IF($D18="",1,0))+IF(SkillsMaster!$B$7="",0,IF($E18="",1,0))+IF(SkillsMaster!$B$8="",0,IF($F18="",1,0))+IF(SkillsMaster!$B$9="",0,IF($G18="",1,0))+IF(SkillsMaster!$B$10="",0,IF($H18="",1,0))+IF(SkillsMaster!$B$11="",0,IF($I18="",1,0))+IF(SkillsMaster!$B$12="",0,IF($J18="",1,0))+IF(SkillsMaster!$B$13="",0,IF($K18="",1,0))+IF(SkillsMaster!$B$14="",0,IF($L18="",1,0))+IF(SkillsMaster!$B$15="",0,IF($M18="",1,0)))</f>
        <v/>
      </c>
      <c r="P18" s="17">
        <f>IF($C18="","",IF(AND($N18="",$O18=0),"Yes","No"))</f>
        <v/>
      </c>
    </row>
    <row r="19">
      <c r="B19" s="17">
        <f>IF(Cadets!$B19="","",Cadets!$B19)</f>
        <v/>
      </c>
      <c r="C19" s="17">
        <f>IF(Cadets!$B19="","",Cadets!$F19)</f>
        <v/>
      </c>
      <c r="D19" s="16" t="n"/>
      <c r="E19" s="16" t="n"/>
      <c r="F19" s="16" t="n"/>
      <c r="G19" s="16" t="n"/>
      <c r="H19" s="16" t="n"/>
      <c r="I19" s="16" t="n"/>
      <c r="J19" s="16" t="n"/>
      <c r="K19" s="16" t="n"/>
      <c r="L19" s="16" t="n"/>
      <c r="M19" s="16" t="n"/>
      <c r="N19" s="17">
        <f>IF($C19="","",_xlfn.TEXTJOIN(", ",TRUE,IF($D19="Fail",SkillsMaster!$B$6,""),IF($E19="Fail",SkillsMaster!$B$7,""),IF($F19="Fail",SkillsMaster!$B$8,""),IF($G19="Fail",SkillsMaster!$B$9,""),IF($H19="Fail",SkillsMaster!$B$10,""),IF($I19="Fail",SkillsMaster!$B$11,""),IF($J19="Fail",SkillsMaster!$B$12,""),IF($K19="Fail",SkillsMaster!$B$13,""),IF($L19="Fail",SkillsMaster!$B$14,""),IF($M19="Fail",SkillsMaster!$B$15,"")))</f>
        <v/>
      </c>
      <c r="O19" s="17">
        <f>IF($C19="","",IF(SkillsMaster!$B$6="",0,IF($D19="",1,0))+IF(SkillsMaster!$B$7="",0,IF($E19="",1,0))+IF(SkillsMaster!$B$8="",0,IF($F19="",1,0))+IF(SkillsMaster!$B$9="",0,IF($G19="",1,0))+IF(SkillsMaster!$B$10="",0,IF($H19="",1,0))+IF(SkillsMaster!$B$11="",0,IF($I19="",1,0))+IF(SkillsMaster!$B$12="",0,IF($J19="",1,0))+IF(SkillsMaster!$B$13="",0,IF($K19="",1,0))+IF(SkillsMaster!$B$14="",0,IF($L19="",1,0))+IF(SkillsMaster!$B$15="",0,IF($M19="",1,0)))</f>
        <v/>
      </c>
      <c r="P19" s="17">
        <f>IF($C19="","",IF(AND($N19="",$O19=0),"Yes","No"))</f>
        <v/>
      </c>
    </row>
    <row r="20">
      <c r="B20" s="17">
        <f>IF(Cadets!$B20="","",Cadets!$B20)</f>
        <v/>
      </c>
      <c r="C20" s="17">
        <f>IF(Cadets!$B20="","",Cadets!$F20)</f>
        <v/>
      </c>
      <c r="D20" s="16" t="n"/>
      <c r="E20" s="16" t="n"/>
      <c r="F20" s="16" t="n"/>
      <c r="G20" s="16" t="n"/>
      <c r="H20" s="16" t="n"/>
      <c r="I20" s="16" t="n"/>
      <c r="J20" s="16" t="n"/>
      <c r="K20" s="16" t="n"/>
      <c r="L20" s="16" t="n"/>
      <c r="M20" s="16" t="n"/>
      <c r="N20" s="17">
        <f>IF($C20="","",_xlfn.TEXTJOIN(", ",TRUE,IF($D20="Fail",SkillsMaster!$B$6,""),IF($E20="Fail",SkillsMaster!$B$7,""),IF($F20="Fail",SkillsMaster!$B$8,""),IF($G20="Fail",SkillsMaster!$B$9,""),IF($H20="Fail",SkillsMaster!$B$10,""),IF($I20="Fail",SkillsMaster!$B$11,""),IF($J20="Fail",SkillsMaster!$B$12,""),IF($K20="Fail",SkillsMaster!$B$13,""),IF($L20="Fail",SkillsMaster!$B$14,""),IF($M20="Fail",SkillsMaster!$B$15,"")))</f>
        <v/>
      </c>
      <c r="O20" s="17">
        <f>IF($C20="","",IF(SkillsMaster!$B$6="",0,IF($D20="",1,0))+IF(SkillsMaster!$B$7="",0,IF($E20="",1,0))+IF(SkillsMaster!$B$8="",0,IF($F20="",1,0))+IF(SkillsMaster!$B$9="",0,IF($G20="",1,0))+IF(SkillsMaster!$B$10="",0,IF($H20="",1,0))+IF(SkillsMaster!$B$11="",0,IF($I20="",1,0))+IF(SkillsMaster!$B$12="",0,IF($J20="",1,0))+IF(SkillsMaster!$B$13="",0,IF($K20="",1,0))+IF(SkillsMaster!$B$14="",0,IF($L20="",1,0))+IF(SkillsMaster!$B$15="",0,IF($M20="",1,0)))</f>
        <v/>
      </c>
      <c r="P20" s="17">
        <f>IF($C20="","",IF(AND($N20="",$O20=0),"Yes","No"))</f>
        <v/>
      </c>
    </row>
    <row r="21">
      <c r="B21" s="17">
        <f>IF(Cadets!$B21="","",Cadets!$B21)</f>
        <v/>
      </c>
      <c r="C21" s="17">
        <f>IF(Cadets!$B21="","",Cadets!$F21)</f>
        <v/>
      </c>
      <c r="D21" s="16" t="n"/>
      <c r="E21" s="16" t="n"/>
      <c r="F21" s="16" t="n"/>
      <c r="G21" s="16" t="n"/>
      <c r="H21" s="16" t="n"/>
      <c r="I21" s="16" t="n"/>
      <c r="J21" s="16" t="n"/>
      <c r="K21" s="16" t="n"/>
      <c r="L21" s="16" t="n"/>
      <c r="M21" s="16" t="n"/>
      <c r="N21" s="17">
        <f>IF($C21="","",_xlfn.TEXTJOIN(", ",TRUE,IF($D21="Fail",SkillsMaster!$B$6,""),IF($E21="Fail",SkillsMaster!$B$7,""),IF($F21="Fail",SkillsMaster!$B$8,""),IF($G21="Fail",SkillsMaster!$B$9,""),IF($H21="Fail",SkillsMaster!$B$10,""),IF($I21="Fail",SkillsMaster!$B$11,""),IF($J21="Fail",SkillsMaster!$B$12,""),IF($K21="Fail",SkillsMaster!$B$13,""),IF($L21="Fail",SkillsMaster!$B$14,""),IF($M21="Fail",SkillsMaster!$B$15,"")))</f>
        <v/>
      </c>
      <c r="O21" s="17">
        <f>IF($C21="","",IF(SkillsMaster!$B$6="",0,IF($D21="",1,0))+IF(SkillsMaster!$B$7="",0,IF($E21="",1,0))+IF(SkillsMaster!$B$8="",0,IF($F21="",1,0))+IF(SkillsMaster!$B$9="",0,IF($G21="",1,0))+IF(SkillsMaster!$B$10="",0,IF($H21="",1,0))+IF(SkillsMaster!$B$11="",0,IF($I21="",1,0))+IF(SkillsMaster!$B$12="",0,IF($J21="",1,0))+IF(SkillsMaster!$B$13="",0,IF($K21="",1,0))+IF(SkillsMaster!$B$14="",0,IF($L21="",1,0))+IF(SkillsMaster!$B$15="",0,IF($M21="",1,0)))</f>
        <v/>
      </c>
      <c r="P21" s="17">
        <f>IF($C21="","",IF(AND($N21="",$O21=0),"Yes","No"))</f>
        <v/>
      </c>
    </row>
    <row r="22">
      <c r="B22" s="17">
        <f>IF(Cadets!$B22="","",Cadets!$B22)</f>
        <v/>
      </c>
      <c r="C22" s="17">
        <f>IF(Cadets!$B22="","",Cadets!$F22)</f>
        <v/>
      </c>
      <c r="D22" s="16" t="n"/>
      <c r="E22" s="16" t="n"/>
      <c r="F22" s="16" t="n"/>
      <c r="G22" s="16" t="n"/>
      <c r="H22" s="16" t="n"/>
      <c r="I22" s="16" t="n"/>
      <c r="J22" s="16" t="n"/>
      <c r="K22" s="16" t="n"/>
      <c r="L22" s="16" t="n"/>
      <c r="M22" s="16" t="n"/>
      <c r="N22" s="17">
        <f>IF($C22="","",_xlfn.TEXTJOIN(", ",TRUE,IF($D22="Fail",SkillsMaster!$B$6,""),IF($E22="Fail",SkillsMaster!$B$7,""),IF($F22="Fail",SkillsMaster!$B$8,""),IF($G22="Fail",SkillsMaster!$B$9,""),IF($H22="Fail",SkillsMaster!$B$10,""),IF($I22="Fail",SkillsMaster!$B$11,""),IF($J22="Fail",SkillsMaster!$B$12,""),IF($K22="Fail",SkillsMaster!$B$13,""),IF($L22="Fail",SkillsMaster!$B$14,""),IF($M22="Fail",SkillsMaster!$B$15,"")))</f>
        <v/>
      </c>
      <c r="O22" s="17">
        <f>IF($C22="","",IF(SkillsMaster!$B$6="",0,IF($D22="",1,0))+IF(SkillsMaster!$B$7="",0,IF($E22="",1,0))+IF(SkillsMaster!$B$8="",0,IF($F22="",1,0))+IF(SkillsMaster!$B$9="",0,IF($G22="",1,0))+IF(SkillsMaster!$B$10="",0,IF($H22="",1,0))+IF(SkillsMaster!$B$11="",0,IF($I22="",1,0))+IF(SkillsMaster!$B$12="",0,IF($J22="",1,0))+IF(SkillsMaster!$B$13="",0,IF($K22="",1,0))+IF(SkillsMaster!$B$14="",0,IF($L22="",1,0))+IF(SkillsMaster!$B$15="",0,IF($M22="",1,0)))</f>
        <v/>
      </c>
      <c r="P22" s="17">
        <f>IF($C22="","",IF(AND($N22="",$O22=0),"Yes","No"))</f>
        <v/>
      </c>
    </row>
    <row r="23">
      <c r="B23" s="17">
        <f>IF(Cadets!$B23="","",Cadets!$B23)</f>
        <v/>
      </c>
      <c r="C23" s="17">
        <f>IF(Cadets!$B23="","",Cadets!$F23)</f>
        <v/>
      </c>
      <c r="D23" s="16" t="n"/>
      <c r="E23" s="16" t="n"/>
      <c r="F23" s="16" t="n"/>
      <c r="G23" s="16" t="n"/>
      <c r="H23" s="16" t="n"/>
      <c r="I23" s="16" t="n"/>
      <c r="J23" s="16" t="n"/>
      <c r="K23" s="16" t="n"/>
      <c r="L23" s="16" t="n"/>
      <c r="M23" s="16" t="n"/>
      <c r="N23" s="17">
        <f>IF($C23="","",_xlfn.TEXTJOIN(", ",TRUE,IF($D23="Fail",SkillsMaster!$B$6,""),IF($E23="Fail",SkillsMaster!$B$7,""),IF($F23="Fail",SkillsMaster!$B$8,""),IF($G23="Fail",SkillsMaster!$B$9,""),IF($H23="Fail",SkillsMaster!$B$10,""),IF($I23="Fail",SkillsMaster!$B$11,""),IF($J23="Fail",SkillsMaster!$B$12,""),IF($K23="Fail",SkillsMaster!$B$13,""),IF($L23="Fail",SkillsMaster!$B$14,""),IF($M23="Fail",SkillsMaster!$B$15,"")))</f>
        <v/>
      </c>
      <c r="O23" s="17">
        <f>IF($C23="","",IF(SkillsMaster!$B$6="",0,IF($D23="",1,0))+IF(SkillsMaster!$B$7="",0,IF($E23="",1,0))+IF(SkillsMaster!$B$8="",0,IF($F23="",1,0))+IF(SkillsMaster!$B$9="",0,IF($G23="",1,0))+IF(SkillsMaster!$B$10="",0,IF($H23="",1,0))+IF(SkillsMaster!$B$11="",0,IF($I23="",1,0))+IF(SkillsMaster!$B$12="",0,IF($J23="",1,0))+IF(SkillsMaster!$B$13="",0,IF($K23="",1,0))+IF(SkillsMaster!$B$14="",0,IF($L23="",1,0))+IF(SkillsMaster!$B$15="",0,IF($M23="",1,0)))</f>
        <v/>
      </c>
      <c r="P23" s="17">
        <f>IF($C23="","",IF(AND($N23="",$O23=0),"Yes","No"))</f>
        <v/>
      </c>
    </row>
    <row r="24">
      <c r="B24" s="17">
        <f>IF(Cadets!$B24="","",Cadets!$B24)</f>
        <v/>
      </c>
      <c r="C24" s="17">
        <f>IF(Cadets!$B24="","",Cadets!$F24)</f>
        <v/>
      </c>
      <c r="D24" s="16" t="n"/>
      <c r="E24" s="16" t="n"/>
      <c r="F24" s="16" t="n"/>
      <c r="G24" s="16" t="n"/>
      <c r="H24" s="16" t="n"/>
      <c r="I24" s="16" t="n"/>
      <c r="J24" s="16" t="n"/>
      <c r="K24" s="16" t="n"/>
      <c r="L24" s="16" t="n"/>
      <c r="M24" s="16" t="n"/>
      <c r="N24" s="17">
        <f>IF($C24="","",_xlfn.TEXTJOIN(", ",TRUE,IF($D24="Fail",SkillsMaster!$B$6,""),IF($E24="Fail",SkillsMaster!$B$7,""),IF($F24="Fail",SkillsMaster!$B$8,""),IF($G24="Fail",SkillsMaster!$B$9,""),IF($H24="Fail",SkillsMaster!$B$10,""),IF($I24="Fail",SkillsMaster!$B$11,""),IF($J24="Fail",SkillsMaster!$B$12,""),IF($K24="Fail",SkillsMaster!$B$13,""),IF($L24="Fail",SkillsMaster!$B$14,""),IF($M24="Fail",SkillsMaster!$B$15,"")))</f>
        <v/>
      </c>
      <c r="O24" s="17">
        <f>IF($C24="","",IF(SkillsMaster!$B$6="",0,IF($D24="",1,0))+IF(SkillsMaster!$B$7="",0,IF($E24="",1,0))+IF(SkillsMaster!$B$8="",0,IF($F24="",1,0))+IF(SkillsMaster!$B$9="",0,IF($G24="",1,0))+IF(SkillsMaster!$B$10="",0,IF($H24="",1,0))+IF(SkillsMaster!$B$11="",0,IF($I24="",1,0))+IF(SkillsMaster!$B$12="",0,IF($J24="",1,0))+IF(SkillsMaster!$B$13="",0,IF($K24="",1,0))+IF(SkillsMaster!$B$14="",0,IF($L24="",1,0))+IF(SkillsMaster!$B$15="",0,IF($M24="",1,0)))</f>
        <v/>
      </c>
      <c r="P24" s="17">
        <f>IF($C24="","",IF(AND($N24="",$O24=0),"Yes","No"))</f>
        <v/>
      </c>
    </row>
    <row r="25">
      <c r="B25" s="17">
        <f>IF(Cadets!$B25="","",Cadets!$B25)</f>
        <v/>
      </c>
      <c r="C25" s="17">
        <f>IF(Cadets!$B25="","",Cadets!$F25)</f>
        <v/>
      </c>
      <c r="D25" s="16" t="n"/>
      <c r="E25" s="16" t="n"/>
      <c r="F25" s="16" t="n"/>
      <c r="G25" s="16" t="n"/>
      <c r="H25" s="16" t="n"/>
      <c r="I25" s="16" t="n"/>
      <c r="J25" s="16" t="n"/>
      <c r="K25" s="16" t="n"/>
      <c r="L25" s="16" t="n"/>
      <c r="M25" s="16" t="n"/>
      <c r="N25" s="17">
        <f>IF($C25="","",_xlfn.TEXTJOIN(", ",TRUE,IF($D25="Fail",SkillsMaster!$B$6,""),IF($E25="Fail",SkillsMaster!$B$7,""),IF($F25="Fail",SkillsMaster!$B$8,""),IF($G25="Fail",SkillsMaster!$B$9,""),IF($H25="Fail",SkillsMaster!$B$10,""),IF($I25="Fail",SkillsMaster!$B$11,""),IF($J25="Fail",SkillsMaster!$B$12,""),IF($K25="Fail",SkillsMaster!$B$13,""),IF($L25="Fail",SkillsMaster!$B$14,""),IF($M25="Fail",SkillsMaster!$B$15,"")))</f>
        <v/>
      </c>
      <c r="O25" s="17">
        <f>IF($C25="","",IF(SkillsMaster!$B$6="",0,IF($D25="",1,0))+IF(SkillsMaster!$B$7="",0,IF($E25="",1,0))+IF(SkillsMaster!$B$8="",0,IF($F25="",1,0))+IF(SkillsMaster!$B$9="",0,IF($G25="",1,0))+IF(SkillsMaster!$B$10="",0,IF($H25="",1,0))+IF(SkillsMaster!$B$11="",0,IF($I25="",1,0))+IF(SkillsMaster!$B$12="",0,IF($J25="",1,0))+IF(SkillsMaster!$B$13="",0,IF($K25="",1,0))+IF(SkillsMaster!$B$14="",0,IF($L25="",1,0))+IF(SkillsMaster!$B$15="",0,IF($M25="",1,0)))</f>
        <v/>
      </c>
      <c r="P25" s="17">
        <f>IF($C25="","",IF(AND($N25="",$O25=0),"Yes","No"))</f>
        <v/>
      </c>
    </row>
    <row r="26">
      <c r="B26" s="17">
        <f>IF(Cadets!$B26="","",Cadets!$B26)</f>
        <v/>
      </c>
      <c r="C26" s="17">
        <f>IF(Cadets!$B26="","",Cadets!$F26)</f>
        <v/>
      </c>
      <c r="D26" s="16" t="n"/>
      <c r="E26" s="16" t="n"/>
      <c r="F26" s="16" t="n"/>
      <c r="G26" s="16" t="n"/>
      <c r="H26" s="16" t="n"/>
      <c r="I26" s="16" t="n"/>
      <c r="J26" s="16" t="n"/>
      <c r="K26" s="16" t="n"/>
      <c r="L26" s="16" t="n"/>
      <c r="M26" s="16" t="n"/>
      <c r="N26" s="17">
        <f>IF($C26="","",_xlfn.TEXTJOIN(", ",TRUE,IF($D26="Fail",SkillsMaster!$B$6,""),IF($E26="Fail",SkillsMaster!$B$7,""),IF($F26="Fail",SkillsMaster!$B$8,""),IF($G26="Fail",SkillsMaster!$B$9,""),IF($H26="Fail",SkillsMaster!$B$10,""),IF($I26="Fail",SkillsMaster!$B$11,""),IF($J26="Fail",SkillsMaster!$B$12,""),IF($K26="Fail",SkillsMaster!$B$13,""),IF($L26="Fail",SkillsMaster!$B$14,""),IF($M26="Fail",SkillsMaster!$B$15,"")))</f>
        <v/>
      </c>
      <c r="O26" s="17">
        <f>IF($C26="","",IF(SkillsMaster!$B$6="",0,IF($D26="",1,0))+IF(SkillsMaster!$B$7="",0,IF($E26="",1,0))+IF(SkillsMaster!$B$8="",0,IF($F26="",1,0))+IF(SkillsMaster!$B$9="",0,IF($G26="",1,0))+IF(SkillsMaster!$B$10="",0,IF($H26="",1,0))+IF(SkillsMaster!$B$11="",0,IF($I26="",1,0))+IF(SkillsMaster!$B$12="",0,IF($J26="",1,0))+IF(SkillsMaster!$B$13="",0,IF($K26="",1,0))+IF(SkillsMaster!$B$14="",0,IF($L26="",1,0))+IF(SkillsMaster!$B$15="",0,IF($M26="",1,0)))</f>
        <v/>
      </c>
      <c r="P26" s="17">
        <f>IF($C26="","",IF(AND($N26="",$O26=0),"Yes","No"))</f>
        <v/>
      </c>
    </row>
    <row r="27">
      <c r="B27" s="17">
        <f>IF(Cadets!$B27="","",Cadets!$B27)</f>
        <v/>
      </c>
      <c r="C27" s="17">
        <f>IF(Cadets!$B27="","",Cadets!$F27)</f>
        <v/>
      </c>
      <c r="D27" s="16" t="n"/>
      <c r="E27" s="16" t="n"/>
      <c r="F27" s="16" t="n"/>
      <c r="G27" s="16" t="n"/>
      <c r="H27" s="16" t="n"/>
      <c r="I27" s="16" t="n"/>
      <c r="J27" s="16" t="n"/>
      <c r="K27" s="16" t="n"/>
      <c r="L27" s="16" t="n"/>
      <c r="M27" s="16" t="n"/>
      <c r="N27" s="17">
        <f>IF($C27="","",_xlfn.TEXTJOIN(", ",TRUE,IF($D27="Fail",SkillsMaster!$B$6,""),IF($E27="Fail",SkillsMaster!$B$7,""),IF($F27="Fail",SkillsMaster!$B$8,""),IF($G27="Fail",SkillsMaster!$B$9,""),IF($H27="Fail",SkillsMaster!$B$10,""),IF($I27="Fail",SkillsMaster!$B$11,""),IF($J27="Fail",SkillsMaster!$B$12,""),IF($K27="Fail",SkillsMaster!$B$13,""),IF($L27="Fail",SkillsMaster!$B$14,""),IF($M27="Fail",SkillsMaster!$B$15,"")))</f>
        <v/>
      </c>
      <c r="O27" s="17">
        <f>IF($C27="","",IF(SkillsMaster!$B$6="",0,IF($D27="",1,0))+IF(SkillsMaster!$B$7="",0,IF($E27="",1,0))+IF(SkillsMaster!$B$8="",0,IF($F27="",1,0))+IF(SkillsMaster!$B$9="",0,IF($G27="",1,0))+IF(SkillsMaster!$B$10="",0,IF($H27="",1,0))+IF(SkillsMaster!$B$11="",0,IF($I27="",1,0))+IF(SkillsMaster!$B$12="",0,IF($J27="",1,0))+IF(SkillsMaster!$B$13="",0,IF($K27="",1,0))+IF(SkillsMaster!$B$14="",0,IF($L27="",1,0))+IF(SkillsMaster!$B$15="",0,IF($M27="",1,0)))</f>
        <v/>
      </c>
      <c r="P27" s="17">
        <f>IF($C27="","",IF(AND($N27="",$O27=0),"Yes","No"))</f>
        <v/>
      </c>
    </row>
    <row r="28">
      <c r="B28" s="17">
        <f>IF(Cadets!$B28="","",Cadets!$B28)</f>
        <v/>
      </c>
      <c r="C28" s="17">
        <f>IF(Cadets!$B28="","",Cadets!$F28)</f>
        <v/>
      </c>
      <c r="D28" s="16" t="n"/>
      <c r="E28" s="16" t="n"/>
      <c r="F28" s="16" t="n"/>
      <c r="G28" s="16" t="n"/>
      <c r="H28" s="16" t="n"/>
      <c r="I28" s="16" t="n"/>
      <c r="J28" s="16" t="n"/>
      <c r="K28" s="16" t="n"/>
      <c r="L28" s="16" t="n"/>
      <c r="M28" s="16" t="n"/>
      <c r="N28" s="17">
        <f>IF($C28="","",_xlfn.TEXTJOIN(", ",TRUE,IF($D28="Fail",SkillsMaster!$B$6,""),IF($E28="Fail",SkillsMaster!$B$7,""),IF($F28="Fail",SkillsMaster!$B$8,""),IF($G28="Fail",SkillsMaster!$B$9,""),IF($H28="Fail",SkillsMaster!$B$10,""),IF($I28="Fail",SkillsMaster!$B$11,""),IF($J28="Fail",SkillsMaster!$B$12,""),IF($K28="Fail",SkillsMaster!$B$13,""),IF($L28="Fail",SkillsMaster!$B$14,""),IF($M28="Fail",SkillsMaster!$B$15,"")))</f>
        <v/>
      </c>
      <c r="O28" s="17">
        <f>IF($C28="","",IF(SkillsMaster!$B$6="",0,IF($D28="",1,0))+IF(SkillsMaster!$B$7="",0,IF($E28="",1,0))+IF(SkillsMaster!$B$8="",0,IF($F28="",1,0))+IF(SkillsMaster!$B$9="",0,IF($G28="",1,0))+IF(SkillsMaster!$B$10="",0,IF($H28="",1,0))+IF(SkillsMaster!$B$11="",0,IF($I28="",1,0))+IF(SkillsMaster!$B$12="",0,IF($J28="",1,0))+IF(SkillsMaster!$B$13="",0,IF($K28="",1,0))+IF(SkillsMaster!$B$14="",0,IF($L28="",1,0))+IF(SkillsMaster!$B$15="",0,IF($M28="",1,0)))</f>
        <v/>
      </c>
      <c r="P28" s="17">
        <f>IF($C28="","",IF(AND($N28="",$O28=0),"Yes","No"))</f>
        <v/>
      </c>
    </row>
    <row r="29">
      <c r="B29" s="17">
        <f>IF(Cadets!$B29="","",Cadets!$B29)</f>
        <v/>
      </c>
      <c r="C29" s="17">
        <f>IF(Cadets!$B29="","",Cadets!$F29)</f>
        <v/>
      </c>
      <c r="D29" s="16" t="n"/>
      <c r="E29" s="16" t="n"/>
      <c r="F29" s="16" t="n"/>
      <c r="G29" s="16" t="n"/>
      <c r="H29" s="16" t="n"/>
      <c r="I29" s="16" t="n"/>
      <c r="J29" s="16" t="n"/>
      <c r="K29" s="16" t="n"/>
      <c r="L29" s="16" t="n"/>
      <c r="M29" s="16" t="n"/>
      <c r="N29" s="17">
        <f>IF($C29="","",_xlfn.TEXTJOIN(", ",TRUE,IF($D29="Fail",SkillsMaster!$B$6,""),IF($E29="Fail",SkillsMaster!$B$7,""),IF($F29="Fail",SkillsMaster!$B$8,""),IF($G29="Fail",SkillsMaster!$B$9,""),IF($H29="Fail",SkillsMaster!$B$10,""),IF($I29="Fail",SkillsMaster!$B$11,""),IF($J29="Fail",SkillsMaster!$B$12,""),IF($K29="Fail",SkillsMaster!$B$13,""),IF($L29="Fail",SkillsMaster!$B$14,""),IF($M29="Fail",SkillsMaster!$B$15,"")))</f>
        <v/>
      </c>
      <c r="O29" s="17">
        <f>IF($C29="","",IF(SkillsMaster!$B$6="",0,IF($D29="",1,0))+IF(SkillsMaster!$B$7="",0,IF($E29="",1,0))+IF(SkillsMaster!$B$8="",0,IF($F29="",1,0))+IF(SkillsMaster!$B$9="",0,IF($G29="",1,0))+IF(SkillsMaster!$B$10="",0,IF($H29="",1,0))+IF(SkillsMaster!$B$11="",0,IF($I29="",1,0))+IF(SkillsMaster!$B$12="",0,IF($J29="",1,0))+IF(SkillsMaster!$B$13="",0,IF($K29="",1,0))+IF(SkillsMaster!$B$14="",0,IF($L29="",1,0))+IF(SkillsMaster!$B$15="",0,IF($M29="",1,0)))</f>
        <v/>
      </c>
      <c r="P29" s="17">
        <f>IF($C29="","",IF(AND($N29="",$O29=0),"Yes","No"))</f>
        <v/>
      </c>
    </row>
    <row r="30">
      <c r="B30" s="17">
        <f>IF(Cadets!$B30="","",Cadets!$B30)</f>
        <v/>
      </c>
      <c r="C30" s="17">
        <f>IF(Cadets!$B30="","",Cadets!$F30)</f>
        <v/>
      </c>
      <c r="D30" s="16" t="n"/>
      <c r="E30" s="16" t="n"/>
      <c r="F30" s="16" t="n"/>
      <c r="G30" s="16" t="n"/>
      <c r="H30" s="16" t="n"/>
      <c r="I30" s="16" t="n"/>
      <c r="J30" s="16" t="n"/>
      <c r="K30" s="16" t="n"/>
      <c r="L30" s="16" t="n"/>
      <c r="M30" s="16" t="n"/>
      <c r="N30" s="17">
        <f>IF($C30="","",_xlfn.TEXTJOIN(", ",TRUE,IF($D30="Fail",SkillsMaster!$B$6,""),IF($E30="Fail",SkillsMaster!$B$7,""),IF($F30="Fail",SkillsMaster!$B$8,""),IF($G30="Fail",SkillsMaster!$B$9,""),IF($H30="Fail",SkillsMaster!$B$10,""),IF($I30="Fail",SkillsMaster!$B$11,""),IF($J30="Fail",SkillsMaster!$B$12,""),IF($K30="Fail",SkillsMaster!$B$13,""),IF($L30="Fail",SkillsMaster!$B$14,""),IF($M30="Fail",SkillsMaster!$B$15,"")))</f>
        <v/>
      </c>
      <c r="O30" s="17">
        <f>IF($C30="","",IF(SkillsMaster!$B$6="",0,IF($D30="",1,0))+IF(SkillsMaster!$B$7="",0,IF($E30="",1,0))+IF(SkillsMaster!$B$8="",0,IF($F30="",1,0))+IF(SkillsMaster!$B$9="",0,IF($G30="",1,0))+IF(SkillsMaster!$B$10="",0,IF($H30="",1,0))+IF(SkillsMaster!$B$11="",0,IF($I30="",1,0))+IF(SkillsMaster!$B$12="",0,IF($J30="",1,0))+IF(SkillsMaster!$B$13="",0,IF($K30="",1,0))+IF(SkillsMaster!$B$14="",0,IF($L30="",1,0))+IF(SkillsMaster!$B$15="",0,IF($M30="",1,0)))</f>
        <v/>
      </c>
      <c r="P30" s="17">
        <f>IF($C30="","",IF(AND($N30="",$O30=0),"Yes","No"))</f>
        <v/>
      </c>
    </row>
    <row r="31">
      <c r="B31" s="17">
        <f>IF(Cadets!$B31="","",Cadets!$B31)</f>
        <v/>
      </c>
      <c r="C31" s="17">
        <f>IF(Cadets!$B31="","",Cadets!$F31)</f>
        <v/>
      </c>
      <c r="D31" s="16" t="n"/>
      <c r="E31" s="16" t="n"/>
      <c r="F31" s="16" t="n"/>
      <c r="G31" s="16" t="n"/>
      <c r="H31" s="16" t="n"/>
      <c r="I31" s="16" t="n"/>
      <c r="J31" s="16" t="n"/>
      <c r="K31" s="16" t="n"/>
      <c r="L31" s="16" t="n"/>
      <c r="M31" s="16" t="n"/>
      <c r="N31" s="17">
        <f>IF($C31="","",_xlfn.TEXTJOIN(", ",TRUE,IF($D31="Fail",SkillsMaster!$B$6,""),IF($E31="Fail",SkillsMaster!$B$7,""),IF($F31="Fail",SkillsMaster!$B$8,""),IF($G31="Fail",SkillsMaster!$B$9,""),IF($H31="Fail",SkillsMaster!$B$10,""),IF($I31="Fail",SkillsMaster!$B$11,""),IF($J31="Fail",SkillsMaster!$B$12,""),IF($K31="Fail",SkillsMaster!$B$13,""),IF($L31="Fail",SkillsMaster!$B$14,""),IF($M31="Fail",SkillsMaster!$B$15,"")))</f>
        <v/>
      </c>
      <c r="O31" s="17">
        <f>IF($C31="","",IF(SkillsMaster!$B$6="",0,IF($D31="",1,0))+IF(SkillsMaster!$B$7="",0,IF($E31="",1,0))+IF(SkillsMaster!$B$8="",0,IF($F31="",1,0))+IF(SkillsMaster!$B$9="",0,IF($G31="",1,0))+IF(SkillsMaster!$B$10="",0,IF($H31="",1,0))+IF(SkillsMaster!$B$11="",0,IF($I31="",1,0))+IF(SkillsMaster!$B$12="",0,IF($J31="",1,0))+IF(SkillsMaster!$B$13="",0,IF($K31="",1,0))+IF(SkillsMaster!$B$14="",0,IF($L31="",1,0))+IF(SkillsMaster!$B$15="",0,IF($M31="",1,0)))</f>
        <v/>
      </c>
      <c r="P31" s="17">
        <f>IF($C31="","",IF(AND($N31="",$O31=0),"Yes","No"))</f>
        <v/>
      </c>
    </row>
    <row r="32">
      <c r="B32" s="17">
        <f>IF(Cadets!$B32="","",Cadets!$B32)</f>
        <v/>
      </c>
      <c r="C32" s="17">
        <f>IF(Cadets!$B32="","",Cadets!$F32)</f>
        <v/>
      </c>
      <c r="D32" s="16" t="n"/>
      <c r="E32" s="16" t="n"/>
      <c r="F32" s="16" t="n"/>
      <c r="G32" s="16" t="n"/>
      <c r="H32" s="16" t="n"/>
      <c r="I32" s="16" t="n"/>
      <c r="J32" s="16" t="n"/>
      <c r="K32" s="16" t="n"/>
      <c r="L32" s="16" t="n"/>
      <c r="M32" s="16" t="n"/>
      <c r="N32" s="17">
        <f>IF($C32="","",_xlfn.TEXTJOIN(", ",TRUE,IF($D32="Fail",SkillsMaster!$B$6,""),IF($E32="Fail",SkillsMaster!$B$7,""),IF($F32="Fail",SkillsMaster!$B$8,""),IF($G32="Fail",SkillsMaster!$B$9,""),IF($H32="Fail",SkillsMaster!$B$10,""),IF($I32="Fail",SkillsMaster!$B$11,""),IF($J32="Fail",SkillsMaster!$B$12,""),IF($K32="Fail",SkillsMaster!$B$13,""),IF($L32="Fail",SkillsMaster!$B$14,""),IF($M32="Fail",SkillsMaster!$B$15,"")))</f>
        <v/>
      </c>
      <c r="O32" s="17">
        <f>IF($C32="","",IF(SkillsMaster!$B$6="",0,IF($D32="",1,0))+IF(SkillsMaster!$B$7="",0,IF($E32="",1,0))+IF(SkillsMaster!$B$8="",0,IF($F32="",1,0))+IF(SkillsMaster!$B$9="",0,IF($G32="",1,0))+IF(SkillsMaster!$B$10="",0,IF($H32="",1,0))+IF(SkillsMaster!$B$11="",0,IF($I32="",1,0))+IF(SkillsMaster!$B$12="",0,IF($J32="",1,0))+IF(SkillsMaster!$B$13="",0,IF($K32="",1,0))+IF(SkillsMaster!$B$14="",0,IF($L32="",1,0))+IF(SkillsMaster!$B$15="",0,IF($M32="",1,0)))</f>
        <v/>
      </c>
      <c r="P32" s="17">
        <f>IF($C32="","",IF(AND($N32="",$O32=0),"Yes","No"))</f>
        <v/>
      </c>
    </row>
    <row r="33">
      <c r="B33" s="17">
        <f>IF(Cadets!$B33="","",Cadets!$B33)</f>
        <v/>
      </c>
      <c r="C33" s="17">
        <f>IF(Cadets!$B33="","",Cadets!$F33)</f>
        <v/>
      </c>
      <c r="D33" s="16" t="n"/>
      <c r="E33" s="16" t="n"/>
      <c r="F33" s="16" t="n"/>
      <c r="G33" s="16" t="n"/>
      <c r="H33" s="16" t="n"/>
      <c r="I33" s="16" t="n"/>
      <c r="J33" s="16" t="n"/>
      <c r="K33" s="16" t="n"/>
      <c r="L33" s="16" t="n"/>
      <c r="M33" s="16" t="n"/>
      <c r="N33" s="17">
        <f>IF($C33="","",_xlfn.TEXTJOIN(", ",TRUE,IF($D33="Fail",SkillsMaster!$B$6,""),IF($E33="Fail",SkillsMaster!$B$7,""),IF($F33="Fail",SkillsMaster!$B$8,""),IF($G33="Fail",SkillsMaster!$B$9,""),IF($H33="Fail",SkillsMaster!$B$10,""),IF($I33="Fail",SkillsMaster!$B$11,""),IF($J33="Fail",SkillsMaster!$B$12,""),IF($K33="Fail",SkillsMaster!$B$13,""),IF($L33="Fail",SkillsMaster!$B$14,""),IF($M33="Fail",SkillsMaster!$B$15,"")))</f>
        <v/>
      </c>
      <c r="O33" s="17">
        <f>IF($C33="","",IF(SkillsMaster!$B$6="",0,IF($D33="",1,0))+IF(SkillsMaster!$B$7="",0,IF($E33="",1,0))+IF(SkillsMaster!$B$8="",0,IF($F33="",1,0))+IF(SkillsMaster!$B$9="",0,IF($G33="",1,0))+IF(SkillsMaster!$B$10="",0,IF($H33="",1,0))+IF(SkillsMaster!$B$11="",0,IF($I33="",1,0))+IF(SkillsMaster!$B$12="",0,IF($J33="",1,0))+IF(SkillsMaster!$B$13="",0,IF($K33="",1,0))+IF(SkillsMaster!$B$14="",0,IF($L33="",1,0))+IF(SkillsMaster!$B$15="",0,IF($M33="",1,0)))</f>
        <v/>
      </c>
      <c r="P33" s="17">
        <f>IF($C33="","",IF(AND($N33="",$O33=0),"Yes","No"))</f>
        <v/>
      </c>
    </row>
    <row r="34">
      <c r="B34" s="17">
        <f>IF(Cadets!$B34="","",Cadets!$B34)</f>
        <v/>
      </c>
      <c r="C34" s="17">
        <f>IF(Cadets!$B34="","",Cadets!$F34)</f>
        <v/>
      </c>
      <c r="D34" s="16" t="n"/>
      <c r="E34" s="16" t="n"/>
      <c r="F34" s="16" t="n"/>
      <c r="G34" s="16" t="n"/>
      <c r="H34" s="16" t="n"/>
      <c r="I34" s="16" t="n"/>
      <c r="J34" s="16" t="n"/>
      <c r="K34" s="16" t="n"/>
      <c r="L34" s="16" t="n"/>
      <c r="M34" s="16" t="n"/>
      <c r="N34" s="17">
        <f>IF($C34="","",_xlfn.TEXTJOIN(", ",TRUE,IF($D34="Fail",SkillsMaster!$B$6,""),IF($E34="Fail",SkillsMaster!$B$7,""),IF($F34="Fail",SkillsMaster!$B$8,""),IF($G34="Fail",SkillsMaster!$B$9,""),IF($H34="Fail",SkillsMaster!$B$10,""),IF($I34="Fail",SkillsMaster!$B$11,""),IF($J34="Fail",SkillsMaster!$B$12,""),IF($K34="Fail",SkillsMaster!$B$13,""),IF($L34="Fail",SkillsMaster!$B$14,""),IF($M34="Fail",SkillsMaster!$B$15,"")))</f>
        <v/>
      </c>
      <c r="O34" s="17">
        <f>IF($C34="","",IF(SkillsMaster!$B$6="",0,IF($D34="",1,0))+IF(SkillsMaster!$B$7="",0,IF($E34="",1,0))+IF(SkillsMaster!$B$8="",0,IF($F34="",1,0))+IF(SkillsMaster!$B$9="",0,IF($G34="",1,0))+IF(SkillsMaster!$B$10="",0,IF($H34="",1,0))+IF(SkillsMaster!$B$11="",0,IF($I34="",1,0))+IF(SkillsMaster!$B$12="",0,IF($J34="",1,0))+IF(SkillsMaster!$B$13="",0,IF($K34="",1,0))+IF(SkillsMaster!$B$14="",0,IF($L34="",1,0))+IF(SkillsMaster!$B$15="",0,IF($M34="",1,0)))</f>
        <v/>
      </c>
      <c r="P34" s="17">
        <f>IF($C34="","",IF(AND($N34="",$O34=0),"Yes","No"))</f>
        <v/>
      </c>
    </row>
    <row r="35">
      <c r="B35" s="17">
        <f>IF(Cadets!$B35="","",Cadets!$B35)</f>
        <v/>
      </c>
      <c r="C35" s="17">
        <f>IF(Cadets!$B35="","",Cadets!$F35)</f>
        <v/>
      </c>
      <c r="D35" s="16" t="n"/>
      <c r="E35" s="16" t="n"/>
      <c r="F35" s="16" t="n"/>
      <c r="G35" s="16" t="n"/>
      <c r="H35" s="16" t="n"/>
      <c r="I35" s="16" t="n"/>
      <c r="J35" s="16" t="n"/>
      <c r="K35" s="16" t="n"/>
      <c r="L35" s="16" t="n"/>
      <c r="M35" s="16" t="n"/>
      <c r="N35" s="17">
        <f>IF($C35="","",_xlfn.TEXTJOIN(", ",TRUE,IF($D35="Fail",SkillsMaster!$B$6,""),IF($E35="Fail",SkillsMaster!$B$7,""),IF($F35="Fail",SkillsMaster!$B$8,""),IF($G35="Fail",SkillsMaster!$B$9,""),IF($H35="Fail",SkillsMaster!$B$10,""),IF($I35="Fail",SkillsMaster!$B$11,""),IF($J35="Fail",SkillsMaster!$B$12,""),IF($K35="Fail",SkillsMaster!$B$13,""),IF($L35="Fail",SkillsMaster!$B$14,""),IF($M35="Fail",SkillsMaster!$B$15,"")))</f>
        <v/>
      </c>
      <c r="O35" s="17">
        <f>IF($C35="","",IF(SkillsMaster!$B$6="",0,IF($D35="",1,0))+IF(SkillsMaster!$B$7="",0,IF($E35="",1,0))+IF(SkillsMaster!$B$8="",0,IF($F35="",1,0))+IF(SkillsMaster!$B$9="",0,IF($G35="",1,0))+IF(SkillsMaster!$B$10="",0,IF($H35="",1,0))+IF(SkillsMaster!$B$11="",0,IF($I35="",1,0))+IF(SkillsMaster!$B$12="",0,IF($J35="",1,0))+IF(SkillsMaster!$B$13="",0,IF($K35="",1,0))+IF(SkillsMaster!$B$14="",0,IF($L35="",1,0))+IF(SkillsMaster!$B$15="",0,IF($M35="",1,0)))</f>
        <v/>
      </c>
      <c r="P35" s="17">
        <f>IF($C35="","",IF(AND($N35="",$O35=0),"Yes","No"))</f>
        <v/>
      </c>
    </row>
    <row r="36">
      <c r="B36" s="17">
        <f>IF(Cadets!$B36="","",Cadets!$B36)</f>
        <v/>
      </c>
      <c r="C36" s="17">
        <f>IF(Cadets!$B36="","",Cadets!$F36)</f>
        <v/>
      </c>
      <c r="D36" s="16" t="n"/>
      <c r="E36" s="16" t="n"/>
      <c r="F36" s="16" t="n"/>
      <c r="G36" s="16" t="n"/>
      <c r="H36" s="16" t="n"/>
      <c r="I36" s="16" t="n"/>
      <c r="J36" s="16" t="n"/>
      <c r="K36" s="16" t="n"/>
      <c r="L36" s="16" t="n"/>
      <c r="M36" s="16" t="n"/>
      <c r="N36" s="17">
        <f>IF($C36="","",_xlfn.TEXTJOIN(", ",TRUE,IF($D36="Fail",SkillsMaster!$B$6,""),IF($E36="Fail",SkillsMaster!$B$7,""),IF($F36="Fail",SkillsMaster!$B$8,""),IF($G36="Fail",SkillsMaster!$B$9,""),IF($H36="Fail",SkillsMaster!$B$10,""),IF($I36="Fail",SkillsMaster!$B$11,""),IF($J36="Fail",SkillsMaster!$B$12,""),IF($K36="Fail",SkillsMaster!$B$13,""),IF($L36="Fail",SkillsMaster!$B$14,""),IF($M36="Fail",SkillsMaster!$B$15,"")))</f>
        <v/>
      </c>
      <c r="O36" s="17">
        <f>IF($C36="","",IF(SkillsMaster!$B$6="",0,IF($D36="",1,0))+IF(SkillsMaster!$B$7="",0,IF($E36="",1,0))+IF(SkillsMaster!$B$8="",0,IF($F36="",1,0))+IF(SkillsMaster!$B$9="",0,IF($G36="",1,0))+IF(SkillsMaster!$B$10="",0,IF($H36="",1,0))+IF(SkillsMaster!$B$11="",0,IF($I36="",1,0))+IF(SkillsMaster!$B$12="",0,IF($J36="",1,0))+IF(SkillsMaster!$B$13="",0,IF($K36="",1,0))+IF(SkillsMaster!$B$14="",0,IF($L36="",1,0))+IF(SkillsMaster!$B$15="",0,IF($M36="",1,0)))</f>
        <v/>
      </c>
      <c r="P36" s="17">
        <f>IF($C36="","",IF(AND($N36="",$O36=0),"Yes","No"))</f>
        <v/>
      </c>
    </row>
    <row r="37">
      <c r="B37" s="17">
        <f>IF(Cadets!$B37="","",Cadets!$B37)</f>
        <v/>
      </c>
      <c r="C37" s="17">
        <f>IF(Cadets!$B37="","",Cadets!$F37)</f>
        <v/>
      </c>
      <c r="D37" s="16" t="n"/>
      <c r="E37" s="16" t="n"/>
      <c r="F37" s="16" t="n"/>
      <c r="G37" s="16" t="n"/>
      <c r="H37" s="16" t="n"/>
      <c r="I37" s="16" t="n"/>
      <c r="J37" s="16" t="n"/>
      <c r="K37" s="16" t="n"/>
      <c r="L37" s="16" t="n"/>
      <c r="M37" s="16" t="n"/>
      <c r="N37" s="17">
        <f>IF($C37="","",_xlfn.TEXTJOIN(", ",TRUE,IF($D37="Fail",SkillsMaster!$B$6,""),IF($E37="Fail",SkillsMaster!$B$7,""),IF($F37="Fail",SkillsMaster!$B$8,""),IF($G37="Fail",SkillsMaster!$B$9,""),IF($H37="Fail",SkillsMaster!$B$10,""),IF($I37="Fail",SkillsMaster!$B$11,""),IF($J37="Fail",SkillsMaster!$B$12,""),IF($K37="Fail",SkillsMaster!$B$13,""),IF($L37="Fail",SkillsMaster!$B$14,""),IF($M37="Fail",SkillsMaster!$B$15,"")))</f>
        <v/>
      </c>
      <c r="O37" s="17">
        <f>IF($C37="","",IF(SkillsMaster!$B$6="",0,IF($D37="",1,0))+IF(SkillsMaster!$B$7="",0,IF($E37="",1,0))+IF(SkillsMaster!$B$8="",0,IF($F37="",1,0))+IF(SkillsMaster!$B$9="",0,IF($G37="",1,0))+IF(SkillsMaster!$B$10="",0,IF($H37="",1,0))+IF(SkillsMaster!$B$11="",0,IF($I37="",1,0))+IF(SkillsMaster!$B$12="",0,IF($J37="",1,0))+IF(SkillsMaster!$B$13="",0,IF($K37="",1,0))+IF(SkillsMaster!$B$14="",0,IF($L37="",1,0))+IF(SkillsMaster!$B$15="",0,IF($M37="",1,0)))</f>
        <v/>
      </c>
      <c r="P37" s="17">
        <f>IF($C37="","",IF(AND($N37="",$O37=0),"Yes","No"))</f>
        <v/>
      </c>
    </row>
    <row r="38">
      <c r="B38" s="17">
        <f>IF(Cadets!$B38="","",Cadets!$B38)</f>
        <v/>
      </c>
      <c r="C38" s="17">
        <f>IF(Cadets!$B38="","",Cadets!$F38)</f>
        <v/>
      </c>
      <c r="D38" s="16" t="n"/>
      <c r="E38" s="16" t="n"/>
      <c r="F38" s="16" t="n"/>
      <c r="G38" s="16" t="n"/>
      <c r="H38" s="16" t="n"/>
      <c r="I38" s="16" t="n"/>
      <c r="J38" s="16" t="n"/>
      <c r="K38" s="16" t="n"/>
      <c r="L38" s="16" t="n"/>
      <c r="M38" s="16" t="n"/>
      <c r="N38" s="17">
        <f>IF($C38="","",_xlfn.TEXTJOIN(", ",TRUE,IF($D38="Fail",SkillsMaster!$B$6,""),IF($E38="Fail",SkillsMaster!$B$7,""),IF($F38="Fail",SkillsMaster!$B$8,""),IF($G38="Fail",SkillsMaster!$B$9,""),IF($H38="Fail",SkillsMaster!$B$10,""),IF($I38="Fail",SkillsMaster!$B$11,""),IF($J38="Fail",SkillsMaster!$B$12,""),IF($K38="Fail",SkillsMaster!$B$13,""),IF($L38="Fail",SkillsMaster!$B$14,""),IF($M38="Fail",SkillsMaster!$B$15,"")))</f>
        <v/>
      </c>
      <c r="O38" s="17">
        <f>IF($C38="","",IF(SkillsMaster!$B$6="",0,IF($D38="",1,0))+IF(SkillsMaster!$B$7="",0,IF($E38="",1,0))+IF(SkillsMaster!$B$8="",0,IF($F38="",1,0))+IF(SkillsMaster!$B$9="",0,IF($G38="",1,0))+IF(SkillsMaster!$B$10="",0,IF($H38="",1,0))+IF(SkillsMaster!$B$11="",0,IF($I38="",1,0))+IF(SkillsMaster!$B$12="",0,IF($J38="",1,0))+IF(SkillsMaster!$B$13="",0,IF($K38="",1,0))+IF(SkillsMaster!$B$14="",0,IF($L38="",1,0))+IF(SkillsMaster!$B$15="",0,IF($M38="",1,0)))</f>
        <v/>
      </c>
      <c r="P38" s="17">
        <f>IF($C38="","",IF(AND($N38="",$O38=0),"Yes","No"))</f>
        <v/>
      </c>
    </row>
    <row r="39">
      <c r="B39" s="17">
        <f>IF(Cadets!$B39="","",Cadets!$B39)</f>
        <v/>
      </c>
      <c r="C39" s="17">
        <f>IF(Cadets!$B39="","",Cadets!$F39)</f>
        <v/>
      </c>
      <c r="D39" s="16" t="n"/>
      <c r="E39" s="16" t="n"/>
      <c r="F39" s="16" t="n"/>
      <c r="G39" s="16" t="n"/>
      <c r="H39" s="16" t="n"/>
      <c r="I39" s="16" t="n"/>
      <c r="J39" s="16" t="n"/>
      <c r="K39" s="16" t="n"/>
      <c r="L39" s="16" t="n"/>
      <c r="M39" s="16" t="n"/>
      <c r="N39" s="17">
        <f>IF($C39="","",_xlfn.TEXTJOIN(", ",TRUE,IF($D39="Fail",SkillsMaster!$B$6,""),IF($E39="Fail",SkillsMaster!$B$7,""),IF($F39="Fail",SkillsMaster!$B$8,""),IF($G39="Fail",SkillsMaster!$B$9,""),IF($H39="Fail",SkillsMaster!$B$10,""),IF($I39="Fail",SkillsMaster!$B$11,""),IF($J39="Fail",SkillsMaster!$B$12,""),IF($K39="Fail",SkillsMaster!$B$13,""),IF($L39="Fail",SkillsMaster!$B$14,""),IF($M39="Fail",SkillsMaster!$B$15,"")))</f>
        <v/>
      </c>
      <c r="O39" s="17">
        <f>IF($C39="","",IF(SkillsMaster!$B$6="",0,IF($D39="",1,0))+IF(SkillsMaster!$B$7="",0,IF($E39="",1,0))+IF(SkillsMaster!$B$8="",0,IF($F39="",1,0))+IF(SkillsMaster!$B$9="",0,IF($G39="",1,0))+IF(SkillsMaster!$B$10="",0,IF($H39="",1,0))+IF(SkillsMaster!$B$11="",0,IF($I39="",1,0))+IF(SkillsMaster!$B$12="",0,IF($J39="",1,0))+IF(SkillsMaster!$B$13="",0,IF($K39="",1,0))+IF(SkillsMaster!$B$14="",0,IF($L39="",1,0))+IF(SkillsMaster!$B$15="",0,IF($M39="",1,0)))</f>
        <v/>
      </c>
      <c r="P39" s="17">
        <f>IF($C39="","",IF(AND($N39="",$O39=0),"Yes","No"))</f>
        <v/>
      </c>
    </row>
    <row r="40">
      <c r="B40" s="17">
        <f>IF(Cadets!$B40="","",Cadets!$B40)</f>
        <v/>
      </c>
      <c r="C40" s="17">
        <f>IF(Cadets!$B40="","",Cadets!$F40)</f>
        <v/>
      </c>
      <c r="D40" s="16" t="n"/>
      <c r="E40" s="16" t="n"/>
      <c r="F40" s="16" t="n"/>
      <c r="G40" s="16" t="n"/>
      <c r="H40" s="16" t="n"/>
      <c r="I40" s="16" t="n"/>
      <c r="J40" s="16" t="n"/>
      <c r="K40" s="16" t="n"/>
      <c r="L40" s="16" t="n"/>
      <c r="M40" s="16" t="n"/>
      <c r="N40" s="17">
        <f>IF($C40="","",_xlfn.TEXTJOIN(", ",TRUE,IF($D40="Fail",SkillsMaster!$B$6,""),IF($E40="Fail",SkillsMaster!$B$7,""),IF($F40="Fail",SkillsMaster!$B$8,""),IF($G40="Fail",SkillsMaster!$B$9,""),IF($H40="Fail",SkillsMaster!$B$10,""),IF($I40="Fail",SkillsMaster!$B$11,""),IF($J40="Fail",SkillsMaster!$B$12,""),IF($K40="Fail",SkillsMaster!$B$13,""),IF($L40="Fail",SkillsMaster!$B$14,""),IF($M40="Fail",SkillsMaster!$B$15,"")))</f>
        <v/>
      </c>
      <c r="O40" s="17">
        <f>IF($C40="","",IF(SkillsMaster!$B$6="",0,IF($D40="",1,0))+IF(SkillsMaster!$B$7="",0,IF($E40="",1,0))+IF(SkillsMaster!$B$8="",0,IF($F40="",1,0))+IF(SkillsMaster!$B$9="",0,IF($G40="",1,0))+IF(SkillsMaster!$B$10="",0,IF($H40="",1,0))+IF(SkillsMaster!$B$11="",0,IF($I40="",1,0))+IF(SkillsMaster!$B$12="",0,IF($J40="",1,0))+IF(SkillsMaster!$B$13="",0,IF($K40="",1,0))+IF(SkillsMaster!$B$14="",0,IF($L40="",1,0))+IF(SkillsMaster!$B$15="",0,IF($M40="",1,0)))</f>
        <v/>
      </c>
      <c r="P40" s="17">
        <f>IF($C40="","",IF(AND($N40="",$O40=0),"Yes","No"))</f>
        <v/>
      </c>
    </row>
    <row r="41">
      <c r="B41" s="17">
        <f>IF(Cadets!$B41="","",Cadets!$B41)</f>
        <v/>
      </c>
      <c r="C41" s="17">
        <f>IF(Cadets!$B41="","",Cadets!$F41)</f>
        <v/>
      </c>
      <c r="D41" s="16" t="n"/>
      <c r="E41" s="16" t="n"/>
      <c r="F41" s="16" t="n"/>
      <c r="G41" s="16" t="n"/>
      <c r="H41" s="16" t="n"/>
      <c r="I41" s="16" t="n"/>
      <c r="J41" s="16" t="n"/>
      <c r="K41" s="16" t="n"/>
      <c r="L41" s="16" t="n"/>
      <c r="M41" s="16" t="n"/>
      <c r="N41" s="17">
        <f>IF($C41="","",_xlfn.TEXTJOIN(", ",TRUE,IF($D41="Fail",SkillsMaster!$B$6,""),IF($E41="Fail",SkillsMaster!$B$7,""),IF($F41="Fail",SkillsMaster!$B$8,""),IF($G41="Fail",SkillsMaster!$B$9,""),IF($H41="Fail",SkillsMaster!$B$10,""),IF($I41="Fail",SkillsMaster!$B$11,""),IF($J41="Fail",SkillsMaster!$B$12,""),IF($K41="Fail",SkillsMaster!$B$13,""),IF($L41="Fail",SkillsMaster!$B$14,""),IF($M41="Fail",SkillsMaster!$B$15,"")))</f>
        <v/>
      </c>
      <c r="O41" s="17">
        <f>IF($C41="","",IF(SkillsMaster!$B$6="",0,IF($D41="",1,0))+IF(SkillsMaster!$B$7="",0,IF($E41="",1,0))+IF(SkillsMaster!$B$8="",0,IF($F41="",1,0))+IF(SkillsMaster!$B$9="",0,IF($G41="",1,0))+IF(SkillsMaster!$B$10="",0,IF($H41="",1,0))+IF(SkillsMaster!$B$11="",0,IF($I41="",1,0))+IF(SkillsMaster!$B$12="",0,IF($J41="",1,0))+IF(SkillsMaster!$B$13="",0,IF($K41="",1,0))+IF(SkillsMaster!$B$14="",0,IF($L41="",1,0))+IF(SkillsMaster!$B$15="",0,IF($M41="",1,0)))</f>
        <v/>
      </c>
      <c r="P41" s="17">
        <f>IF($C41="","",IF(AND($N41="",$O41=0),"Yes","No"))</f>
        <v/>
      </c>
    </row>
    <row r="42">
      <c r="B42" s="17">
        <f>IF(Cadets!$B42="","",Cadets!$B42)</f>
        <v/>
      </c>
      <c r="C42" s="17">
        <f>IF(Cadets!$B42="","",Cadets!$F42)</f>
        <v/>
      </c>
      <c r="D42" s="16" t="n"/>
      <c r="E42" s="16" t="n"/>
      <c r="F42" s="16" t="n"/>
      <c r="G42" s="16" t="n"/>
      <c r="H42" s="16" t="n"/>
      <c r="I42" s="16" t="n"/>
      <c r="J42" s="16" t="n"/>
      <c r="K42" s="16" t="n"/>
      <c r="L42" s="16" t="n"/>
      <c r="M42" s="16" t="n"/>
      <c r="N42" s="17">
        <f>IF($C42="","",_xlfn.TEXTJOIN(", ",TRUE,IF($D42="Fail",SkillsMaster!$B$6,""),IF($E42="Fail",SkillsMaster!$B$7,""),IF($F42="Fail",SkillsMaster!$B$8,""),IF($G42="Fail",SkillsMaster!$B$9,""),IF($H42="Fail",SkillsMaster!$B$10,""),IF($I42="Fail",SkillsMaster!$B$11,""),IF($J42="Fail",SkillsMaster!$B$12,""),IF($K42="Fail",SkillsMaster!$B$13,""),IF($L42="Fail",SkillsMaster!$B$14,""),IF($M42="Fail",SkillsMaster!$B$15,"")))</f>
        <v/>
      </c>
      <c r="O42" s="17">
        <f>IF($C42="","",IF(SkillsMaster!$B$6="",0,IF($D42="",1,0))+IF(SkillsMaster!$B$7="",0,IF($E42="",1,0))+IF(SkillsMaster!$B$8="",0,IF($F42="",1,0))+IF(SkillsMaster!$B$9="",0,IF($G42="",1,0))+IF(SkillsMaster!$B$10="",0,IF($H42="",1,0))+IF(SkillsMaster!$B$11="",0,IF($I42="",1,0))+IF(SkillsMaster!$B$12="",0,IF($J42="",1,0))+IF(SkillsMaster!$B$13="",0,IF($K42="",1,0))+IF(SkillsMaster!$B$14="",0,IF($L42="",1,0))+IF(SkillsMaster!$B$15="",0,IF($M42="",1,0)))</f>
        <v/>
      </c>
      <c r="P42" s="17">
        <f>IF($C42="","",IF(AND($N42="",$O42=0),"Yes","No"))</f>
        <v/>
      </c>
    </row>
    <row r="43">
      <c r="B43" s="17">
        <f>IF(Cadets!$B43="","",Cadets!$B43)</f>
        <v/>
      </c>
      <c r="C43" s="17">
        <f>IF(Cadets!$B43="","",Cadets!$F43)</f>
        <v/>
      </c>
      <c r="D43" s="16" t="n"/>
      <c r="E43" s="16" t="n"/>
      <c r="F43" s="16" t="n"/>
      <c r="G43" s="16" t="n"/>
      <c r="H43" s="16" t="n"/>
      <c r="I43" s="16" t="n"/>
      <c r="J43" s="16" t="n"/>
      <c r="K43" s="16" t="n"/>
      <c r="L43" s="16" t="n"/>
      <c r="M43" s="16" t="n"/>
      <c r="N43" s="17">
        <f>IF($C43="","",_xlfn.TEXTJOIN(", ",TRUE,IF($D43="Fail",SkillsMaster!$B$6,""),IF($E43="Fail",SkillsMaster!$B$7,""),IF($F43="Fail",SkillsMaster!$B$8,""),IF($G43="Fail",SkillsMaster!$B$9,""),IF($H43="Fail",SkillsMaster!$B$10,""),IF($I43="Fail",SkillsMaster!$B$11,""),IF($J43="Fail",SkillsMaster!$B$12,""),IF($K43="Fail",SkillsMaster!$B$13,""),IF($L43="Fail",SkillsMaster!$B$14,""),IF($M43="Fail",SkillsMaster!$B$15,"")))</f>
        <v/>
      </c>
      <c r="O43" s="17">
        <f>IF($C43="","",IF(SkillsMaster!$B$6="",0,IF($D43="",1,0))+IF(SkillsMaster!$B$7="",0,IF($E43="",1,0))+IF(SkillsMaster!$B$8="",0,IF($F43="",1,0))+IF(SkillsMaster!$B$9="",0,IF($G43="",1,0))+IF(SkillsMaster!$B$10="",0,IF($H43="",1,0))+IF(SkillsMaster!$B$11="",0,IF($I43="",1,0))+IF(SkillsMaster!$B$12="",0,IF($J43="",1,0))+IF(SkillsMaster!$B$13="",0,IF($K43="",1,0))+IF(SkillsMaster!$B$14="",0,IF($L43="",1,0))+IF(SkillsMaster!$B$15="",0,IF($M43="",1,0)))</f>
        <v/>
      </c>
      <c r="P43" s="17">
        <f>IF($C43="","",IF(AND($N43="",$O43=0),"Yes","No"))</f>
        <v/>
      </c>
    </row>
    <row r="44">
      <c r="B44" s="17">
        <f>IF(Cadets!$B44="","",Cadets!$B44)</f>
        <v/>
      </c>
      <c r="C44" s="17">
        <f>IF(Cadets!$B44="","",Cadets!$F44)</f>
        <v/>
      </c>
      <c r="D44" s="16" t="n"/>
      <c r="E44" s="16" t="n"/>
      <c r="F44" s="16" t="n"/>
      <c r="G44" s="16" t="n"/>
      <c r="H44" s="16" t="n"/>
      <c r="I44" s="16" t="n"/>
      <c r="J44" s="16" t="n"/>
      <c r="K44" s="16" t="n"/>
      <c r="L44" s="16" t="n"/>
      <c r="M44" s="16" t="n"/>
      <c r="N44" s="17">
        <f>IF($C44="","",_xlfn.TEXTJOIN(", ",TRUE,IF($D44="Fail",SkillsMaster!$B$6,""),IF($E44="Fail",SkillsMaster!$B$7,""),IF($F44="Fail",SkillsMaster!$B$8,""),IF($G44="Fail",SkillsMaster!$B$9,""),IF($H44="Fail",SkillsMaster!$B$10,""),IF($I44="Fail",SkillsMaster!$B$11,""),IF($J44="Fail",SkillsMaster!$B$12,""),IF($K44="Fail",SkillsMaster!$B$13,""),IF($L44="Fail",SkillsMaster!$B$14,""),IF($M44="Fail",SkillsMaster!$B$15,"")))</f>
        <v/>
      </c>
      <c r="O44" s="17">
        <f>IF($C44="","",IF(SkillsMaster!$B$6="",0,IF($D44="",1,0))+IF(SkillsMaster!$B$7="",0,IF($E44="",1,0))+IF(SkillsMaster!$B$8="",0,IF($F44="",1,0))+IF(SkillsMaster!$B$9="",0,IF($G44="",1,0))+IF(SkillsMaster!$B$10="",0,IF($H44="",1,0))+IF(SkillsMaster!$B$11="",0,IF($I44="",1,0))+IF(SkillsMaster!$B$12="",0,IF($J44="",1,0))+IF(SkillsMaster!$B$13="",0,IF($K44="",1,0))+IF(SkillsMaster!$B$14="",0,IF($L44="",1,0))+IF(SkillsMaster!$B$15="",0,IF($M44="",1,0)))</f>
        <v/>
      </c>
      <c r="P44" s="17">
        <f>IF($C44="","",IF(AND($N44="",$O44=0),"Yes","No"))</f>
        <v/>
      </c>
    </row>
    <row r="45">
      <c r="B45" s="17">
        <f>IF(Cadets!$B45="","",Cadets!$B45)</f>
        <v/>
      </c>
      <c r="C45" s="17">
        <f>IF(Cadets!$B45="","",Cadets!$F45)</f>
        <v/>
      </c>
      <c r="D45" s="16" t="n"/>
      <c r="E45" s="16" t="n"/>
      <c r="F45" s="16" t="n"/>
      <c r="G45" s="16" t="n"/>
      <c r="H45" s="16" t="n"/>
      <c r="I45" s="16" t="n"/>
      <c r="J45" s="16" t="n"/>
      <c r="K45" s="16" t="n"/>
      <c r="L45" s="16" t="n"/>
      <c r="M45" s="16" t="n"/>
      <c r="N45" s="17">
        <f>IF($C45="","",_xlfn.TEXTJOIN(", ",TRUE,IF($D45="Fail",SkillsMaster!$B$6,""),IF($E45="Fail",SkillsMaster!$B$7,""),IF($F45="Fail",SkillsMaster!$B$8,""),IF($G45="Fail",SkillsMaster!$B$9,""),IF($H45="Fail",SkillsMaster!$B$10,""),IF($I45="Fail",SkillsMaster!$B$11,""),IF($J45="Fail",SkillsMaster!$B$12,""),IF($K45="Fail",SkillsMaster!$B$13,""),IF($L45="Fail",SkillsMaster!$B$14,""),IF($M45="Fail",SkillsMaster!$B$15,"")))</f>
        <v/>
      </c>
      <c r="O45" s="17">
        <f>IF($C45="","",IF(SkillsMaster!$B$6="",0,IF($D45="",1,0))+IF(SkillsMaster!$B$7="",0,IF($E45="",1,0))+IF(SkillsMaster!$B$8="",0,IF($F45="",1,0))+IF(SkillsMaster!$B$9="",0,IF($G45="",1,0))+IF(SkillsMaster!$B$10="",0,IF($H45="",1,0))+IF(SkillsMaster!$B$11="",0,IF($I45="",1,0))+IF(SkillsMaster!$B$12="",0,IF($J45="",1,0))+IF(SkillsMaster!$B$13="",0,IF($K45="",1,0))+IF(SkillsMaster!$B$14="",0,IF($L45="",1,0))+IF(SkillsMaster!$B$15="",0,IF($M45="",1,0)))</f>
        <v/>
      </c>
      <c r="P45" s="17">
        <f>IF($C45="","",IF(AND($N45="",$O45=0),"Yes","No"))</f>
        <v/>
      </c>
    </row>
    <row r="46">
      <c r="B46" s="17">
        <f>IF(Cadets!$B46="","",Cadets!$B46)</f>
        <v/>
      </c>
      <c r="C46" s="17">
        <f>IF(Cadets!$B46="","",Cadets!$F46)</f>
        <v/>
      </c>
      <c r="D46" s="16" t="n"/>
      <c r="E46" s="16" t="n"/>
      <c r="F46" s="16" t="n"/>
      <c r="G46" s="16" t="n"/>
      <c r="H46" s="16" t="n"/>
      <c r="I46" s="16" t="n"/>
      <c r="J46" s="16" t="n"/>
      <c r="K46" s="16" t="n"/>
      <c r="L46" s="16" t="n"/>
      <c r="M46" s="16" t="n"/>
      <c r="N46" s="17">
        <f>IF($C46="","",_xlfn.TEXTJOIN(", ",TRUE,IF($D46="Fail",SkillsMaster!$B$6,""),IF($E46="Fail",SkillsMaster!$B$7,""),IF($F46="Fail",SkillsMaster!$B$8,""),IF($G46="Fail",SkillsMaster!$B$9,""),IF($H46="Fail",SkillsMaster!$B$10,""),IF($I46="Fail",SkillsMaster!$B$11,""),IF($J46="Fail",SkillsMaster!$B$12,""),IF($K46="Fail",SkillsMaster!$B$13,""),IF($L46="Fail",SkillsMaster!$B$14,""),IF($M46="Fail",SkillsMaster!$B$15,"")))</f>
        <v/>
      </c>
      <c r="O46" s="17">
        <f>IF($C46="","",IF(SkillsMaster!$B$6="",0,IF($D46="",1,0))+IF(SkillsMaster!$B$7="",0,IF($E46="",1,0))+IF(SkillsMaster!$B$8="",0,IF($F46="",1,0))+IF(SkillsMaster!$B$9="",0,IF($G46="",1,0))+IF(SkillsMaster!$B$10="",0,IF($H46="",1,0))+IF(SkillsMaster!$B$11="",0,IF($I46="",1,0))+IF(SkillsMaster!$B$12="",0,IF($J46="",1,0))+IF(SkillsMaster!$B$13="",0,IF($K46="",1,0))+IF(SkillsMaster!$B$14="",0,IF($L46="",1,0))+IF(SkillsMaster!$B$15="",0,IF($M46="",1,0)))</f>
        <v/>
      </c>
      <c r="P46" s="17">
        <f>IF($C46="","",IF(AND($N46="",$O46=0),"Yes","No"))</f>
        <v/>
      </c>
    </row>
    <row r="47">
      <c r="B47" s="17">
        <f>IF(Cadets!$B47="","",Cadets!$B47)</f>
        <v/>
      </c>
      <c r="C47" s="17">
        <f>IF(Cadets!$B47="","",Cadets!$F47)</f>
        <v/>
      </c>
      <c r="D47" s="16" t="n"/>
      <c r="E47" s="16" t="n"/>
      <c r="F47" s="16" t="n"/>
      <c r="G47" s="16" t="n"/>
      <c r="H47" s="16" t="n"/>
      <c r="I47" s="16" t="n"/>
      <c r="J47" s="16" t="n"/>
      <c r="K47" s="16" t="n"/>
      <c r="L47" s="16" t="n"/>
      <c r="M47" s="16" t="n"/>
      <c r="N47" s="17">
        <f>IF($C47="","",_xlfn.TEXTJOIN(", ",TRUE,IF($D47="Fail",SkillsMaster!$B$6,""),IF($E47="Fail",SkillsMaster!$B$7,""),IF($F47="Fail",SkillsMaster!$B$8,""),IF($G47="Fail",SkillsMaster!$B$9,""),IF($H47="Fail",SkillsMaster!$B$10,""),IF($I47="Fail",SkillsMaster!$B$11,""),IF($J47="Fail",SkillsMaster!$B$12,""),IF($K47="Fail",SkillsMaster!$B$13,""),IF($L47="Fail",SkillsMaster!$B$14,""),IF($M47="Fail",SkillsMaster!$B$15,"")))</f>
        <v/>
      </c>
      <c r="O47" s="17">
        <f>IF($C47="","",IF(SkillsMaster!$B$6="",0,IF($D47="",1,0))+IF(SkillsMaster!$B$7="",0,IF($E47="",1,0))+IF(SkillsMaster!$B$8="",0,IF($F47="",1,0))+IF(SkillsMaster!$B$9="",0,IF($G47="",1,0))+IF(SkillsMaster!$B$10="",0,IF($H47="",1,0))+IF(SkillsMaster!$B$11="",0,IF($I47="",1,0))+IF(SkillsMaster!$B$12="",0,IF($J47="",1,0))+IF(SkillsMaster!$B$13="",0,IF($K47="",1,0))+IF(SkillsMaster!$B$14="",0,IF($L47="",1,0))+IF(SkillsMaster!$B$15="",0,IF($M47="",1,0)))</f>
        <v/>
      </c>
      <c r="P47" s="17">
        <f>IF($C47="","",IF(AND($N47="",$O47=0),"Yes","No"))</f>
        <v/>
      </c>
    </row>
    <row r="48">
      <c r="B48" s="17">
        <f>IF(Cadets!$B48="","",Cadets!$B48)</f>
        <v/>
      </c>
      <c r="C48" s="17">
        <f>IF(Cadets!$B48="","",Cadets!$F48)</f>
        <v/>
      </c>
      <c r="D48" s="16" t="n"/>
      <c r="E48" s="16" t="n"/>
      <c r="F48" s="16" t="n"/>
      <c r="G48" s="16" t="n"/>
      <c r="H48" s="16" t="n"/>
      <c r="I48" s="16" t="n"/>
      <c r="J48" s="16" t="n"/>
      <c r="K48" s="16" t="n"/>
      <c r="L48" s="16" t="n"/>
      <c r="M48" s="16" t="n"/>
      <c r="N48" s="17">
        <f>IF($C48="","",_xlfn.TEXTJOIN(", ",TRUE,IF($D48="Fail",SkillsMaster!$B$6,""),IF($E48="Fail",SkillsMaster!$B$7,""),IF($F48="Fail",SkillsMaster!$B$8,""),IF($G48="Fail",SkillsMaster!$B$9,""),IF($H48="Fail",SkillsMaster!$B$10,""),IF($I48="Fail",SkillsMaster!$B$11,""),IF($J48="Fail",SkillsMaster!$B$12,""),IF($K48="Fail",SkillsMaster!$B$13,""),IF($L48="Fail",SkillsMaster!$B$14,""),IF($M48="Fail",SkillsMaster!$B$15,"")))</f>
        <v/>
      </c>
      <c r="O48" s="17">
        <f>IF($C48="","",IF(SkillsMaster!$B$6="",0,IF($D48="",1,0))+IF(SkillsMaster!$B$7="",0,IF($E48="",1,0))+IF(SkillsMaster!$B$8="",0,IF($F48="",1,0))+IF(SkillsMaster!$B$9="",0,IF($G48="",1,0))+IF(SkillsMaster!$B$10="",0,IF($H48="",1,0))+IF(SkillsMaster!$B$11="",0,IF($I48="",1,0))+IF(SkillsMaster!$B$12="",0,IF($J48="",1,0))+IF(SkillsMaster!$B$13="",0,IF($K48="",1,0))+IF(SkillsMaster!$B$14="",0,IF($L48="",1,0))+IF(SkillsMaster!$B$15="",0,IF($M48="",1,0)))</f>
        <v/>
      </c>
      <c r="P48" s="17">
        <f>IF($C48="","",IF(AND($N48="",$O48=0),"Yes","No"))</f>
        <v/>
      </c>
    </row>
    <row r="49">
      <c r="B49" s="17">
        <f>IF(Cadets!$B49="","",Cadets!$B49)</f>
        <v/>
      </c>
      <c r="C49" s="17">
        <f>IF(Cadets!$B49="","",Cadets!$F49)</f>
        <v/>
      </c>
      <c r="D49" s="16" t="n"/>
      <c r="E49" s="16" t="n"/>
      <c r="F49" s="16" t="n"/>
      <c r="G49" s="16" t="n"/>
      <c r="H49" s="16" t="n"/>
      <c r="I49" s="16" t="n"/>
      <c r="J49" s="16" t="n"/>
      <c r="K49" s="16" t="n"/>
      <c r="L49" s="16" t="n"/>
      <c r="M49" s="16" t="n"/>
      <c r="N49" s="17">
        <f>IF($C49="","",_xlfn.TEXTJOIN(", ",TRUE,IF($D49="Fail",SkillsMaster!$B$6,""),IF($E49="Fail",SkillsMaster!$B$7,""),IF($F49="Fail",SkillsMaster!$B$8,""),IF($G49="Fail",SkillsMaster!$B$9,""),IF($H49="Fail",SkillsMaster!$B$10,""),IF($I49="Fail",SkillsMaster!$B$11,""),IF($J49="Fail",SkillsMaster!$B$12,""),IF($K49="Fail",SkillsMaster!$B$13,""),IF($L49="Fail",SkillsMaster!$B$14,""),IF($M49="Fail",SkillsMaster!$B$15,"")))</f>
        <v/>
      </c>
      <c r="O49" s="17">
        <f>IF($C49="","",IF(SkillsMaster!$B$6="",0,IF($D49="",1,0))+IF(SkillsMaster!$B$7="",0,IF($E49="",1,0))+IF(SkillsMaster!$B$8="",0,IF($F49="",1,0))+IF(SkillsMaster!$B$9="",0,IF($G49="",1,0))+IF(SkillsMaster!$B$10="",0,IF($H49="",1,0))+IF(SkillsMaster!$B$11="",0,IF($I49="",1,0))+IF(SkillsMaster!$B$12="",0,IF($J49="",1,0))+IF(SkillsMaster!$B$13="",0,IF($K49="",1,0))+IF(SkillsMaster!$B$14="",0,IF($L49="",1,0))+IF(SkillsMaster!$B$15="",0,IF($M49="",1,0)))</f>
        <v/>
      </c>
      <c r="P49" s="17">
        <f>IF($C49="","",IF(AND($N49="",$O49=0),"Yes","No"))</f>
        <v/>
      </c>
    </row>
    <row r="50">
      <c r="B50" s="17">
        <f>IF(Cadets!$B50="","",Cadets!$B50)</f>
        <v/>
      </c>
      <c r="C50" s="17">
        <f>IF(Cadets!$B50="","",Cadets!$F50)</f>
        <v/>
      </c>
      <c r="D50" s="16" t="n"/>
      <c r="E50" s="16" t="n"/>
      <c r="F50" s="16" t="n"/>
      <c r="G50" s="16" t="n"/>
      <c r="H50" s="16" t="n"/>
      <c r="I50" s="16" t="n"/>
      <c r="J50" s="16" t="n"/>
      <c r="K50" s="16" t="n"/>
      <c r="L50" s="16" t="n"/>
      <c r="M50" s="16" t="n"/>
      <c r="N50" s="17">
        <f>IF($C50="","",_xlfn.TEXTJOIN(", ",TRUE,IF($D50="Fail",SkillsMaster!$B$6,""),IF($E50="Fail",SkillsMaster!$B$7,""),IF($F50="Fail",SkillsMaster!$B$8,""),IF($G50="Fail",SkillsMaster!$B$9,""),IF($H50="Fail",SkillsMaster!$B$10,""),IF($I50="Fail",SkillsMaster!$B$11,""),IF($J50="Fail",SkillsMaster!$B$12,""),IF($K50="Fail",SkillsMaster!$B$13,""),IF($L50="Fail",SkillsMaster!$B$14,""),IF($M50="Fail",SkillsMaster!$B$15,"")))</f>
        <v/>
      </c>
      <c r="O50" s="17">
        <f>IF($C50="","",IF(SkillsMaster!$B$6="",0,IF($D50="",1,0))+IF(SkillsMaster!$B$7="",0,IF($E50="",1,0))+IF(SkillsMaster!$B$8="",0,IF($F50="",1,0))+IF(SkillsMaster!$B$9="",0,IF($G50="",1,0))+IF(SkillsMaster!$B$10="",0,IF($H50="",1,0))+IF(SkillsMaster!$B$11="",0,IF($I50="",1,0))+IF(SkillsMaster!$B$12="",0,IF($J50="",1,0))+IF(SkillsMaster!$B$13="",0,IF($K50="",1,0))+IF(SkillsMaster!$B$14="",0,IF($L50="",1,0))+IF(SkillsMaster!$B$15="",0,IF($M50="",1,0)))</f>
        <v/>
      </c>
      <c r="P50" s="17">
        <f>IF($C50="","",IF(AND($N50="",$O50=0),"Yes","No"))</f>
        <v/>
      </c>
    </row>
    <row r="51">
      <c r="B51" s="17">
        <f>IF(Cadets!$B51="","",Cadets!$B51)</f>
        <v/>
      </c>
      <c r="C51" s="17">
        <f>IF(Cadets!$B51="","",Cadets!$F51)</f>
        <v/>
      </c>
      <c r="D51" s="16" t="n"/>
      <c r="E51" s="16" t="n"/>
      <c r="F51" s="16" t="n"/>
      <c r="G51" s="16" t="n"/>
      <c r="H51" s="16" t="n"/>
      <c r="I51" s="16" t="n"/>
      <c r="J51" s="16" t="n"/>
      <c r="K51" s="16" t="n"/>
      <c r="L51" s="16" t="n"/>
      <c r="M51" s="16" t="n"/>
      <c r="N51" s="17">
        <f>IF($C51="","",_xlfn.TEXTJOIN(", ",TRUE,IF($D51="Fail",SkillsMaster!$B$6,""),IF($E51="Fail",SkillsMaster!$B$7,""),IF($F51="Fail",SkillsMaster!$B$8,""),IF($G51="Fail",SkillsMaster!$B$9,""),IF($H51="Fail",SkillsMaster!$B$10,""),IF($I51="Fail",SkillsMaster!$B$11,""),IF($J51="Fail",SkillsMaster!$B$12,""),IF($K51="Fail",SkillsMaster!$B$13,""),IF($L51="Fail",SkillsMaster!$B$14,""),IF($M51="Fail",SkillsMaster!$B$15,"")))</f>
        <v/>
      </c>
      <c r="O51" s="17">
        <f>IF($C51="","",IF(SkillsMaster!$B$6="",0,IF($D51="",1,0))+IF(SkillsMaster!$B$7="",0,IF($E51="",1,0))+IF(SkillsMaster!$B$8="",0,IF($F51="",1,0))+IF(SkillsMaster!$B$9="",0,IF($G51="",1,0))+IF(SkillsMaster!$B$10="",0,IF($H51="",1,0))+IF(SkillsMaster!$B$11="",0,IF($I51="",1,0))+IF(SkillsMaster!$B$12="",0,IF($J51="",1,0))+IF(SkillsMaster!$B$13="",0,IF($K51="",1,0))+IF(SkillsMaster!$B$14="",0,IF($L51="",1,0))+IF(SkillsMaster!$B$15="",0,IF($M51="",1,0)))</f>
        <v/>
      </c>
      <c r="P51" s="17">
        <f>IF($C51="","",IF(AND($N51="",$O51=0),"Yes","No"))</f>
        <v/>
      </c>
    </row>
    <row r="52">
      <c r="B52" s="17">
        <f>IF(Cadets!$B52="","",Cadets!$B52)</f>
        <v/>
      </c>
      <c r="C52" s="17">
        <f>IF(Cadets!$B52="","",Cadets!$F52)</f>
        <v/>
      </c>
      <c r="D52" s="16" t="n"/>
      <c r="E52" s="16" t="n"/>
      <c r="F52" s="16" t="n"/>
      <c r="G52" s="16" t="n"/>
      <c r="H52" s="16" t="n"/>
      <c r="I52" s="16" t="n"/>
      <c r="J52" s="16" t="n"/>
      <c r="K52" s="16" t="n"/>
      <c r="L52" s="16" t="n"/>
      <c r="M52" s="16" t="n"/>
      <c r="N52" s="17">
        <f>IF($C52="","",_xlfn.TEXTJOIN(", ",TRUE,IF($D52="Fail",SkillsMaster!$B$6,""),IF($E52="Fail",SkillsMaster!$B$7,""),IF($F52="Fail",SkillsMaster!$B$8,""),IF($G52="Fail",SkillsMaster!$B$9,""),IF($H52="Fail",SkillsMaster!$B$10,""),IF($I52="Fail",SkillsMaster!$B$11,""),IF($J52="Fail",SkillsMaster!$B$12,""),IF($K52="Fail",SkillsMaster!$B$13,""),IF($L52="Fail",SkillsMaster!$B$14,""),IF($M52="Fail",SkillsMaster!$B$15,"")))</f>
        <v/>
      </c>
      <c r="O52" s="17">
        <f>IF($C52="","",IF(SkillsMaster!$B$6="",0,IF($D52="",1,0))+IF(SkillsMaster!$B$7="",0,IF($E52="",1,0))+IF(SkillsMaster!$B$8="",0,IF($F52="",1,0))+IF(SkillsMaster!$B$9="",0,IF($G52="",1,0))+IF(SkillsMaster!$B$10="",0,IF($H52="",1,0))+IF(SkillsMaster!$B$11="",0,IF($I52="",1,0))+IF(SkillsMaster!$B$12="",0,IF($J52="",1,0))+IF(SkillsMaster!$B$13="",0,IF($K52="",1,0))+IF(SkillsMaster!$B$14="",0,IF($L52="",1,0))+IF(SkillsMaster!$B$15="",0,IF($M52="",1,0)))</f>
        <v/>
      </c>
      <c r="P52" s="17">
        <f>IF($C52="","",IF(AND($N52="",$O52=0),"Yes","No"))</f>
        <v/>
      </c>
    </row>
    <row r="53">
      <c r="B53" s="17">
        <f>IF(Cadets!$B53="","",Cadets!$B53)</f>
        <v/>
      </c>
      <c r="C53" s="17">
        <f>IF(Cadets!$B53="","",Cadets!$F53)</f>
        <v/>
      </c>
      <c r="D53" s="16" t="n"/>
      <c r="E53" s="16" t="n"/>
      <c r="F53" s="16" t="n"/>
      <c r="G53" s="16" t="n"/>
      <c r="H53" s="16" t="n"/>
      <c r="I53" s="16" t="n"/>
      <c r="J53" s="16" t="n"/>
      <c r="K53" s="16" t="n"/>
      <c r="L53" s="16" t="n"/>
      <c r="M53" s="16" t="n"/>
      <c r="N53" s="17">
        <f>IF($C53="","",_xlfn.TEXTJOIN(", ",TRUE,IF($D53="Fail",SkillsMaster!$B$6,""),IF($E53="Fail",SkillsMaster!$B$7,""),IF($F53="Fail",SkillsMaster!$B$8,""),IF($G53="Fail",SkillsMaster!$B$9,""),IF($H53="Fail",SkillsMaster!$B$10,""),IF($I53="Fail",SkillsMaster!$B$11,""),IF($J53="Fail",SkillsMaster!$B$12,""),IF($K53="Fail",SkillsMaster!$B$13,""),IF($L53="Fail",SkillsMaster!$B$14,""),IF($M53="Fail",SkillsMaster!$B$15,"")))</f>
        <v/>
      </c>
      <c r="O53" s="17">
        <f>IF($C53="","",IF(SkillsMaster!$B$6="",0,IF($D53="",1,0))+IF(SkillsMaster!$B$7="",0,IF($E53="",1,0))+IF(SkillsMaster!$B$8="",0,IF($F53="",1,0))+IF(SkillsMaster!$B$9="",0,IF($G53="",1,0))+IF(SkillsMaster!$B$10="",0,IF($H53="",1,0))+IF(SkillsMaster!$B$11="",0,IF($I53="",1,0))+IF(SkillsMaster!$B$12="",0,IF($J53="",1,0))+IF(SkillsMaster!$B$13="",0,IF($K53="",1,0))+IF(SkillsMaster!$B$14="",0,IF($L53="",1,0))+IF(SkillsMaster!$B$15="",0,IF($M53="",1,0)))</f>
        <v/>
      </c>
      <c r="P53" s="17">
        <f>IF($C53="","",IF(AND($N53="",$O53=0),"Yes","No"))</f>
        <v/>
      </c>
    </row>
    <row r="54">
      <c r="B54" s="17">
        <f>IF(Cadets!$B54="","",Cadets!$B54)</f>
        <v/>
      </c>
      <c r="C54" s="17">
        <f>IF(Cadets!$B54="","",Cadets!$F54)</f>
        <v/>
      </c>
      <c r="D54" s="16" t="n"/>
      <c r="E54" s="16" t="n"/>
      <c r="F54" s="16" t="n"/>
      <c r="G54" s="16" t="n"/>
      <c r="H54" s="16" t="n"/>
      <c r="I54" s="16" t="n"/>
      <c r="J54" s="16" t="n"/>
      <c r="K54" s="16" t="n"/>
      <c r="L54" s="16" t="n"/>
      <c r="M54" s="16" t="n"/>
      <c r="N54" s="17">
        <f>IF($C54="","",_xlfn.TEXTJOIN(", ",TRUE,IF($D54="Fail",SkillsMaster!$B$6,""),IF($E54="Fail",SkillsMaster!$B$7,""),IF($F54="Fail",SkillsMaster!$B$8,""),IF($G54="Fail",SkillsMaster!$B$9,""),IF($H54="Fail",SkillsMaster!$B$10,""),IF($I54="Fail",SkillsMaster!$B$11,""),IF($J54="Fail",SkillsMaster!$B$12,""),IF($K54="Fail",SkillsMaster!$B$13,""),IF($L54="Fail",SkillsMaster!$B$14,""),IF($M54="Fail",SkillsMaster!$B$15,"")))</f>
        <v/>
      </c>
      <c r="O54" s="17">
        <f>IF($C54="","",IF(SkillsMaster!$B$6="",0,IF($D54="",1,0))+IF(SkillsMaster!$B$7="",0,IF($E54="",1,0))+IF(SkillsMaster!$B$8="",0,IF($F54="",1,0))+IF(SkillsMaster!$B$9="",0,IF($G54="",1,0))+IF(SkillsMaster!$B$10="",0,IF($H54="",1,0))+IF(SkillsMaster!$B$11="",0,IF($I54="",1,0))+IF(SkillsMaster!$B$12="",0,IF($J54="",1,0))+IF(SkillsMaster!$B$13="",0,IF($K54="",1,0))+IF(SkillsMaster!$B$14="",0,IF($L54="",1,0))+IF(SkillsMaster!$B$15="",0,IF($M54="",1,0)))</f>
        <v/>
      </c>
      <c r="P54" s="17">
        <f>IF($C54="","",IF(AND($N54="",$O54=0),"Yes","No"))</f>
        <v/>
      </c>
    </row>
    <row r="55">
      <c r="B55" s="17">
        <f>IF(Cadets!$B55="","",Cadets!$B55)</f>
        <v/>
      </c>
      <c r="C55" s="17">
        <f>IF(Cadets!$B55="","",Cadets!$F55)</f>
        <v/>
      </c>
      <c r="D55" s="16" t="n"/>
      <c r="E55" s="16" t="n"/>
      <c r="F55" s="16" t="n"/>
      <c r="G55" s="16" t="n"/>
      <c r="H55" s="16" t="n"/>
      <c r="I55" s="16" t="n"/>
      <c r="J55" s="16" t="n"/>
      <c r="K55" s="16" t="n"/>
      <c r="L55" s="16" t="n"/>
      <c r="M55" s="16" t="n"/>
      <c r="N55" s="17">
        <f>IF($C55="","",_xlfn.TEXTJOIN(", ",TRUE,IF($D55="Fail",SkillsMaster!$B$6,""),IF($E55="Fail",SkillsMaster!$B$7,""),IF($F55="Fail",SkillsMaster!$B$8,""),IF($G55="Fail",SkillsMaster!$B$9,""),IF($H55="Fail",SkillsMaster!$B$10,""),IF($I55="Fail",SkillsMaster!$B$11,""),IF($J55="Fail",SkillsMaster!$B$12,""),IF($K55="Fail",SkillsMaster!$B$13,""),IF($L55="Fail",SkillsMaster!$B$14,""),IF($M55="Fail",SkillsMaster!$B$15,"")))</f>
        <v/>
      </c>
      <c r="O55" s="17">
        <f>IF($C55="","",IF(SkillsMaster!$B$6="",0,IF($D55="",1,0))+IF(SkillsMaster!$B$7="",0,IF($E55="",1,0))+IF(SkillsMaster!$B$8="",0,IF($F55="",1,0))+IF(SkillsMaster!$B$9="",0,IF($G55="",1,0))+IF(SkillsMaster!$B$10="",0,IF($H55="",1,0))+IF(SkillsMaster!$B$11="",0,IF($I55="",1,0))+IF(SkillsMaster!$B$12="",0,IF($J55="",1,0))+IF(SkillsMaster!$B$13="",0,IF($K55="",1,0))+IF(SkillsMaster!$B$14="",0,IF($L55="",1,0))+IF(SkillsMaster!$B$15="",0,IF($M55="",1,0)))</f>
        <v/>
      </c>
      <c r="P55" s="17">
        <f>IF($C55="","",IF(AND($N55="",$O55=0),"Yes","No"))</f>
        <v/>
      </c>
    </row>
  </sheetData>
  <conditionalFormatting sqref="D6:D55">
    <cfRule type="expression" priority="1" dxfId="0">
      <formula>$D6="Fail"</formula>
    </cfRule>
  </conditionalFormatting>
  <conditionalFormatting sqref="E6:E55">
    <cfRule type="expression" priority="2" dxfId="0">
      <formula>$E6="Fail"</formula>
    </cfRule>
  </conditionalFormatting>
  <conditionalFormatting sqref="F6:F55">
    <cfRule type="expression" priority="3" dxfId="0">
      <formula>$F6="Fail"</formula>
    </cfRule>
  </conditionalFormatting>
  <conditionalFormatting sqref="G6:G55">
    <cfRule type="expression" priority="4" dxfId="0">
      <formula>$G6="Fail"</formula>
    </cfRule>
  </conditionalFormatting>
  <conditionalFormatting sqref="H6:H55">
    <cfRule type="expression" priority="5" dxfId="0">
      <formula>$H6="Fail"</formula>
    </cfRule>
  </conditionalFormatting>
  <conditionalFormatting sqref="I6:I55">
    <cfRule type="expression" priority="6" dxfId="0">
      <formula>$I6="Fail"</formula>
    </cfRule>
  </conditionalFormatting>
  <conditionalFormatting sqref="J6:J55">
    <cfRule type="expression" priority="7" dxfId="0">
      <formula>$J6="Fail"</formula>
    </cfRule>
  </conditionalFormatting>
  <conditionalFormatting sqref="K6:K55">
    <cfRule type="expression" priority="8" dxfId="0">
      <formula>$K6="Fail"</formula>
    </cfRule>
  </conditionalFormatting>
  <conditionalFormatting sqref="L6:L55">
    <cfRule type="expression" priority="9" dxfId="0">
      <formula>$L6="Fail"</formula>
    </cfRule>
  </conditionalFormatting>
  <conditionalFormatting sqref="M6:M55">
    <cfRule type="expression" priority="10" dxfId="0">
      <formula>$M6="Fail"</formula>
    </cfRule>
  </conditionalFormatting>
  <conditionalFormatting sqref="N6:N55">
    <cfRule type="expression" priority="11" dxfId="0">
      <formula>$N6&lt;&gt;""</formula>
    </cfRule>
  </conditionalFormatting>
  <dataValidations count="1">
    <dataValidation sqref="D6:D55 E6:E55 F6:F55 G6:G55 H6:H55 I6:I55 J6:J55 K6:K55 L6:L55 M6:M55" showDropDown="0" showInputMessage="0" showErrorMessage="1" allowBlank="1" type="list">
      <formula1>"Pass,Fail"</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IF($B6="","",SUMPRODUCT((UPPER(D6:AQ6)&lt;&gt;"X")*(TRANSPOSE(rngWMdue)&lt;&gt;"")*(TRANSPOSE(rngWMdue)&lt;TODAY())))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IF($B7="","",SUMPRODUCT((UPPER(D7:AQ7)&lt;&gt;"X")*(TRANSPOSE(rngWMdue)&lt;&gt;"")*(TRANSPOSE(rngWMdue)&lt;TODAY())))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IF($B8="","",SUMPRODUCT((UPPER(D8:AQ8)&lt;&gt;"X")*(TRANSPOSE(rngWMdue)&lt;&gt;"")*(TRANSPOSE(rngWMdue)&lt;TODAY())))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IF($B9="","",SUMPRODUCT((UPPER(D9:AQ9)&lt;&gt;"X")*(TRANSPOSE(rngWMdue)&lt;&gt;"")*(TRANSPOSE(rngWMdue)&lt;TODAY())))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IF($B10="","",SUMPRODUCT((UPPER(D10:AQ10)&lt;&gt;"X")*(TRANSPOSE(rngWMdue)&lt;&gt;"")*(TRANSPOSE(rngWMdue)&lt;TODAY())))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IF($B11="","",SUMPRODUCT((UPPER(D11:AQ11)&lt;&gt;"X")*(TRANSPOSE(rngWMdue)&lt;&gt;"")*(TRANSPOSE(rngWMdue)&lt;TODAY())))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IF($B12="","",SUMPRODUCT((UPPER(D12:AQ12)&lt;&gt;"X")*(TRANSPOSE(rngWMdue)&lt;&gt;"")*(TRANSPOSE(rngWMdue)&lt;TODAY())))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IF($B13="","",SUMPRODUCT((UPPER(D13:AQ13)&lt;&gt;"X")*(TRANSPOSE(rngWMdue)&lt;&gt;"")*(TRANSPOSE(rngWMdue)&lt;TODAY())))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IF($B14="","",SUMPRODUCT((UPPER(D14:AQ14)&lt;&gt;"X")*(TRANSPOSE(rngWMdue)&lt;&gt;"")*(TRANSPOSE(rngWMdue)&lt;TODAY())))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IF($B15="","",SUMPRODUCT((UPPER(D15:AQ15)&lt;&gt;"X")*(TRANSPOSE(rngWMdue)&lt;&gt;"")*(TRANSPOSE(rngWMdue)&lt;TODAY())))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IF($B16="","",SUMPRODUCT((UPPER(D16:AQ16)&lt;&gt;"X")*(TRANSPOSE(rngWMdue)&lt;&gt;"")*(TRANSPOSE(rngWMdue)&lt;TODAY())))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IF($B17="","",SUMPRODUCT((UPPER(D17:AQ17)&lt;&gt;"X")*(TRANSPOSE(rngWMdue)&lt;&gt;"")*(TRANSPOSE(rngWMdue)&lt;TODAY())))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IF($B18="","",SUMPRODUCT((UPPER(D18:AQ18)&lt;&gt;"X")*(TRANSPOSE(rngWMdue)&lt;&gt;"")*(TRANSPOSE(rngWMdue)&lt;TODAY())))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IF($B19="","",SUMPRODUCT((UPPER(D19:AQ19)&lt;&gt;"X")*(TRANSPOSE(rngWMdue)&lt;&gt;"")*(TRANSPOSE(rngWMdue)&lt;TODAY())))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IF($B20="","",SUMPRODUCT((UPPER(D20:AQ20)&lt;&gt;"X")*(TRANSPOSE(rngWMdue)&lt;&gt;"")*(TRANSPOSE(rngWMdue)&lt;TODAY())))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IF($B21="","",SUMPRODUCT((UPPER(D21:AQ21)&lt;&gt;"X")*(TRANSPOSE(rngWMdue)&lt;&gt;"")*(TRANSPOSE(rngWMdue)&lt;TODAY())))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IF($B22="","",SUMPRODUCT((UPPER(D22:AQ22)&lt;&gt;"X")*(TRANSPOSE(rngWMdue)&lt;&gt;"")*(TRANSPOSE(rngWMdue)&lt;TODAY())))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IF($B23="","",SUMPRODUCT((UPPER(D23:AQ23)&lt;&gt;"X")*(TRANSPOSE(rngWMdue)&lt;&gt;"")*(TRANSPOSE(rngWMdue)&lt;TODAY())))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IF($B24="","",SUMPRODUCT((UPPER(D24:AQ24)&lt;&gt;"X")*(TRANSPOSE(rngWMdue)&lt;&gt;"")*(TRANSPOSE(rngWMdue)&lt;TODAY())))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IF($B25="","",SUMPRODUCT((UPPER(D25:AQ25)&lt;&gt;"X")*(TRANSPOSE(rngWMdue)&lt;&gt;"")*(TRANSPOSE(rngWMdue)&lt;TODAY())))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IF($B26="","",SUMPRODUCT((UPPER(D26:AQ26)&lt;&gt;"X")*(TRANSPOSE(rngWMdue)&lt;&gt;"")*(TRANSPOSE(rngWMdue)&lt;TODAY())))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IF($B27="","",SUMPRODUCT((UPPER(D27:AQ27)&lt;&gt;"X")*(TRANSPOSE(rngWMdue)&lt;&gt;"")*(TRANSPOSE(rngWMdue)&lt;TODAY())))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IF($B28="","",SUMPRODUCT((UPPER(D28:AQ28)&lt;&gt;"X")*(TRANSPOSE(rngWMdue)&lt;&gt;"")*(TRANSPOSE(rngWMdue)&lt;TODAY())))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IF($B29="","",SUMPRODUCT((UPPER(D29:AQ29)&lt;&gt;"X")*(TRANSPOSE(rngWMdue)&lt;&gt;"")*(TRANSPOSE(rngWMdue)&lt;TODAY())))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IF($B30="","",SUMPRODUCT((UPPER(D30:AQ30)&lt;&gt;"X")*(TRANSPOSE(rngWMdue)&lt;&gt;"")*(TRANSPOSE(rngWMdue)&lt;TODAY())))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IF($B31="","",SUMPRODUCT((UPPER(D31:AQ31)&lt;&gt;"X")*(TRANSPOSE(rngWMdue)&lt;&gt;"")*(TRANSPOSE(rngWMdue)&lt;TODAY())))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IF($B32="","",SUMPRODUCT((UPPER(D32:AQ32)&lt;&gt;"X")*(TRANSPOSE(rngWMdue)&lt;&gt;"")*(TRANSPOSE(rngWMdue)&lt;TODAY())))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IF($B33="","",SUMPRODUCT((UPPER(D33:AQ33)&lt;&gt;"X")*(TRANSPOSE(rngWMdue)&lt;&gt;"")*(TRANSPOSE(rngWMdue)&lt;TODAY())))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IF($B34="","",SUMPRODUCT((UPPER(D34:AQ34)&lt;&gt;"X")*(TRANSPOSE(rngWMdue)&lt;&gt;"")*(TRANSPOSE(rngWMdue)&lt;TODAY())))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IF($B35="","",SUMPRODUCT((UPPER(D35:AQ35)&lt;&gt;"X")*(TRANSPOSE(rngWMdue)&lt;&gt;"")*(TRANSPOSE(rngWMdue)&lt;TODAY())))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IF($B36="","",SUMPRODUCT((UPPER(D36:AQ36)&lt;&gt;"X")*(TRANSPOSE(rngWMdue)&lt;&gt;"")*(TRANSPOSE(rngWMdue)&lt;TODAY())))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IF($B37="","",SUMPRODUCT((UPPER(D37:AQ37)&lt;&gt;"X")*(TRANSPOSE(rngWMdue)&lt;&gt;"")*(TRANSPOSE(rngWMdue)&lt;TODAY())))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IF($B38="","",SUMPRODUCT((UPPER(D38:AQ38)&lt;&gt;"X")*(TRANSPOSE(rngWMdue)&lt;&gt;"")*(TRANSPOSE(rngWMdue)&lt;TODAY())))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IF($B39="","",SUMPRODUCT((UPPER(D39:AQ39)&lt;&gt;"X")*(TRANSPOSE(rngWMdue)&lt;&gt;"")*(TRANSPOSE(rngWMdue)&lt;TODAY())))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IF($B40="","",SUMPRODUCT((UPPER(D40:AQ40)&lt;&gt;"X")*(TRANSPOSE(rngWMdue)&lt;&gt;"")*(TRANSPOSE(rngWMdue)&lt;TODAY())))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IF($B41="","",SUMPRODUCT((UPPER(D41:AQ41)&lt;&gt;"X")*(TRANSPOSE(rngWMdue)&lt;&gt;"")*(TRANSPOSE(rngWMdue)&lt;TODAY())))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IF($B42="","",SUMPRODUCT((UPPER(D42:AQ42)&lt;&gt;"X")*(TRANSPOSE(rngWMdue)&lt;&gt;"")*(TRANSPOSE(rngWMdue)&lt;TODAY())))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IF($B43="","",SUMPRODUCT((UPPER(D43:AQ43)&lt;&gt;"X")*(TRANSPOSE(rngWMdue)&lt;&gt;"")*(TRANSPOSE(rngWMdue)&lt;TODAY())))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IF($B44="","",SUMPRODUCT((UPPER(D44:AQ44)&lt;&gt;"X")*(TRANSPOSE(rngWMdue)&lt;&gt;"")*(TRANSPOSE(rngWMdue)&lt;TODAY())))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IF($B45="","",SUMPRODUCT((UPPER(D45:AQ45)&lt;&gt;"X")*(TRANSPOSE(rngWMdue)&lt;&gt;"")*(TRANSPOSE(rngWMdue)&lt;TODAY())))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IF($B46="","",SUMPRODUCT((UPPER(D46:AQ46)&lt;&gt;"X")*(TRANSPOSE(rngWMdue)&lt;&gt;"")*(TRANSPOSE(rngWMdue)&lt;TODAY())))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IF($B47="","",SUMPRODUCT((UPPER(D47:AQ47)&lt;&gt;"X")*(TRANSPOSE(rngWMdue)&lt;&gt;"")*(TRANSPOSE(rngWMdue)&lt;TODAY())))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IF($B48="","",SUMPRODUCT((UPPER(D48:AQ48)&lt;&gt;"X")*(TRANSPOSE(rngWMdue)&lt;&gt;"")*(TRANSPOSE(rngWMdue)&lt;TODAY())))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IF($B49="","",SUMPRODUCT((UPPER(D49:AQ49)&lt;&gt;"X")*(TRANSPOSE(rngWMdue)&lt;&gt;"")*(TRANSPOSE(rngWMdue)&lt;TODAY())))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IF($B50="","",SUMPRODUCT((UPPER(D50:AQ50)&lt;&gt;"X")*(TRANSPOSE(rngWMdue)&lt;&gt;"")*(TRANSPOSE(rngWMdue)&lt;TODAY())))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IF($B51="","",SUMPRODUCT((UPPER(D51:AQ51)&lt;&gt;"X")*(TRANSPOSE(rngWMdue)&lt;&gt;"")*(TRANSPOSE(rngWMdue)&lt;TODAY())))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IF($B52="","",SUMPRODUCT((UPPER(D52:AQ52)&lt;&gt;"X")*(TRANSPOSE(rngWMdue)&lt;&gt;"")*(TRANSPOSE(rngWMdue)&lt;TODAY())))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IF($B53="","",SUMPRODUCT((UPPER(D53:AQ53)&lt;&gt;"X")*(TRANSPOSE(rngWMdue)&lt;&gt;"")*(TRANSPOSE(rngWMdue)&lt;TODAY())))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IF($B54="","",SUMPRODUCT((UPPER(D54:AQ54)&lt;&gt;"X")*(TRANSPOSE(rngWMdue)&lt;&gt;"")*(TRANSPOSE(rngWMdue)&lt;TODAY())))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IF($B55="","",SUMPRODUCT((UPPER(D55:AQ55)&lt;&gt;"X")*(TRANSPOSE(rngWMdue)&lt;&gt;"")*(TRANSPOSE(rngWMdue)&lt;TODAY())))</f>
        <v/>
      </c>
      <c r="AT55" s="17">
        <f>IF($B55="","",IF(AS55=0,"Yes","No"))</f>
        <v/>
      </c>
    </row>
  </sheetData>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T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BASELINE columns are the ENTRY standard (policy manual); FINAL columns are graded against the approved PT Test Score Chart, which is the EXIT standard. They differ on purpose — cadets are expected to improve, so every final minimum is higher than its baseline, and the push-up protocol differs too (baseline 18 reps in 1:00, final 23 reps with no time limit). That is not a contradiction to reconcile. Raw values per event: bench lbs, jump inches, pushup/situp reps, agility &amp; 300m seconds, 1.5mi minutes DECIMAL (12:35 = 12.5833 — the engine converts to seconds to score it). Pts columns COMPUTE from the approved PT Test Score Chart in the rubric block on Settings: the points of the best tier the result reaches, 0 if it is below the Tier 1 minimum. Bench and vertical jump are baseline standards only and are not scored at the final. All five scored events must be recorded before Final PT Pass? resolves — until then it reads Incomplete, which blocks.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17">
        <f>IF($B6="","","n/a (baseline only)")</f>
        <v/>
      </c>
      <c r="U6" s="17">
        <f>IF($B6="","","n/a")</f>
        <v/>
      </c>
      <c r="V6" s="17">
        <f>IF($B6="","",IF($O6="","",IF(COUNT(INDEX(nrPTBands,1,0))&lt;5,"",SUMPRODUCT(MAX(($O6&gt;=INDEX(nrPTBands,1,0))*nrPTTierPts)))))</f>
        <v/>
      </c>
      <c r="W6" s="17">
        <f>IF($B6="","",IF($P6="","",IF(COUNT(INDEX(nrPTBands,2,0))&lt;5,"",SUMPRODUCT(MAX(($P6&gt;=INDEX(nrPTBands,2,0))*nrPTTierPts)))))</f>
        <v/>
      </c>
      <c r="X6" s="17">
        <f>IF($B6="","",IF($Q6="","",IF(COUNT(INDEX(nrPTBands,3,0))&lt;5,"",SUMPRODUCT(MAX(($Q6&lt;=INDEX(nrPTBands,3,0))*nrPTTierPts)))))</f>
        <v/>
      </c>
      <c r="Y6" s="17">
        <f>IF($B6="","",IF($R6="","",IF(COUNT(INDEX(nrPTBands,4,0))&lt;5,"",SUMPRODUCT(MAX(($R6*60&lt;=INDEX(nrPTBands,4,0))*nrPTTierPts)))))</f>
        <v/>
      </c>
      <c r="Z6" s="17">
        <f>IF($B6="","",IF($S6="","",IF(COUNT(INDEX(nrPTBands,5,0))&lt;5,"",SUMPRODUCT(MAX(($S6&lt;=INDEX(nrPTBands,5,0))*nrPTTierPts)))))</f>
        <v/>
      </c>
      <c r="AA6" s="17">
        <f>IF($B6="","",IF(COUNT($V6:$Z6)=0,"",SUM($V6:$Z6)))</f>
        <v/>
      </c>
      <c r="AB6" s="17">
        <f>IF($B6="","",IF($AA6="","",IF(cfgPTFinalMinPoints=0,"(rubric pending)",IF(COUNT($V6:$Z6)&lt;5,"Incomplete",IF($AA6&gt;=cfgPTFinalMinPoints,"Yes","No")))))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17">
        <f>IF($B7="","","n/a (baseline only)")</f>
        <v/>
      </c>
      <c r="U7" s="17">
        <f>IF($B7="","","n/a")</f>
        <v/>
      </c>
      <c r="V7" s="17">
        <f>IF($B7="","",IF($O7="","",IF(COUNT(INDEX(nrPTBands,1,0))&lt;5,"",SUMPRODUCT(MAX(($O7&gt;=INDEX(nrPTBands,1,0))*nrPTTierPts)))))</f>
        <v/>
      </c>
      <c r="W7" s="17">
        <f>IF($B7="","",IF($P7="","",IF(COUNT(INDEX(nrPTBands,2,0))&lt;5,"",SUMPRODUCT(MAX(($P7&gt;=INDEX(nrPTBands,2,0))*nrPTTierPts)))))</f>
        <v/>
      </c>
      <c r="X7" s="17">
        <f>IF($B7="","",IF($Q7="","",IF(COUNT(INDEX(nrPTBands,3,0))&lt;5,"",SUMPRODUCT(MAX(($Q7&lt;=INDEX(nrPTBands,3,0))*nrPTTierPts)))))</f>
        <v/>
      </c>
      <c r="Y7" s="17">
        <f>IF($B7="","",IF($R7="","",IF(COUNT(INDEX(nrPTBands,4,0))&lt;5,"",SUMPRODUCT(MAX(($R7*60&lt;=INDEX(nrPTBands,4,0))*nrPTTierPts)))))</f>
        <v/>
      </c>
      <c r="Z7" s="17">
        <f>IF($B7="","",IF($S7="","",IF(COUNT(INDEX(nrPTBands,5,0))&lt;5,"",SUMPRODUCT(MAX(($S7&lt;=INDEX(nrPTBands,5,0))*nrPTTierPts)))))</f>
        <v/>
      </c>
      <c r="AA7" s="17">
        <f>IF($B7="","",IF(COUNT($V7:$Z7)=0,"",SUM($V7:$Z7)))</f>
        <v/>
      </c>
      <c r="AB7" s="17">
        <f>IF($B7="","",IF($AA7="","",IF(cfgPTFinalMinPoints=0,"(rubric pending)",IF(COUNT($V7:$Z7)&lt;5,"Incomplete",IF($AA7&gt;=cfgPTFinalMinPoints,"Yes","No")))))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17">
        <f>IF($B8="","","n/a (baseline only)")</f>
        <v/>
      </c>
      <c r="U8" s="17">
        <f>IF($B8="","","n/a")</f>
        <v/>
      </c>
      <c r="V8" s="17">
        <f>IF($B8="","",IF($O8="","",IF(COUNT(INDEX(nrPTBands,1,0))&lt;5,"",SUMPRODUCT(MAX(($O8&gt;=INDEX(nrPTBands,1,0))*nrPTTierPts)))))</f>
        <v/>
      </c>
      <c r="W8" s="17">
        <f>IF($B8="","",IF($P8="","",IF(COUNT(INDEX(nrPTBands,2,0))&lt;5,"",SUMPRODUCT(MAX(($P8&gt;=INDEX(nrPTBands,2,0))*nrPTTierPts)))))</f>
        <v/>
      </c>
      <c r="X8" s="17">
        <f>IF($B8="","",IF($Q8="","",IF(COUNT(INDEX(nrPTBands,3,0))&lt;5,"",SUMPRODUCT(MAX(($Q8&lt;=INDEX(nrPTBands,3,0))*nrPTTierPts)))))</f>
        <v/>
      </c>
      <c r="Y8" s="17">
        <f>IF($B8="","",IF($R8="","",IF(COUNT(INDEX(nrPTBands,4,0))&lt;5,"",SUMPRODUCT(MAX(($R8*60&lt;=INDEX(nrPTBands,4,0))*nrPTTierPts)))))</f>
        <v/>
      </c>
      <c r="Z8" s="17">
        <f>IF($B8="","",IF($S8="","",IF(COUNT(INDEX(nrPTBands,5,0))&lt;5,"",SUMPRODUCT(MAX(($S8&lt;=INDEX(nrPTBands,5,0))*nrPTTierPts)))))</f>
        <v/>
      </c>
      <c r="AA8" s="17">
        <f>IF($B8="","",IF(COUNT($V8:$Z8)=0,"",SUM($V8:$Z8)))</f>
        <v/>
      </c>
      <c r="AB8" s="17">
        <f>IF($B8="","",IF($AA8="","",IF(cfgPTFinalMinPoints=0,"(rubric pending)",IF(COUNT($V8:$Z8)&lt;5,"Incomplete",IF($AA8&gt;=cfgPTFinalMinPoints,"Yes","No")))))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17">
        <f>IF($B9="","","n/a (baseline only)")</f>
        <v/>
      </c>
      <c r="U9" s="17">
        <f>IF($B9="","","n/a")</f>
        <v/>
      </c>
      <c r="V9" s="17">
        <f>IF($B9="","",IF($O9="","",IF(COUNT(INDEX(nrPTBands,1,0))&lt;5,"",SUMPRODUCT(MAX(($O9&gt;=INDEX(nrPTBands,1,0))*nrPTTierPts)))))</f>
        <v/>
      </c>
      <c r="W9" s="17">
        <f>IF($B9="","",IF($P9="","",IF(COUNT(INDEX(nrPTBands,2,0))&lt;5,"",SUMPRODUCT(MAX(($P9&gt;=INDEX(nrPTBands,2,0))*nrPTTierPts)))))</f>
        <v/>
      </c>
      <c r="X9" s="17">
        <f>IF($B9="","",IF($Q9="","",IF(COUNT(INDEX(nrPTBands,3,0))&lt;5,"",SUMPRODUCT(MAX(($Q9&lt;=INDEX(nrPTBands,3,0))*nrPTTierPts)))))</f>
        <v/>
      </c>
      <c r="Y9" s="17">
        <f>IF($B9="","",IF($R9="","",IF(COUNT(INDEX(nrPTBands,4,0))&lt;5,"",SUMPRODUCT(MAX(($R9*60&lt;=INDEX(nrPTBands,4,0))*nrPTTierPts)))))</f>
        <v/>
      </c>
      <c r="Z9" s="17">
        <f>IF($B9="","",IF($S9="","",IF(COUNT(INDEX(nrPTBands,5,0))&lt;5,"",SUMPRODUCT(MAX(($S9&lt;=INDEX(nrPTBands,5,0))*nrPTTierPts)))))</f>
        <v/>
      </c>
      <c r="AA9" s="17">
        <f>IF($B9="","",IF(COUNT($V9:$Z9)=0,"",SUM($V9:$Z9)))</f>
        <v/>
      </c>
      <c r="AB9" s="17">
        <f>IF($B9="","",IF($AA9="","",IF(cfgPTFinalMinPoints=0,"(rubric pending)",IF(COUNT($V9:$Z9)&lt;5,"Incomplete",IF($AA9&gt;=cfgPTFinalMinPoints,"Yes","No")))))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17">
        <f>IF($B10="","","n/a (baseline only)")</f>
        <v/>
      </c>
      <c r="U10" s="17">
        <f>IF($B10="","","n/a")</f>
        <v/>
      </c>
      <c r="V10" s="17">
        <f>IF($B10="","",IF($O10="","",IF(COUNT(INDEX(nrPTBands,1,0))&lt;5,"",SUMPRODUCT(MAX(($O10&gt;=INDEX(nrPTBands,1,0))*nrPTTierPts)))))</f>
        <v/>
      </c>
      <c r="W10" s="17">
        <f>IF($B10="","",IF($P10="","",IF(COUNT(INDEX(nrPTBands,2,0))&lt;5,"",SUMPRODUCT(MAX(($P10&gt;=INDEX(nrPTBands,2,0))*nrPTTierPts)))))</f>
        <v/>
      </c>
      <c r="X10" s="17">
        <f>IF($B10="","",IF($Q10="","",IF(COUNT(INDEX(nrPTBands,3,0))&lt;5,"",SUMPRODUCT(MAX(($Q10&lt;=INDEX(nrPTBands,3,0))*nrPTTierPts)))))</f>
        <v/>
      </c>
      <c r="Y10" s="17">
        <f>IF($B10="","",IF($R10="","",IF(COUNT(INDEX(nrPTBands,4,0))&lt;5,"",SUMPRODUCT(MAX(($R10*60&lt;=INDEX(nrPTBands,4,0))*nrPTTierPts)))))</f>
        <v/>
      </c>
      <c r="Z10" s="17">
        <f>IF($B10="","",IF($S10="","",IF(COUNT(INDEX(nrPTBands,5,0))&lt;5,"",SUMPRODUCT(MAX(($S10&lt;=INDEX(nrPTBands,5,0))*nrPTTierPts)))))</f>
        <v/>
      </c>
      <c r="AA10" s="17">
        <f>IF($B10="","",IF(COUNT($V10:$Z10)=0,"",SUM($V10:$Z10)))</f>
        <v/>
      </c>
      <c r="AB10" s="17">
        <f>IF($B10="","",IF($AA10="","",IF(cfgPTFinalMinPoints=0,"(rubric pending)",IF(COUNT($V10:$Z10)&lt;5,"Incomplete",IF($AA10&gt;=cfgPTFinalMinPoints,"Yes","No")))))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17">
        <f>IF($B11="","","n/a (baseline only)")</f>
        <v/>
      </c>
      <c r="U11" s="17">
        <f>IF($B11="","","n/a")</f>
        <v/>
      </c>
      <c r="V11" s="17">
        <f>IF($B11="","",IF($O11="","",IF(COUNT(INDEX(nrPTBands,1,0))&lt;5,"",SUMPRODUCT(MAX(($O11&gt;=INDEX(nrPTBands,1,0))*nrPTTierPts)))))</f>
        <v/>
      </c>
      <c r="W11" s="17">
        <f>IF($B11="","",IF($P11="","",IF(COUNT(INDEX(nrPTBands,2,0))&lt;5,"",SUMPRODUCT(MAX(($P11&gt;=INDEX(nrPTBands,2,0))*nrPTTierPts)))))</f>
        <v/>
      </c>
      <c r="X11" s="17">
        <f>IF($B11="","",IF($Q11="","",IF(COUNT(INDEX(nrPTBands,3,0))&lt;5,"",SUMPRODUCT(MAX(($Q11&lt;=INDEX(nrPTBands,3,0))*nrPTTierPts)))))</f>
        <v/>
      </c>
      <c r="Y11" s="17">
        <f>IF($B11="","",IF($R11="","",IF(COUNT(INDEX(nrPTBands,4,0))&lt;5,"",SUMPRODUCT(MAX(($R11*60&lt;=INDEX(nrPTBands,4,0))*nrPTTierPts)))))</f>
        <v/>
      </c>
      <c r="Z11" s="17">
        <f>IF($B11="","",IF($S11="","",IF(COUNT(INDEX(nrPTBands,5,0))&lt;5,"",SUMPRODUCT(MAX(($S11&lt;=INDEX(nrPTBands,5,0))*nrPTTierPts)))))</f>
        <v/>
      </c>
      <c r="AA11" s="17">
        <f>IF($B11="","",IF(COUNT($V11:$Z11)=0,"",SUM($V11:$Z11)))</f>
        <v/>
      </c>
      <c r="AB11" s="17">
        <f>IF($B11="","",IF($AA11="","",IF(cfgPTFinalMinPoints=0,"(rubric pending)",IF(COUNT($V11:$Z11)&lt;5,"Incomplete",IF($AA11&gt;=cfgPTFinalMinPoints,"Yes","No")))))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17">
        <f>IF($B12="","","n/a (baseline only)")</f>
        <v/>
      </c>
      <c r="U12" s="17">
        <f>IF($B12="","","n/a")</f>
        <v/>
      </c>
      <c r="V12" s="17">
        <f>IF($B12="","",IF($O12="","",IF(COUNT(INDEX(nrPTBands,1,0))&lt;5,"",SUMPRODUCT(MAX(($O12&gt;=INDEX(nrPTBands,1,0))*nrPTTierPts)))))</f>
        <v/>
      </c>
      <c r="W12" s="17">
        <f>IF($B12="","",IF($P12="","",IF(COUNT(INDEX(nrPTBands,2,0))&lt;5,"",SUMPRODUCT(MAX(($P12&gt;=INDEX(nrPTBands,2,0))*nrPTTierPts)))))</f>
        <v/>
      </c>
      <c r="X12" s="17">
        <f>IF($B12="","",IF($Q12="","",IF(COUNT(INDEX(nrPTBands,3,0))&lt;5,"",SUMPRODUCT(MAX(($Q12&lt;=INDEX(nrPTBands,3,0))*nrPTTierPts)))))</f>
        <v/>
      </c>
      <c r="Y12" s="17">
        <f>IF($B12="","",IF($R12="","",IF(COUNT(INDEX(nrPTBands,4,0))&lt;5,"",SUMPRODUCT(MAX(($R12*60&lt;=INDEX(nrPTBands,4,0))*nrPTTierPts)))))</f>
        <v/>
      </c>
      <c r="Z12" s="17">
        <f>IF($B12="","",IF($S12="","",IF(COUNT(INDEX(nrPTBands,5,0))&lt;5,"",SUMPRODUCT(MAX(($S12&lt;=INDEX(nrPTBands,5,0))*nrPTTierPts)))))</f>
        <v/>
      </c>
      <c r="AA12" s="17">
        <f>IF($B12="","",IF(COUNT($V12:$Z12)=0,"",SUM($V12:$Z12)))</f>
        <v/>
      </c>
      <c r="AB12" s="17">
        <f>IF($B12="","",IF($AA12="","",IF(cfgPTFinalMinPoints=0,"(rubric pending)",IF(COUNT($V12:$Z12)&lt;5,"Incomplete",IF($AA12&gt;=cfgPTFinalMinPoints,"Yes","No")))))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17">
        <f>IF($B13="","","n/a (baseline only)")</f>
        <v/>
      </c>
      <c r="U13" s="17">
        <f>IF($B13="","","n/a")</f>
        <v/>
      </c>
      <c r="V13" s="17">
        <f>IF($B13="","",IF($O13="","",IF(COUNT(INDEX(nrPTBands,1,0))&lt;5,"",SUMPRODUCT(MAX(($O13&gt;=INDEX(nrPTBands,1,0))*nrPTTierPts)))))</f>
        <v/>
      </c>
      <c r="W13" s="17">
        <f>IF($B13="","",IF($P13="","",IF(COUNT(INDEX(nrPTBands,2,0))&lt;5,"",SUMPRODUCT(MAX(($P13&gt;=INDEX(nrPTBands,2,0))*nrPTTierPts)))))</f>
        <v/>
      </c>
      <c r="X13" s="17">
        <f>IF($B13="","",IF($Q13="","",IF(COUNT(INDEX(nrPTBands,3,0))&lt;5,"",SUMPRODUCT(MAX(($Q13&lt;=INDEX(nrPTBands,3,0))*nrPTTierPts)))))</f>
        <v/>
      </c>
      <c r="Y13" s="17">
        <f>IF($B13="","",IF($R13="","",IF(COUNT(INDEX(nrPTBands,4,0))&lt;5,"",SUMPRODUCT(MAX(($R13*60&lt;=INDEX(nrPTBands,4,0))*nrPTTierPts)))))</f>
        <v/>
      </c>
      <c r="Z13" s="17">
        <f>IF($B13="","",IF($S13="","",IF(COUNT(INDEX(nrPTBands,5,0))&lt;5,"",SUMPRODUCT(MAX(($S13&lt;=INDEX(nrPTBands,5,0))*nrPTTierPts)))))</f>
        <v/>
      </c>
      <c r="AA13" s="17">
        <f>IF($B13="","",IF(COUNT($V13:$Z13)=0,"",SUM($V13:$Z13)))</f>
        <v/>
      </c>
      <c r="AB13" s="17">
        <f>IF($B13="","",IF($AA13="","",IF(cfgPTFinalMinPoints=0,"(rubric pending)",IF(COUNT($V13:$Z13)&lt;5,"Incomplete",IF($AA13&gt;=cfgPTFinalMinPoints,"Yes","No")))))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17">
        <f>IF($B14="","","n/a (baseline only)")</f>
        <v/>
      </c>
      <c r="U14" s="17">
        <f>IF($B14="","","n/a")</f>
        <v/>
      </c>
      <c r="V14" s="17">
        <f>IF($B14="","",IF($O14="","",IF(COUNT(INDEX(nrPTBands,1,0))&lt;5,"",SUMPRODUCT(MAX(($O14&gt;=INDEX(nrPTBands,1,0))*nrPTTierPts)))))</f>
        <v/>
      </c>
      <c r="W14" s="17">
        <f>IF($B14="","",IF($P14="","",IF(COUNT(INDEX(nrPTBands,2,0))&lt;5,"",SUMPRODUCT(MAX(($P14&gt;=INDEX(nrPTBands,2,0))*nrPTTierPts)))))</f>
        <v/>
      </c>
      <c r="X14" s="17">
        <f>IF($B14="","",IF($Q14="","",IF(COUNT(INDEX(nrPTBands,3,0))&lt;5,"",SUMPRODUCT(MAX(($Q14&lt;=INDEX(nrPTBands,3,0))*nrPTTierPts)))))</f>
        <v/>
      </c>
      <c r="Y14" s="17">
        <f>IF($B14="","",IF($R14="","",IF(COUNT(INDEX(nrPTBands,4,0))&lt;5,"",SUMPRODUCT(MAX(($R14*60&lt;=INDEX(nrPTBands,4,0))*nrPTTierPts)))))</f>
        <v/>
      </c>
      <c r="Z14" s="17">
        <f>IF($B14="","",IF($S14="","",IF(COUNT(INDEX(nrPTBands,5,0))&lt;5,"",SUMPRODUCT(MAX(($S14&lt;=INDEX(nrPTBands,5,0))*nrPTTierPts)))))</f>
        <v/>
      </c>
      <c r="AA14" s="17">
        <f>IF($B14="","",IF(COUNT($V14:$Z14)=0,"",SUM($V14:$Z14)))</f>
        <v/>
      </c>
      <c r="AB14" s="17">
        <f>IF($B14="","",IF($AA14="","",IF(cfgPTFinalMinPoints=0,"(rubric pending)",IF(COUNT($V14:$Z14)&lt;5,"Incomplete",IF($AA14&gt;=cfgPTFinalMinPoints,"Yes","No")))))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17">
        <f>IF($B15="","","n/a (baseline only)")</f>
        <v/>
      </c>
      <c r="U15" s="17">
        <f>IF($B15="","","n/a")</f>
        <v/>
      </c>
      <c r="V15" s="17">
        <f>IF($B15="","",IF($O15="","",IF(COUNT(INDEX(nrPTBands,1,0))&lt;5,"",SUMPRODUCT(MAX(($O15&gt;=INDEX(nrPTBands,1,0))*nrPTTierPts)))))</f>
        <v/>
      </c>
      <c r="W15" s="17">
        <f>IF($B15="","",IF($P15="","",IF(COUNT(INDEX(nrPTBands,2,0))&lt;5,"",SUMPRODUCT(MAX(($P15&gt;=INDEX(nrPTBands,2,0))*nrPTTierPts)))))</f>
        <v/>
      </c>
      <c r="X15" s="17">
        <f>IF($B15="","",IF($Q15="","",IF(COUNT(INDEX(nrPTBands,3,0))&lt;5,"",SUMPRODUCT(MAX(($Q15&lt;=INDEX(nrPTBands,3,0))*nrPTTierPts)))))</f>
        <v/>
      </c>
      <c r="Y15" s="17">
        <f>IF($B15="","",IF($R15="","",IF(COUNT(INDEX(nrPTBands,4,0))&lt;5,"",SUMPRODUCT(MAX(($R15*60&lt;=INDEX(nrPTBands,4,0))*nrPTTierPts)))))</f>
        <v/>
      </c>
      <c r="Z15" s="17">
        <f>IF($B15="","",IF($S15="","",IF(COUNT(INDEX(nrPTBands,5,0))&lt;5,"",SUMPRODUCT(MAX(($S15&lt;=INDEX(nrPTBands,5,0))*nrPTTierPts)))))</f>
        <v/>
      </c>
      <c r="AA15" s="17">
        <f>IF($B15="","",IF(COUNT($V15:$Z15)=0,"",SUM($V15:$Z15)))</f>
        <v/>
      </c>
      <c r="AB15" s="17">
        <f>IF($B15="","",IF($AA15="","",IF(cfgPTFinalMinPoints=0,"(rubric pending)",IF(COUNT($V15:$Z15)&lt;5,"Incomplete",IF($AA15&gt;=cfgPTFinalMinPoints,"Yes","No")))))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17">
        <f>IF($B16="","","n/a (baseline only)")</f>
        <v/>
      </c>
      <c r="U16" s="17">
        <f>IF($B16="","","n/a")</f>
        <v/>
      </c>
      <c r="V16" s="17">
        <f>IF($B16="","",IF($O16="","",IF(COUNT(INDEX(nrPTBands,1,0))&lt;5,"",SUMPRODUCT(MAX(($O16&gt;=INDEX(nrPTBands,1,0))*nrPTTierPts)))))</f>
        <v/>
      </c>
      <c r="W16" s="17">
        <f>IF($B16="","",IF($P16="","",IF(COUNT(INDEX(nrPTBands,2,0))&lt;5,"",SUMPRODUCT(MAX(($P16&gt;=INDEX(nrPTBands,2,0))*nrPTTierPts)))))</f>
        <v/>
      </c>
      <c r="X16" s="17">
        <f>IF($B16="","",IF($Q16="","",IF(COUNT(INDEX(nrPTBands,3,0))&lt;5,"",SUMPRODUCT(MAX(($Q16&lt;=INDEX(nrPTBands,3,0))*nrPTTierPts)))))</f>
        <v/>
      </c>
      <c r="Y16" s="17">
        <f>IF($B16="","",IF($R16="","",IF(COUNT(INDEX(nrPTBands,4,0))&lt;5,"",SUMPRODUCT(MAX(($R16*60&lt;=INDEX(nrPTBands,4,0))*nrPTTierPts)))))</f>
        <v/>
      </c>
      <c r="Z16" s="17">
        <f>IF($B16="","",IF($S16="","",IF(COUNT(INDEX(nrPTBands,5,0))&lt;5,"",SUMPRODUCT(MAX(($S16&lt;=INDEX(nrPTBands,5,0))*nrPTTierPts)))))</f>
        <v/>
      </c>
      <c r="AA16" s="17">
        <f>IF($B16="","",IF(COUNT($V16:$Z16)=0,"",SUM($V16:$Z16)))</f>
        <v/>
      </c>
      <c r="AB16" s="17">
        <f>IF($B16="","",IF($AA16="","",IF(cfgPTFinalMinPoints=0,"(rubric pending)",IF(COUNT($V16:$Z16)&lt;5,"Incomplete",IF($AA16&gt;=cfgPTFinalMinPoints,"Yes","No")))))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17">
        <f>IF($B17="","","n/a (baseline only)")</f>
        <v/>
      </c>
      <c r="U17" s="17">
        <f>IF($B17="","","n/a")</f>
        <v/>
      </c>
      <c r="V17" s="17">
        <f>IF($B17="","",IF($O17="","",IF(COUNT(INDEX(nrPTBands,1,0))&lt;5,"",SUMPRODUCT(MAX(($O17&gt;=INDEX(nrPTBands,1,0))*nrPTTierPts)))))</f>
        <v/>
      </c>
      <c r="W17" s="17">
        <f>IF($B17="","",IF($P17="","",IF(COUNT(INDEX(nrPTBands,2,0))&lt;5,"",SUMPRODUCT(MAX(($P17&gt;=INDEX(nrPTBands,2,0))*nrPTTierPts)))))</f>
        <v/>
      </c>
      <c r="X17" s="17">
        <f>IF($B17="","",IF($Q17="","",IF(COUNT(INDEX(nrPTBands,3,0))&lt;5,"",SUMPRODUCT(MAX(($Q17&lt;=INDEX(nrPTBands,3,0))*nrPTTierPts)))))</f>
        <v/>
      </c>
      <c r="Y17" s="17">
        <f>IF($B17="","",IF($R17="","",IF(COUNT(INDEX(nrPTBands,4,0))&lt;5,"",SUMPRODUCT(MAX(($R17*60&lt;=INDEX(nrPTBands,4,0))*nrPTTierPts)))))</f>
        <v/>
      </c>
      <c r="Z17" s="17">
        <f>IF($B17="","",IF($S17="","",IF(COUNT(INDEX(nrPTBands,5,0))&lt;5,"",SUMPRODUCT(MAX(($S17&lt;=INDEX(nrPTBands,5,0))*nrPTTierPts)))))</f>
        <v/>
      </c>
      <c r="AA17" s="17">
        <f>IF($B17="","",IF(COUNT($V17:$Z17)=0,"",SUM($V17:$Z17)))</f>
        <v/>
      </c>
      <c r="AB17" s="17">
        <f>IF($B17="","",IF($AA17="","",IF(cfgPTFinalMinPoints=0,"(rubric pending)",IF(COUNT($V17:$Z17)&lt;5,"Incomplete",IF($AA17&gt;=cfgPTFinalMinPoints,"Yes","No")))))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17">
        <f>IF($B18="","","n/a (baseline only)")</f>
        <v/>
      </c>
      <c r="U18" s="17">
        <f>IF($B18="","","n/a")</f>
        <v/>
      </c>
      <c r="V18" s="17">
        <f>IF($B18="","",IF($O18="","",IF(COUNT(INDEX(nrPTBands,1,0))&lt;5,"",SUMPRODUCT(MAX(($O18&gt;=INDEX(nrPTBands,1,0))*nrPTTierPts)))))</f>
        <v/>
      </c>
      <c r="W18" s="17">
        <f>IF($B18="","",IF($P18="","",IF(COUNT(INDEX(nrPTBands,2,0))&lt;5,"",SUMPRODUCT(MAX(($P18&gt;=INDEX(nrPTBands,2,0))*nrPTTierPts)))))</f>
        <v/>
      </c>
      <c r="X18" s="17">
        <f>IF($B18="","",IF($Q18="","",IF(COUNT(INDEX(nrPTBands,3,0))&lt;5,"",SUMPRODUCT(MAX(($Q18&lt;=INDEX(nrPTBands,3,0))*nrPTTierPts)))))</f>
        <v/>
      </c>
      <c r="Y18" s="17">
        <f>IF($B18="","",IF($R18="","",IF(COUNT(INDEX(nrPTBands,4,0))&lt;5,"",SUMPRODUCT(MAX(($R18*60&lt;=INDEX(nrPTBands,4,0))*nrPTTierPts)))))</f>
        <v/>
      </c>
      <c r="Z18" s="17">
        <f>IF($B18="","",IF($S18="","",IF(COUNT(INDEX(nrPTBands,5,0))&lt;5,"",SUMPRODUCT(MAX(($S18&lt;=INDEX(nrPTBands,5,0))*nrPTTierPts)))))</f>
        <v/>
      </c>
      <c r="AA18" s="17">
        <f>IF($B18="","",IF(COUNT($V18:$Z18)=0,"",SUM($V18:$Z18)))</f>
        <v/>
      </c>
      <c r="AB18" s="17">
        <f>IF($B18="","",IF($AA18="","",IF(cfgPTFinalMinPoints=0,"(rubric pending)",IF(COUNT($V18:$Z18)&lt;5,"Incomplete",IF($AA18&gt;=cfgPTFinalMinPoints,"Yes","No")))))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17">
        <f>IF($B19="","","n/a (baseline only)")</f>
        <v/>
      </c>
      <c r="U19" s="17">
        <f>IF($B19="","","n/a")</f>
        <v/>
      </c>
      <c r="V19" s="17">
        <f>IF($B19="","",IF($O19="","",IF(COUNT(INDEX(nrPTBands,1,0))&lt;5,"",SUMPRODUCT(MAX(($O19&gt;=INDEX(nrPTBands,1,0))*nrPTTierPts)))))</f>
        <v/>
      </c>
      <c r="W19" s="17">
        <f>IF($B19="","",IF($P19="","",IF(COUNT(INDEX(nrPTBands,2,0))&lt;5,"",SUMPRODUCT(MAX(($P19&gt;=INDEX(nrPTBands,2,0))*nrPTTierPts)))))</f>
        <v/>
      </c>
      <c r="X19" s="17">
        <f>IF($B19="","",IF($Q19="","",IF(COUNT(INDEX(nrPTBands,3,0))&lt;5,"",SUMPRODUCT(MAX(($Q19&lt;=INDEX(nrPTBands,3,0))*nrPTTierPts)))))</f>
        <v/>
      </c>
      <c r="Y19" s="17">
        <f>IF($B19="","",IF($R19="","",IF(COUNT(INDEX(nrPTBands,4,0))&lt;5,"",SUMPRODUCT(MAX(($R19*60&lt;=INDEX(nrPTBands,4,0))*nrPTTierPts)))))</f>
        <v/>
      </c>
      <c r="Z19" s="17">
        <f>IF($B19="","",IF($S19="","",IF(COUNT(INDEX(nrPTBands,5,0))&lt;5,"",SUMPRODUCT(MAX(($S19&lt;=INDEX(nrPTBands,5,0))*nrPTTierPts)))))</f>
        <v/>
      </c>
      <c r="AA19" s="17">
        <f>IF($B19="","",IF(COUNT($V19:$Z19)=0,"",SUM($V19:$Z19)))</f>
        <v/>
      </c>
      <c r="AB19" s="17">
        <f>IF($B19="","",IF($AA19="","",IF(cfgPTFinalMinPoints=0,"(rubric pending)",IF(COUNT($V19:$Z19)&lt;5,"Incomplete",IF($AA19&gt;=cfgPTFinalMinPoints,"Yes","No")))))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17">
        <f>IF($B20="","","n/a (baseline only)")</f>
        <v/>
      </c>
      <c r="U20" s="17">
        <f>IF($B20="","","n/a")</f>
        <v/>
      </c>
      <c r="V20" s="17">
        <f>IF($B20="","",IF($O20="","",IF(COUNT(INDEX(nrPTBands,1,0))&lt;5,"",SUMPRODUCT(MAX(($O20&gt;=INDEX(nrPTBands,1,0))*nrPTTierPts)))))</f>
        <v/>
      </c>
      <c r="W20" s="17">
        <f>IF($B20="","",IF($P20="","",IF(COUNT(INDEX(nrPTBands,2,0))&lt;5,"",SUMPRODUCT(MAX(($P20&gt;=INDEX(nrPTBands,2,0))*nrPTTierPts)))))</f>
        <v/>
      </c>
      <c r="X20" s="17">
        <f>IF($B20="","",IF($Q20="","",IF(COUNT(INDEX(nrPTBands,3,0))&lt;5,"",SUMPRODUCT(MAX(($Q20&lt;=INDEX(nrPTBands,3,0))*nrPTTierPts)))))</f>
        <v/>
      </c>
      <c r="Y20" s="17">
        <f>IF($B20="","",IF($R20="","",IF(COUNT(INDEX(nrPTBands,4,0))&lt;5,"",SUMPRODUCT(MAX(($R20*60&lt;=INDEX(nrPTBands,4,0))*nrPTTierPts)))))</f>
        <v/>
      </c>
      <c r="Z20" s="17">
        <f>IF($B20="","",IF($S20="","",IF(COUNT(INDEX(nrPTBands,5,0))&lt;5,"",SUMPRODUCT(MAX(($S20&lt;=INDEX(nrPTBands,5,0))*nrPTTierPts)))))</f>
        <v/>
      </c>
      <c r="AA20" s="17">
        <f>IF($B20="","",IF(COUNT($V20:$Z20)=0,"",SUM($V20:$Z20)))</f>
        <v/>
      </c>
      <c r="AB20" s="17">
        <f>IF($B20="","",IF($AA20="","",IF(cfgPTFinalMinPoints=0,"(rubric pending)",IF(COUNT($V20:$Z20)&lt;5,"Incomplete",IF($AA20&gt;=cfgPTFinalMinPoints,"Yes","No")))))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17">
        <f>IF($B21="","","n/a (baseline only)")</f>
        <v/>
      </c>
      <c r="U21" s="17">
        <f>IF($B21="","","n/a")</f>
        <v/>
      </c>
      <c r="V21" s="17">
        <f>IF($B21="","",IF($O21="","",IF(COUNT(INDEX(nrPTBands,1,0))&lt;5,"",SUMPRODUCT(MAX(($O21&gt;=INDEX(nrPTBands,1,0))*nrPTTierPts)))))</f>
        <v/>
      </c>
      <c r="W21" s="17">
        <f>IF($B21="","",IF($P21="","",IF(COUNT(INDEX(nrPTBands,2,0))&lt;5,"",SUMPRODUCT(MAX(($P21&gt;=INDEX(nrPTBands,2,0))*nrPTTierPts)))))</f>
        <v/>
      </c>
      <c r="X21" s="17">
        <f>IF($B21="","",IF($Q21="","",IF(COUNT(INDEX(nrPTBands,3,0))&lt;5,"",SUMPRODUCT(MAX(($Q21&lt;=INDEX(nrPTBands,3,0))*nrPTTierPts)))))</f>
        <v/>
      </c>
      <c r="Y21" s="17">
        <f>IF($B21="","",IF($R21="","",IF(COUNT(INDEX(nrPTBands,4,0))&lt;5,"",SUMPRODUCT(MAX(($R21*60&lt;=INDEX(nrPTBands,4,0))*nrPTTierPts)))))</f>
        <v/>
      </c>
      <c r="Z21" s="17">
        <f>IF($B21="","",IF($S21="","",IF(COUNT(INDEX(nrPTBands,5,0))&lt;5,"",SUMPRODUCT(MAX(($S21&lt;=INDEX(nrPTBands,5,0))*nrPTTierPts)))))</f>
        <v/>
      </c>
      <c r="AA21" s="17">
        <f>IF($B21="","",IF(COUNT($V21:$Z21)=0,"",SUM($V21:$Z21)))</f>
        <v/>
      </c>
      <c r="AB21" s="17">
        <f>IF($B21="","",IF($AA21="","",IF(cfgPTFinalMinPoints=0,"(rubric pending)",IF(COUNT($V21:$Z21)&lt;5,"Incomplete",IF($AA21&gt;=cfgPTFinalMinPoints,"Yes","No")))))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17">
        <f>IF($B22="","","n/a (baseline only)")</f>
        <v/>
      </c>
      <c r="U22" s="17">
        <f>IF($B22="","","n/a")</f>
        <v/>
      </c>
      <c r="V22" s="17">
        <f>IF($B22="","",IF($O22="","",IF(COUNT(INDEX(nrPTBands,1,0))&lt;5,"",SUMPRODUCT(MAX(($O22&gt;=INDEX(nrPTBands,1,0))*nrPTTierPts)))))</f>
        <v/>
      </c>
      <c r="W22" s="17">
        <f>IF($B22="","",IF($P22="","",IF(COUNT(INDEX(nrPTBands,2,0))&lt;5,"",SUMPRODUCT(MAX(($P22&gt;=INDEX(nrPTBands,2,0))*nrPTTierPts)))))</f>
        <v/>
      </c>
      <c r="X22" s="17">
        <f>IF($B22="","",IF($Q22="","",IF(COUNT(INDEX(nrPTBands,3,0))&lt;5,"",SUMPRODUCT(MAX(($Q22&lt;=INDEX(nrPTBands,3,0))*nrPTTierPts)))))</f>
        <v/>
      </c>
      <c r="Y22" s="17">
        <f>IF($B22="","",IF($R22="","",IF(COUNT(INDEX(nrPTBands,4,0))&lt;5,"",SUMPRODUCT(MAX(($R22*60&lt;=INDEX(nrPTBands,4,0))*nrPTTierPts)))))</f>
        <v/>
      </c>
      <c r="Z22" s="17">
        <f>IF($B22="","",IF($S22="","",IF(COUNT(INDEX(nrPTBands,5,0))&lt;5,"",SUMPRODUCT(MAX(($S22&lt;=INDEX(nrPTBands,5,0))*nrPTTierPts)))))</f>
        <v/>
      </c>
      <c r="AA22" s="17">
        <f>IF($B22="","",IF(COUNT($V22:$Z22)=0,"",SUM($V22:$Z22)))</f>
        <v/>
      </c>
      <c r="AB22" s="17">
        <f>IF($B22="","",IF($AA22="","",IF(cfgPTFinalMinPoints=0,"(rubric pending)",IF(COUNT($V22:$Z22)&lt;5,"Incomplete",IF($AA22&gt;=cfgPTFinalMinPoints,"Yes","No")))))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17">
        <f>IF($B23="","","n/a (baseline only)")</f>
        <v/>
      </c>
      <c r="U23" s="17">
        <f>IF($B23="","","n/a")</f>
        <v/>
      </c>
      <c r="V23" s="17">
        <f>IF($B23="","",IF($O23="","",IF(COUNT(INDEX(nrPTBands,1,0))&lt;5,"",SUMPRODUCT(MAX(($O23&gt;=INDEX(nrPTBands,1,0))*nrPTTierPts)))))</f>
        <v/>
      </c>
      <c r="W23" s="17">
        <f>IF($B23="","",IF($P23="","",IF(COUNT(INDEX(nrPTBands,2,0))&lt;5,"",SUMPRODUCT(MAX(($P23&gt;=INDEX(nrPTBands,2,0))*nrPTTierPts)))))</f>
        <v/>
      </c>
      <c r="X23" s="17">
        <f>IF($B23="","",IF($Q23="","",IF(COUNT(INDEX(nrPTBands,3,0))&lt;5,"",SUMPRODUCT(MAX(($Q23&lt;=INDEX(nrPTBands,3,0))*nrPTTierPts)))))</f>
        <v/>
      </c>
      <c r="Y23" s="17">
        <f>IF($B23="","",IF($R23="","",IF(COUNT(INDEX(nrPTBands,4,0))&lt;5,"",SUMPRODUCT(MAX(($R23*60&lt;=INDEX(nrPTBands,4,0))*nrPTTierPts)))))</f>
        <v/>
      </c>
      <c r="Z23" s="17">
        <f>IF($B23="","",IF($S23="","",IF(COUNT(INDEX(nrPTBands,5,0))&lt;5,"",SUMPRODUCT(MAX(($S23&lt;=INDEX(nrPTBands,5,0))*nrPTTierPts)))))</f>
        <v/>
      </c>
      <c r="AA23" s="17">
        <f>IF($B23="","",IF(COUNT($V23:$Z23)=0,"",SUM($V23:$Z23)))</f>
        <v/>
      </c>
      <c r="AB23" s="17">
        <f>IF($B23="","",IF($AA23="","",IF(cfgPTFinalMinPoints=0,"(rubric pending)",IF(COUNT($V23:$Z23)&lt;5,"Incomplete",IF($AA23&gt;=cfgPTFinalMinPoints,"Yes","No")))))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17">
        <f>IF($B24="","","n/a (baseline only)")</f>
        <v/>
      </c>
      <c r="U24" s="17">
        <f>IF($B24="","","n/a")</f>
        <v/>
      </c>
      <c r="V24" s="17">
        <f>IF($B24="","",IF($O24="","",IF(COUNT(INDEX(nrPTBands,1,0))&lt;5,"",SUMPRODUCT(MAX(($O24&gt;=INDEX(nrPTBands,1,0))*nrPTTierPts)))))</f>
        <v/>
      </c>
      <c r="W24" s="17">
        <f>IF($B24="","",IF($P24="","",IF(COUNT(INDEX(nrPTBands,2,0))&lt;5,"",SUMPRODUCT(MAX(($P24&gt;=INDEX(nrPTBands,2,0))*nrPTTierPts)))))</f>
        <v/>
      </c>
      <c r="X24" s="17">
        <f>IF($B24="","",IF($Q24="","",IF(COUNT(INDEX(nrPTBands,3,0))&lt;5,"",SUMPRODUCT(MAX(($Q24&lt;=INDEX(nrPTBands,3,0))*nrPTTierPts)))))</f>
        <v/>
      </c>
      <c r="Y24" s="17">
        <f>IF($B24="","",IF($R24="","",IF(COUNT(INDEX(nrPTBands,4,0))&lt;5,"",SUMPRODUCT(MAX(($R24*60&lt;=INDEX(nrPTBands,4,0))*nrPTTierPts)))))</f>
        <v/>
      </c>
      <c r="Z24" s="17">
        <f>IF($B24="","",IF($S24="","",IF(COUNT(INDEX(nrPTBands,5,0))&lt;5,"",SUMPRODUCT(MAX(($S24&lt;=INDEX(nrPTBands,5,0))*nrPTTierPts)))))</f>
        <v/>
      </c>
      <c r="AA24" s="17">
        <f>IF($B24="","",IF(COUNT($V24:$Z24)=0,"",SUM($V24:$Z24)))</f>
        <v/>
      </c>
      <c r="AB24" s="17">
        <f>IF($B24="","",IF($AA24="","",IF(cfgPTFinalMinPoints=0,"(rubric pending)",IF(COUNT($V24:$Z24)&lt;5,"Incomplete",IF($AA24&gt;=cfgPTFinalMinPoints,"Yes","No")))))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17">
        <f>IF($B25="","","n/a (baseline only)")</f>
        <v/>
      </c>
      <c r="U25" s="17">
        <f>IF($B25="","","n/a")</f>
        <v/>
      </c>
      <c r="V25" s="17">
        <f>IF($B25="","",IF($O25="","",IF(COUNT(INDEX(nrPTBands,1,0))&lt;5,"",SUMPRODUCT(MAX(($O25&gt;=INDEX(nrPTBands,1,0))*nrPTTierPts)))))</f>
        <v/>
      </c>
      <c r="W25" s="17">
        <f>IF($B25="","",IF($P25="","",IF(COUNT(INDEX(nrPTBands,2,0))&lt;5,"",SUMPRODUCT(MAX(($P25&gt;=INDEX(nrPTBands,2,0))*nrPTTierPts)))))</f>
        <v/>
      </c>
      <c r="X25" s="17">
        <f>IF($B25="","",IF($Q25="","",IF(COUNT(INDEX(nrPTBands,3,0))&lt;5,"",SUMPRODUCT(MAX(($Q25&lt;=INDEX(nrPTBands,3,0))*nrPTTierPts)))))</f>
        <v/>
      </c>
      <c r="Y25" s="17">
        <f>IF($B25="","",IF($R25="","",IF(COUNT(INDEX(nrPTBands,4,0))&lt;5,"",SUMPRODUCT(MAX(($R25*60&lt;=INDEX(nrPTBands,4,0))*nrPTTierPts)))))</f>
        <v/>
      </c>
      <c r="Z25" s="17">
        <f>IF($B25="","",IF($S25="","",IF(COUNT(INDEX(nrPTBands,5,0))&lt;5,"",SUMPRODUCT(MAX(($S25&lt;=INDEX(nrPTBands,5,0))*nrPTTierPts)))))</f>
        <v/>
      </c>
      <c r="AA25" s="17">
        <f>IF($B25="","",IF(COUNT($V25:$Z25)=0,"",SUM($V25:$Z25)))</f>
        <v/>
      </c>
      <c r="AB25" s="17">
        <f>IF($B25="","",IF($AA25="","",IF(cfgPTFinalMinPoints=0,"(rubric pending)",IF(COUNT($V25:$Z25)&lt;5,"Incomplete",IF($AA25&gt;=cfgPTFinalMinPoints,"Yes","No")))))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17">
        <f>IF($B26="","","n/a (baseline only)")</f>
        <v/>
      </c>
      <c r="U26" s="17">
        <f>IF($B26="","","n/a")</f>
        <v/>
      </c>
      <c r="V26" s="17">
        <f>IF($B26="","",IF($O26="","",IF(COUNT(INDEX(nrPTBands,1,0))&lt;5,"",SUMPRODUCT(MAX(($O26&gt;=INDEX(nrPTBands,1,0))*nrPTTierPts)))))</f>
        <v/>
      </c>
      <c r="W26" s="17">
        <f>IF($B26="","",IF($P26="","",IF(COUNT(INDEX(nrPTBands,2,0))&lt;5,"",SUMPRODUCT(MAX(($P26&gt;=INDEX(nrPTBands,2,0))*nrPTTierPts)))))</f>
        <v/>
      </c>
      <c r="X26" s="17">
        <f>IF($B26="","",IF($Q26="","",IF(COUNT(INDEX(nrPTBands,3,0))&lt;5,"",SUMPRODUCT(MAX(($Q26&lt;=INDEX(nrPTBands,3,0))*nrPTTierPts)))))</f>
        <v/>
      </c>
      <c r="Y26" s="17">
        <f>IF($B26="","",IF($R26="","",IF(COUNT(INDEX(nrPTBands,4,0))&lt;5,"",SUMPRODUCT(MAX(($R26*60&lt;=INDEX(nrPTBands,4,0))*nrPTTierPts)))))</f>
        <v/>
      </c>
      <c r="Z26" s="17">
        <f>IF($B26="","",IF($S26="","",IF(COUNT(INDEX(nrPTBands,5,0))&lt;5,"",SUMPRODUCT(MAX(($S26&lt;=INDEX(nrPTBands,5,0))*nrPTTierPts)))))</f>
        <v/>
      </c>
      <c r="AA26" s="17">
        <f>IF($B26="","",IF(COUNT($V26:$Z26)=0,"",SUM($V26:$Z26)))</f>
        <v/>
      </c>
      <c r="AB26" s="17">
        <f>IF($B26="","",IF($AA26="","",IF(cfgPTFinalMinPoints=0,"(rubric pending)",IF(COUNT($V26:$Z26)&lt;5,"Incomplete",IF($AA26&gt;=cfgPTFinalMinPoints,"Yes","No")))))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17">
        <f>IF($B27="","","n/a (baseline only)")</f>
        <v/>
      </c>
      <c r="U27" s="17">
        <f>IF($B27="","","n/a")</f>
        <v/>
      </c>
      <c r="V27" s="17">
        <f>IF($B27="","",IF($O27="","",IF(COUNT(INDEX(nrPTBands,1,0))&lt;5,"",SUMPRODUCT(MAX(($O27&gt;=INDEX(nrPTBands,1,0))*nrPTTierPts)))))</f>
        <v/>
      </c>
      <c r="W27" s="17">
        <f>IF($B27="","",IF($P27="","",IF(COUNT(INDEX(nrPTBands,2,0))&lt;5,"",SUMPRODUCT(MAX(($P27&gt;=INDEX(nrPTBands,2,0))*nrPTTierPts)))))</f>
        <v/>
      </c>
      <c r="X27" s="17">
        <f>IF($B27="","",IF($Q27="","",IF(COUNT(INDEX(nrPTBands,3,0))&lt;5,"",SUMPRODUCT(MAX(($Q27&lt;=INDEX(nrPTBands,3,0))*nrPTTierPts)))))</f>
        <v/>
      </c>
      <c r="Y27" s="17">
        <f>IF($B27="","",IF($R27="","",IF(COUNT(INDEX(nrPTBands,4,0))&lt;5,"",SUMPRODUCT(MAX(($R27*60&lt;=INDEX(nrPTBands,4,0))*nrPTTierPts)))))</f>
        <v/>
      </c>
      <c r="Z27" s="17">
        <f>IF($B27="","",IF($S27="","",IF(COUNT(INDEX(nrPTBands,5,0))&lt;5,"",SUMPRODUCT(MAX(($S27&lt;=INDEX(nrPTBands,5,0))*nrPTTierPts)))))</f>
        <v/>
      </c>
      <c r="AA27" s="17">
        <f>IF($B27="","",IF(COUNT($V27:$Z27)=0,"",SUM($V27:$Z27)))</f>
        <v/>
      </c>
      <c r="AB27" s="17">
        <f>IF($B27="","",IF($AA27="","",IF(cfgPTFinalMinPoints=0,"(rubric pending)",IF(COUNT($V27:$Z27)&lt;5,"Incomplete",IF($AA27&gt;=cfgPTFinalMinPoints,"Yes","No")))))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17">
        <f>IF($B28="","","n/a (baseline only)")</f>
        <v/>
      </c>
      <c r="U28" s="17">
        <f>IF($B28="","","n/a")</f>
        <v/>
      </c>
      <c r="V28" s="17">
        <f>IF($B28="","",IF($O28="","",IF(COUNT(INDEX(nrPTBands,1,0))&lt;5,"",SUMPRODUCT(MAX(($O28&gt;=INDEX(nrPTBands,1,0))*nrPTTierPts)))))</f>
        <v/>
      </c>
      <c r="W28" s="17">
        <f>IF($B28="","",IF($P28="","",IF(COUNT(INDEX(nrPTBands,2,0))&lt;5,"",SUMPRODUCT(MAX(($P28&gt;=INDEX(nrPTBands,2,0))*nrPTTierPts)))))</f>
        <v/>
      </c>
      <c r="X28" s="17">
        <f>IF($B28="","",IF($Q28="","",IF(COUNT(INDEX(nrPTBands,3,0))&lt;5,"",SUMPRODUCT(MAX(($Q28&lt;=INDEX(nrPTBands,3,0))*nrPTTierPts)))))</f>
        <v/>
      </c>
      <c r="Y28" s="17">
        <f>IF($B28="","",IF($R28="","",IF(COUNT(INDEX(nrPTBands,4,0))&lt;5,"",SUMPRODUCT(MAX(($R28*60&lt;=INDEX(nrPTBands,4,0))*nrPTTierPts)))))</f>
        <v/>
      </c>
      <c r="Z28" s="17">
        <f>IF($B28="","",IF($S28="","",IF(COUNT(INDEX(nrPTBands,5,0))&lt;5,"",SUMPRODUCT(MAX(($S28&lt;=INDEX(nrPTBands,5,0))*nrPTTierPts)))))</f>
        <v/>
      </c>
      <c r="AA28" s="17">
        <f>IF($B28="","",IF(COUNT($V28:$Z28)=0,"",SUM($V28:$Z28)))</f>
        <v/>
      </c>
      <c r="AB28" s="17">
        <f>IF($B28="","",IF($AA28="","",IF(cfgPTFinalMinPoints=0,"(rubric pending)",IF(COUNT($V28:$Z28)&lt;5,"Incomplete",IF($AA28&gt;=cfgPTFinalMinPoints,"Yes","No")))))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17">
        <f>IF($B29="","","n/a (baseline only)")</f>
        <v/>
      </c>
      <c r="U29" s="17">
        <f>IF($B29="","","n/a")</f>
        <v/>
      </c>
      <c r="V29" s="17">
        <f>IF($B29="","",IF($O29="","",IF(COUNT(INDEX(nrPTBands,1,0))&lt;5,"",SUMPRODUCT(MAX(($O29&gt;=INDEX(nrPTBands,1,0))*nrPTTierPts)))))</f>
        <v/>
      </c>
      <c r="W29" s="17">
        <f>IF($B29="","",IF($P29="","",IF(COUNT(INDEX(nrPTBands,2,0))&lt;5,"",SUMPRODUCT(MAX(($P29&gt;=INDEX(nrPTBands,2,0))*nrPTTierPts)))))</f>
        <v/>
      </c>
      <c r="X29" s="17">
        <f>IF($B29="","",IF($Q29="","",IF(COUNT(INDEX(nrPTBands,3,0))&lt;5,"",SUMPRODUCT(MAX(($Q29&lt;=INDEX(nrPTBands,3,0))*nrPTTierPts)))))</f>
        <v/>
      </c>
      <c r="Y29" s="17">
        <f>IF($B29="","",IF($R29="","",IF(COUNT(INDEX(nrPTBands,4,0))&lt;5,"",SUMPRODUCT(MAX(($R29*60&lt;=INDEX(nrPTBands,4,0))*nrPTTierPts)))))</f>
        <v/>
      </c>
      <c r="Z29" s="17">
        <f>IF($B29="","",IF($S29="","",IF(COUNT(INDEX(nrPTBands,5,0))&lt;5,"",SUMPRODUCT(MAX(($S29&lt;=INDEX(nrPTBands,5,0))*nrPTTierPts)))))</f>
        <v/>
      </c>
      <c r="AA29" s="17">
        <f>IF($B29="","",IF(COUNT($V29:$Z29)=0,"",SUM($V29:$Z29)))</f>
        <v/>
      </c>
      <c r="AB29" s="17">
        <f>IF($B29="","",IF($AA29="","",IF(cfgPTFinalMinPoints=0,"(rubric pending)",IF(COUNT($V29:$Z29)&lt;5,"Incomplete",IF($AA29&gt;=cfgPTFinalMinPoints,"Yes","No")))))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17">
        <f>IF($B30="","","n/a (baseline only)")</f>
        <v/>
      </c>
      <c r="U30" s="17">
        <f>IF($B30="","","n/a")</f>
        <v/>
      </c>
      <c r="V30" s="17">
        <f>IF($B30="","",IF($O30="","",IF(COUNT(INDEX(nrPTBands,1,0))&lt;5,"",SUMPRODUCT(MAX(($O30&gt;=INDEX(nrPTBands,1,0))*nrPTTierPts)))))</f>
        <v/>
      </c>
      <c r="W30" s="17">
        <f>IF($B30="","",IF($P30="","",IF(COUNT(INDEX(nrPTBands,2,0))&lt;5,"",SUMPRODUCT(MAX(($P30&gt;=INDEX(nrPTBands,2,0))*nrPTTierPts)))))</f>
        <v/>
      </c>
      <c r="X30" s="17">
        <f>IF($B30="","",IF($Q30="","",IF(COUNT(INDEX(nrPTBands,3,0))&lt;5,"",SUMPRODUCT(MAX(($Q30&lt;=INDEX(nrPTBands,3,0))*nrPTTierPts)))))</f>
        <v/>
      </c>
      <c r="Y30" s="17">
        <f>IF($B30="","",IF($R30="","",IF(COUNT(INDEX(nrPTBands,4,0))&lt;5,"",SUMPRODUCT(MAX(($R30*60&lt;=INDEX(nrPTBands,4,0))*nrPTTierPts)))))</f>
        <v/>
      </c>
      <c r="Z30" s="17">
        <f>IF($B30="","",IF($S30="","",IF(COUNT(INDEX(nrPTBands,5,0))&lt;5,"",SUMPRODUCT(MAX(($S30&lt;=INDEX(nrPTBands,5,0))*nrPTTierPts)))))</f>
        <v/>
      </c>
      <c r="AA30" s="17">
        <f>IF($B30="","",IF(COUNT($V30:$Z30)=0,"",SUM($V30:$Z30)))</f>
        <v/>
      </c>
      <c r="AB30" s="17">
        <f>IF($B30="","",IF($AA30="","",IF(cfgPTFinalMinPoints=0,"(rubric pending)",IF(COUNT($V30:$Z30)&lt;5,"Incomplete",IF($AA30&gt;=cfgPTFinalMinPoints,"Yes","No")))))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17">
        <f>IF($B31="","","n/a (baseline only)")</f>
        <v/>
      </c>
      <c r="U31" s="17">
        <f>IF($B31="","","n/a")</f>
        <v/>
      </c>
      <c r="V31" s="17">
        <f>IF($B31="","",IF($O31="","",IF(COUNT(INDEX(nrPTBands,1,0))&lt;5,"",SUMPRODUCT(MAX(($O31&gt;=INDEX(nrPTBands,1,0))*nrPTTierPts)))))</f>
        <v/>
      </c>
      <c r="W31" s="17">
        <f>IF($B31="","",IF($P31="","",IF(COUNT(INDEX(nrPTBands,2,0))&lt;5,"",SUMPRODUCT(MAX(($P31&gt;=INDEX(nrPTBands,2,0))*nrPTTierPts)))))</f>
        <v/>
      </c>
      <c r="X31" s="17">
        <f>IF($B31="","",IF($Q31="","",IF(COUNT(INDEX(nrPTBands,3,0))&lt;5,"",SUMPRODUCT(MAX(($Q31&lt;=INDEX(nrPTBands,3,0))*nrPTTierPts)))))</f>
        <v/>
      </c>
      <c r="Y31" s="17">
        <f>IF($B31="","",IF($R31="","",IF(COUNT(INDEX(nrPTBands,4,0))&lt;5,"",SUMPRODUCT(MAX(($R31*60&lt;=INDEX(nrPTBands,4,0))*nrPTTierPts)))))</f>
        <v/>
      </c>
      <c r="Z31" s="17">
        <f>IF($B31="","",IF($S31="","",IF(COUNT(INDEX(nrPTBands,5,0))&lt;5,"",SUMPRODUCT(MAX(($S31&lt;=INDEX(nrPTBands,5,0))*nrPTTierPts)))))</f>
        <v/>
      </c>
      <c r="AA31" s="17">
        <f>IF($B31="","",IF(COUNT($V31:$Z31)=0,"",SUM($V31:$Z31)))</f>
        <v/>
      </c>
      <c r="AB31" s="17">
        <f>IF($B31="","",IF($AA31="","",IF(cfgPTFinalMinPoints=0,"(rubric pending)",IF(COUNT($V31:$Z31)&lt;5,"Incomplete",IF($AA31&gt;=cfgPTFinalMinPoints,"Yes","No")))))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17">
        <f>IF($B32="","","n/a (baseline only)")</f>
        <v/>
      </c>
      <c r="U32" s="17">
        <f>IF($B32="","","n/a")</f>
        <v/>
      </c>
      <c r="V32" s="17">
        <f>IF($B32="","",IF($O32="","",IF(COUNT(INDEX(nrPTBands,1,0))&lt;5,"",SUMPRODUCT(MAX(($O32&gt;=INDEX(nrPTBands,1,0))*nrPTTierPts)))))</f>
        <v/>
      </c>
      <c r="W32" s="17">
        <f>IF($B32="","",IF($P32="","",IF(COUNT(INDEX(nrPTBands,2,0))&lt;5,"",SUMPRODUCT(MAX(($P32&gt;=INDEX(nrPTBands,2,0))*nrPTTierPts)))))</f>
        <v/>
      </c>
      <c r="X32" s="17">
        <f>IF($B32="","",IF($Q32="","",IF(COUNT(INDEX(nrPTBands,3,0))&lt;5,"",SUMPRODUCT(MAX(($Q32&lt;=INDEX(nrPTBands,3,0))*nrPTTierPts)))))</f>
        <v/>
      </c>
      <c r="Y32" s="17">
        <f>IF($B32="","",IF($R32="","",IF(COUNT(INDEX(nrPTBands,4,0))&lt;5,"",SUMPRODUCT(MAX(($R32*60&lt;=INDEX(nrPTBands,4,0))*nrPTTierPts)))))</f>
        <v/>
      </c>
      <c r="Z32" s="17">
        <f>IF($B32="","",IF($S32="","",IF(COUNT(INDEX(nrPTBands,5,0))&lt;5,"",SUMPRODUCT(MAX(($S32&lt;=INDEX(nrPTBands,5,0))*nrPTTierPts)))))</f>
        <v/>
      </c>
      <c r="AA32" s="17">
        <f>IF($B32="","",IF(COUNT($V32:$Z32)=0,"",SUM($V32:$Z32)))</f>
        <v/>
      </c>
      <c r="AB32" s="17">
        <f>IF($B32="","",IF($AA32="","",IF(cfgPTFinalMinPoints=0,"(rubric pending)",IF(COUNT($V32:$Z32)&lt;5,"Incomplete",IF($AA32&gt;=cfgPTFinalMinPoints,"Yes","No")))))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17">
        <f>IF($B33="","","n/a (baseline only)")</f>
        <v/>
      </c>
      <c r="U33" s="17">
        <f>IF($B33="","","n/a")</f>
        <v/>
      </c>
      <c r="V33" s="17">
        <f>IF($B33="","",IF($O33="","",IF(COUNT(INDEX(nrPTBands,1,0))&lt;5,"",SUMPRODUCT(MAX(($O33&gt;=INDEX(nrPTBands,1,0))*nrPTTierPts)))))</f>
        <v/>
      </c>
      <c r="W33" s="17">
        <f>IF($B33="","",IF($P33="","",IF(COUNT(INDEX(nrPTBands,2,0))&lt;5,"",SUMPRODUCT(MAX(($P33&gt;=INDEX(nrPTBands,2,0))*nrPTTierPts)))))</f>
        <v/>
      </c>
      <c r="X33" s="17">
        <f>IF($B33="","",IF($Q33="","",IF(COUNT(INDEX(nrPTBands,3,0))&lt;5,"",SUMPRODUCT(MAX(($Q33&lt;=INDEX(nrPTBands,3,0))*nrPTTierPts)))))</f>
        <v/>
      </c>
      <c r="Y33" s="17">
        <f>IF($B33="","",IF($R33="","",IF(COUNT(INDEX(nrPTBands,4,0))&lt;5,"",SUMPRODUCT(MAX(($R33*60&lt;=INDEX(nrPTBands,4,0))*nrPTTierPts)))))</f>
        <v/>
      </c>
      <c r="Z33" s="17">
        <f>IF($B33="","",IF($S33="","",IF(COUNT(INDEX(nrPTBands,5,0))&lt;5,"",SUMPRODUCT(MAX(($S33&lt;=INDEX(nrPTBands,5,0))*nrPTTierPts)))))</f>
        <v/>
      </c>
      <c r="AA33" s="17">
        <f>IF($B33="","",IF(COUNT($V33:$Z33)=0,"",SUM($V33:$Z33)))</f>
        <v/>
      </c>
      <c r="AB33" s="17">
        <f>IF($B33="","",IF($AA33="","",IF(cfgPTFinalMinPoints=0,"(rubric pending)",IF(COUNT($V33:$Z33)&lt;5,"Incomplete",IF($AA33&gt;=cfgPTFinalMinPoints,"Yes","No")))))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17">
        <f>IF($B34="","","n/a (baseline only)")</f>
        <v/>
      </c>
      <c r="U34" s="17">
        <f>IF($B34="","","n/a")</f>
        <v/>
      </c>
      <c r="V34" s="17">
        <f>IF($B34="","",IF($O34="","",IF(COUNT(INDEX(nrPTBands,1,0))&lt;5,"",SUMPRODUCT(MAX(($O34&gt;=INDEX(nrPTBands,1,0))*nrPTTierPts)))))</f>
        <v/>
      </c>
      <c r="W34" s="17">
        <f>IF($B34="","",IF($P34="","",IF(COUNT(INDEX(nrPTBands,2,0))&lt;5,"",SUMPRODUCT(MAX(($P34&gt;=INDEX(nrPTBands,2,0))*nrPTTierPts)))))</f>
        <v/>
      </c>
      <c r="X34" s="17">
        <f>IF($B34="","",IF($Q34="","",IF(COUNT(INDEX(nrPTBands,3,0))&lt;5,"",SUMPRODUCT(MAX(($Q34&lt;=INDEX(nrPTBands,3,0))*nrPTTierPts)))))</f>
        <v/>
      </c>
      <c r="Y34" s="17">
        <f>IF($B34="","",IF($R34="","",IF(COUNT(INDEX(nrPTBands,4,0))&lt;5,"",SUMPRODUCT(MAX(($R34*60&lt;=INDEX(nrPTBands,4,0))*nrPTTierPts)))))</f>
        <v/>
      </c>
      <c r="Z34" s="17">
        <f>IF($B34="","",IF($S34="","",IF(COUNT(INDEX(nrPTBands,5,0))&lt;5,"",SUMPRODUCT(MAX(($S34&lt;=INDEX(nrPTBands,5,0))*nrPTTierPts)))))</f>
        <v/>
      </c>
      <c r="AA34" s="17">
        <f>IF($B34="","",IF(COUNT($V34:$Z34)=0,"",SUM($V34:$Z34)))</f>
        <v/>
      </c>
      <c r="AB34" s="17">
        <f>IF($B34="","",IF($AA34="","",IF(cfgPTFinalMinPoints=0,"(rubric pending)",IF(COUNT($V34:$Z34)&lt;5,"Incomplete",IF($AA34&gt;=cfgPTFinalMinPoints,"Yes","No")))))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17">
        <f>IF($B35="","","n/a (baseline only)")</f>
        <v/>
      </c>
      <c r="U35" s="17">
        <f>IF($B35="","","n/a")</f>
        <v/>
      </c>
      <c r="V35" s="17">
        <f>IF($B35="","",IF($O35="","",IF(COUNT(INDEX(nrPTBands,1,0))&lt;5,"",SUMPRODUCT(MAX(($O35&gt;=INDEX(nrPTBands,1,0))*nrPTTierPts)))))</f>
        <v/>
      </c>
      <c r="W35" s="17">
        <f>IF($B35="","",IF($P35="","",IF(COUNT(INDEX(nrPTBands,2,0))&lt;5,"",SUMPRODUCT(MAX(($P35&gt;=INDEX(nrPTBands,2,0))*nrPTTierPts)))))</f>
        <v/>
      </c>
      <c r="X35" s="17">
        <f>IF($B35="","",IF($Q35="","",IF(COUNT(INDEX(nrPTBands,3,0))&lt;5,"",SUMPRODUCT(MAX(($Q35&lt;=INDEX(nrPTBands,3,0))*nrPTTierPts)))))</f>
        <v/>
      </c>
      <c r="Y35" s="17">
        <f>IF($B35="","",IF($R35="","",IF(COUNT(INDEX(nrPTBands,4,0))&lt;5,"",SUMPRODUCT(MAX(($R35*60&lt;=INDEX(nrPTBands,4,0))*nrPTTierPts)))))</f>
        <v/>
      </c>
      <c r="Z35" s="17">
        <f>IF($B35="","",IF($S35="","",IF(COUNT(INDEX(nrPTBands,5,0))&lt;5,"",SUMPRODUCT(MAX(($S35&lt;=INDEX(nrPTBands,5,0))*nrPTTierPts)))))</f>
        <v/>
      </c>
      <c r="AA35" s="17">
        <f>IF($B35="","",IF(COUNT($V35:$Z35)=0,"",SUM($V35:$Z35)))</f>
        <v/>
      </c>
      <c r="AB35" s="17">
        <f>IF($B35="","",IF($AA35="","",IF(cfgPTFinalMinPoints=0,"(rubric pending)",IF(COUNT($V35:$Z35)&lt;5,"Incomplete",IF($AA35&gt;=cfgPTFinalMinPoints,"Yes","No")))))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17">
        <f>IF($B36="","","n/a (baseline only)")</f>
        <v/>
      </c>
      <c r="U36" s="17">
        <f>IF($B36="","","n/a")</f>
        <v/>
      </c>
      <c r="V36" s="17">
        <f>IF($B36="","",IF($O36="","",IF(COUNT(INDEX(nrPTBands,1,0))&lt;5,"",SUMPRODUCT(MAX(($O36&gt;=INDEX(nrPTBands,1,0))*nrPTTierPts)))))</f>
        <v/>
      </c>
      <c r="W36" s="17">
        <f>IF($B36="","",IF($P36="","",IF(COUNT(INDEX(nrPTBands,2,0))&lt;5,"",SUMPRODUCT(MAX(($P36&gt;=INDEX(nrPTBands,2,0))*nrPTTierPts)))))</f>
        <v/>
      </c>
      <c r="X36" s="17">
        <f>IF($B36="","",IF($Q36="","",IF(COUNT(INDEX(nrPTBands,3,0))&lt;5,"",SUMPRODUCT(MAX(($Q36&lt;=INDEX(nrPTBands,3,0))*nrPTTierPts)))))</f>
        <v/>
      </c>
      <c r="Y36" s="17">
        <f>IF($B36="","",IF($R36="","",IF(COUNT(INDEX(nrPTBands,4,0))&lt;5,"",SUMPRODUCT(MAX(($R36*60&lt;=INDEX(nrPTBands,4,0))*nrPTTierPts)))))</f>
        <v/>
      </c>
      <c r="Z36" s="17">
        <f>IF($B36="","",IF($S36="","",IF(COUNT(INDEX(nrPTBands,5,0))&lt;5,"",SUMPRODUCT(MAX(($S36&lt;=INDEX(nrPTBands,5,0))*nrPTTierPts)))))</f>
        <v/>
      </c>
      <c r="AA36" s="17">
        <f>IF($B36="","",IF(COUNT($V36:$Z36)=0,"",SUM($V36:$Z36)))</f>
        <v/>
      </c>
      <c r="AB36" s="17">
        <f>IF($B36="","",IF($AA36="","",IF(cfgPTFinalMinPoints=0,"(rubric pending)",IF(COUNT($V36:$Z36)&lt;5,"Incomplete",IF($AA36&gt;=cfgPTFinalMinPoints,"Yes","No")))))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17">
        <f>IF($B37="","","n/a (baseline only)")</f>
        <v/>
      </c>
      <c r="U37" s="17">
        <f>IF($B37="","","n/a")</f>
        <v/>
      </c>
      <c r="V37" s="17">
        <f>IF($B37="","",IF($O37="","",IF(COUNT(INDEX(nrPTBands,1,0))&lt;5,"",SUMPRODUCT(MAX(($O37&gt;=INDEX(nrPTBands,1,0))*nrPTTierPts)))))</f>
        <v/>
      </c>
      <c r="W37" s="17">
        <f>IF($B37="","",IF($P37="","",IF(COUNT(INDEX(nrPTBands,2,0))&lt;5,"",SUMPRODUCT(MAX(($P37&gt;=INDEX(nrPTBands,2,0))*nrPTTierPts)))))</f>
        <v/>
      </c>
      <c r="X37" s="17">
        <f>IF($B37="","",IF($Q37="","",IF(COUNT(INDEX(nrPTBands,3,0))&lt;5,"",SUMPRODUCT(MAX(($Q37&lt;=INDEX(nrPTBands,3,0))*nrPTTierPts)))))</f>
        <v/>
      </c>
      <c r="Y37" s="17">
        <f>IF($B37="","",IF($R37="","",IF(COUNT(INDEX(nrPTBands,4,0))&lt;5,"",SUMPRODUCT(MAX(($R37*60&lt;=INDEX(nrPTBands,4,0))*nrPTTierPts)))))</f>
        <v/>
      </c>
      <c r="Z37" s="17">
        <f>IF($B37="","",IF($S37="","",IF(COUNT(INDEX(nrPTBands,5,0))&lt;5,"",SUMPRODUCT(MAX(($S37&lt;=INDEX(nrPTBands,5,0))*nrPTTierPts)))))</f>
        <v/>
      </c>
      <c r="AA37" s="17">
        <f>IF($B37="","",IF(COUNT($V37:$Z37)=0,"",SUM($V37:$Z37)))</f>
        <v/>
      </c>
      <c r="AB37" s="17">
        <f>IF($B37="","",IF($AA37="","",IF(cfgPTFinalMinPoints=0,"(rubric pending)",IF(COUNT($V37:$Z37)&lt;5,"Incomplete",IF($AA37&gt;=cfgPTFinalMinPoints,"Yes","No")))))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17">
        <f>IF($B38="","","n/a (baseline only)")</f>
        <v/>
      </c>
      <c r="U38" s="17">
        <f>IF($B38="","","n/a")</f>
        <v/>
      </c>
      <c r="V38" s="17">
        <f>IF($B38="","",IF($O38="","",IF(COUNT(INDEX(nrPTBands,1,0))&lt;5,"",SUMPRODUCT(MAX(($O38&gt;=INDEX(nrPTBands,1,0))*nrPTTierPts)))))</f>
        <v/>
      </c>
      <c r="W38" s="17">
        <f>IF($B38="","",IF($P38="","",IF(COUNT(INDEX(nrPTBands,2,0))&lt;5,"",SUMPRODUCT(MAX(($P38&gt;=INDEX(nrPTBands,2,0))*nrPTTierPts)))))</f>
        <v/>
      </c>
      <c r="X38" s="17">
        <f>IF($B38="","",IF($Q38="","",IF(COUNT(INDEX(nrPTBands,3,0))&lt;5,"",SUMPRODUCT(MAX(($Q38&lt;=INDEX(nrPTBands,3,0))*nrPTTierPts)))))</f>
        <v/>
      </c>
      <c r="Y38" s="17">
        <f>IF($B38="","",IF($R38="","",IF(COUNT(INDEX(nrPTBands,4,0))&lt;5,"",SUMPRODUCT(MAX(($R38*60&lt;=INDEX(nrPTBands,4,0))*nrPTTierPts)))))</f>
        <v/>
      </c>
      <c r="Z38" s="17">
        <f>IF($B38="","",IF($S38="","",IF(COUNT(INDEX(nrPTBands,5,0))&lt;5,"",SUMPRODUCT(MAX(($S38&lt;=INDEX(nrPTBands,5,0))*nrPTTierPts)))))</f>
        <v/>
      </c>
      <c r="AA38" s="17">
        <f>IF($B38="","",IF(COUNT($V38:$Z38)=0,"",SUM($V38:$Z38)))</f>
        <v/>
      </c>
      <c r="AB38" s="17">
        <f>IF($B38="","",IF($AA38="","",IF(cfgPTFinalMinPoints=0,"(rubric pending)",IF(COUNT($V38:$Z38)&lt;5,"Incomplete",IF($AA38&gt;=cfgPTFinalMinPoints,"Yes","No")))))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17">
        <f>IF($B39="","","n/a (baseline only)")</f>
        <v/>
      </c>
      <c r="U39" s="17">
        <f>IF($B39="","","n/a")</f>
        <v/>
      </c>
      <c r="V39" s="17">
        <f>IF($B39="","",IF($O39="","",IF(COUNT(INDEX(nrPTBands,1,0))&lt;5,"",SUMPRODUCT(MAX(($O39&gt;=INDEX(nrPTBands,1,0))*nrPTTierPts)))))</f>
        <v/>
      </c>
      <c r="W39" s="17">
        <f>IF($B39="","",IF($P39="","",IF(COUNT(INDEX(nrPTBands,2,0))&lt;5,"",SUMPRODUCT(MAX(($P39&gt;=INDEX(nrPTBands,2,0))*nrPTTierPts)))))</f>
        <v/>
      </c>
      <c r="X39" s="17">
        <f>IF($B39="","",IF($Q39="","",IF(COUNT(INDEX(nrPTBands,3,0))&lt;5,"",SUMPRODUCT(MAX(($Q39&lt;=INDEX(nrPTBands,3,0))*nrPTTierPts)))))</f>
        <v/>
      </c>
      <c r="Y39" s="17">
        <f>IF($B39="","",IF($R39="","",IF(COUNT(INDEX(nrPTBands,4,0))&lt;5,"",SUMPRODUCT(MAX(($R39*60&lt;=INDEX(nrPTBands,4,0))*nrPTTierPts)))))</f>
        <v/>
      </c>
      <c r="Z39" s="17">
        <f>IF($B39="","",IF($S39="","",IF(COUNT(INDEX(nrPTBands,5,0))&lt;5,"",SUMPRODUCT(MAX(($S39&lt;=INDEX(nrPTBands,5,0))*nrPTTierPts)))))</f>
        <v/>
      </c>
      <c r="AA39" s="17">
        <f>IF($B39="","",IF(COUNT($V39:$Z39)=0,"",SUM($V39:$Z39)))</f>
        <v/>
      </c>
      <c r="AB39" s="17">
        <f>IF($B39="","",IF($AA39="","",IF(cfgPTFinalMinPoints=0,"(rubric pending)",IF(COUNT($V39:$Z39)&lt;5,"Incomplete",IF($AA39&gt;=cfgPTFinalMinPoints,"Yes","No")))))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17">
        <f>IF($B40="","","n/a (baseline only)")</f>
        <v/>
      </c>
      <c r="U40" s="17">
        <f>IF($B40="","","n/a")</f>
        <v/>
      </c>
      <c r="V40" s="17">
        <f>IF($B40="","",IF($O40="","",IF(COUNT(INDEX(nrPTBands,1,0))&lt;5,"",SUMPRODUCT(MAX(($O40&gt;=INDEX(nrPTBands,1,0))*nrPTTierPts)))))</f>
        <v/>
      </c>
      <c r="W40" s="17">
        <f>IF($B40="","",IF($P40="","",IF(COUNT(INDEX(nrPTBands,2,0))&lt;5,"",SUMPRODUCT(MAX(($P40&gt;=INDEX(nrPTBands,2,0))*nrPTTierPts)))))</f>
        <v/>
      </c>
      <c r="X40" s="17">
        <f>IF($B40="","",IF($Q40="","",IF(COUNT(INDEX(nrPTBands,3,0))&lt;5,"",SUMPRODUCT(MAX(($Q40&lt;=INDEX(nrPTBands,3,0))*nrPTTierPts)))))</f>
        <v/>
      </c>
      <c r="Y40" s="17">
        <f>IF($B40="","",IF($R40="","",IF(COUNT(INDEX(nrPTBands,4,0))&lt;5,"",SUMPRODUCT(MAX(($R40*60&lt;=INDEX(nrPTBands,4,0))*nrPTTierPts)))))</f>
        <v/>
      </c>
      <c r="Z40" s="17">
        <f>IF($B40="","",IF($S40="","",IF(COUNT(INDEX(nrPTBands,5,0))&lt;5,"",SUMPRODUCT(MAX(($S40&lt;=INDEX(nrPTBands,5,0))*nrPTTierPts)))))</f>
        <v/>
      </c>
      <c r="AA40" s="17">
        <f>IF($B40="","",IF(COUNT($V40:$Z40)=0,"",SUM($V40:$Z40)))</f>
        <v/>
      </c>
      <c r="AB40" s="17">
        <f>IF($B40="","",IF($AA40="","",IF(cfgPTFinalMinPoints=0,"(rubric pending)",IF(COUNT($V40:$Z40)&lt;5,"Incomplete",IF($AA40&gt;=cfgPTFinalMinPoints,"Yes","No")))))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17">
        <f>IF($B41="","","n/a (baseline only)")</f>
        <v/>
      </c>
      <c r="U41" s="17">
        <f>IF($B41="","","n/a")</f>
        <v/>
      </c>
      <c r="V41" s="17">
        <f>IF($B41="","",IF($O41="","",IF(COUNT(INDEX(nrPTBands,1,0))&lt;5,"",SUMPRODUCT(MAX(($O41&gt;=INDEX(nrPTBands,1,0))*nrPTTierPts)))))</f>
        <v/>
      </c>
      <c r="W41" s="17">
        <f>IF($B41="","",IF($P41="","",IF(COUNT(INDEX(nrPTBands,2,0))&lt;5,"",SUMPRODUCT(MAX(($P41&gt;=INDEX(nrPTBands,2,0))*nrPTTierPts)))))</f>
        <v/>
      </c>
      <c r="X41" s="17">
        <f>IF($B41="","",IF($Q41="","",IF(COUNT(INDEX(nrPTBands,3,0))&lt;5,"",SUMPRODUCT(MAX(($Q41&lt;=INDEX(nrPTBands,3,0))*nrPTTierPts)))))</f>
        <v/>
      </c>
      <c r="Y41" s="17">
        <f>IF($B41="","",IF($R41="","",IF(COUNT(INDEX(nrPTBands,4,0))&lt;5,"",SUMPRODUCT(MAX(($R41*60&lt;=INDEX(nrPTBands,4,0))*nrPTTierPts)))))</f>
        <v/>
      </c>
      <c r="Z41" s="17">
        <f>IF($B41="","",IF($S41="","",IF(COUNT(INDEX(nrPTBands,5,0))&lt;5,"",SUMPRODUCT(MAX(($S41&lt;=INDEX(nrPTBands,5,0))*nrPTTierPts)))))</f>
        <v/>
      </c>
      <c r="AA41" s="17">
        <f>IF($B41="","",IF(COUNT($V41:$Z41)=0,"",SUM($V41:$Z41)))</f>
        <v/>
      </c>
      <c r="AB41" s="17">
        <f>IF($B41="","",IF($AA41="","",IF(cfgPTFinalMinPoints=0,"(rubric pending)",IF(COUNT($V41:$Z41)&lt;5,"Incomplete",IF($AA41&gt;=cfgPTFinalMinPoints,"Yes","No")))))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17">
        <f>IF($B42="","","n/a (baseline only)")</f>
        <v/>
      </c>
      <c r="U42" s="17">
        <f>IF($B42="","","n/a")</f>
        <v/>
      </c>
      <c r="V42" s="17">
        <f>IF($B42="","",IF($O42="","",IF(COUNT(INDEX(nrPTBands,1,0))&lt;5,"",SUMPRODUCT(MAX(($O42&gt;=INDEX(nrPTBands,1,0))*nrPTTierPts)))))</f>
        <v/>
      </c>
      <c r="W42" s="17">
        <f>IF($B42="","",IF($P42="","",IF(COUNT(INDEX(nrPTBands,2,0))&lt;5,"",SUMPRODUCT(MAX(($P42&gt;=INDEX(nrPTBands,2,0))*nrPTTierPts)))))</f>
        <v/>
      </c>
      <c r="X42" s="17">
        <f>IF($B42="","",IF($Q42="","",IF(COUNT(INDEX(nrPTBands,3,0))&lt;5,"",SUMPRODUCT(MAX(($Q42&lt;=INDEX(nrPTBands,3,0))*nrPTTierPts)))))</f>
        <v/>
      </c>
      <c r="Y42" s="17">
        <f>IF($B42="","",IF($R42="","",IF(COUNT(INDEX(nrPTBands,4,0))&lt;5,"",SUMPRODUCT(MAX(($R42*60&lt;=INDEX(nrPTBands,4,0))*nrPTTierPts)))))</f>
        <v/>
      </c>
      <c r="Z42" s="17">
        <f>IF($B42="","",IF($S42="","",IF(COUNT(INDEX(nrPTBands,5,0))&lt;5,"",SUMPRODUCT(MAX(($S42&lt;=INDEX(nrPTBands,5,0))*nrPTTierPts)))))</f>
        <v/>
      </c>
      <c r="AA42" s="17">
        <f>IF($B42="","",IF(COUNT($V42:$Z42)=0,"",SUM($V42:$Z42)))</f>
        <v/>
      </c>
      <c r="AB42" s="17">
        <f>IF($B42="","",IF($AA42="","",IF(cfgPTFinalMinPoints=0,"(rubric pending)",IF(COUNT($V42:$Z42)&lt;5,"Incomplete",IF($AA42&gt;=cfgPTFinalMinPoints,"Yes","No")))))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17">
        <f>IF($B43="","","n/a (baseline only)")</f>
        <v/>
      </c>
      <c r="U43" s="17">
        <f>IF($B43="","","n/a")</f>
        <v/>
      </c>
      <c r="V43" s="17">
        <f>IF($B43="","",IF($O43="","",IF(COUNT(INDEX(nrPTBands,1,0))&lt;5,"",SUMPRODUCT(MAX(($O43&gt;=INDEX(nrPTBands,1,0))*nrPTTierPts)))))</f>
        <v/>
      </c>
      <c r="W43" s="17">
        <f>IF($B43="","",IF($P43="","",IF(COUNT(INDEX(nrPTBands,2,0))&lt;5,"",SUMPRODUCT(MAX(($P43&gt;=INDEX(nrPTBands,2,0))*nrPTTierPts)))))</f>
        <v/>
      </c>
      <c r="X43" s="17">
        <f>IF($B43="","",IF($Q43="","",IF(COUNT(INDEX(nrPTBands,3,0))&lt;5,"",SUMPRODUCT(MAX(($Q43&lt;=INDEX(nrPTBands,3,0))*nrPTTierPts)))))</f>
        <v/>
      </c>
      <c r="Y43" s="17">
        <f>IF($B43="","",IF($R43="","",IF(COUNT(INDEX(nrPTBands,4,0))&lt;5,"",SUMPRODUCT(MAX(($R43*60&lt;=INDEX(nrPTBands,4,0))*nrPTTierPts)))))</f>
        <v/>
      </c>
      <c r="Z43" s="17">
        <f>IF($B43="","",IF($S43="","",IF(COUNT(INDEX(nrPTBands,5,0))&lt;5,"",SUMPRODUCT(MAX(($S43&lt;=INDEX(nrPTBands,5,0))*nrPTTierPts)))))</f>
        <v/>
      </c>
      <c r="AA43" s="17">
        <f>IF($B43="","",IF(COUNT($V43:$Z43)=0,"",SUM($V43:$Z43)))</f>
        <v/>
      </c>
      <c r="AB43" s="17">
        <f>IF($B43="","",IF($AA43="","",IF(cfgPTFinalMinPoints=0,"(rubric pending)",IF(COUNT($V43:$Z43)&lt;5,"Incomplete",IF($AA43&gt;=cfgPTFinalMinPoints,"Yes","No")))))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17">
        <f>IF($B44="","","n/a (baseline only)")</f>
        <v/>
      </c>
      <c r="U44" s="17">
        <f>IF($B44="","","n/a")</f>
        <v/>
      </c>
      <c r="V44" s="17">
        <f>IF($B44="","",IF($O44="","",IF(COUNT(INDEX(nrPTBands,1,0))&lt;5,"",SUMPRODUCT(MAX(($O44&gt;=INDEX(nrPTBands,1,0))*nrPTTierPts)))))</f>
        <v/>
      </c>
      <c r="W44" s="17">
        <f>IF($B44="","",IF($P44="","",IF(COUNT(INDEX(nrPTBands,2,0))&lt;5,"",SUMPRODUCT(MAX(($P44&gt;=INDEX(nrPTBands,2,0))*nrPTTierPts)))))</f>
        <v/>
      </c>
      <c r="X44" s="17">
        <f>IF($B44="","",IF($Q44="","",IF(COUNT(INDEX(nrPTBands,3,0))&lt;5,"",SUMPRODUCT(MAX(($Q44&lt;=INDEX(nrPTBands,3,0))*nrPTTierPts)))))</f>
        <v/>
      </c>
      <c r="Y44" s="17">
        <f>IF($B44="","",IF($R44="","",IF(COUNT(INDEX(nrPTBands,4,0))&lt;5,"",SUMPRODUCT(MAX(($R44*60&lt;=INDEX(nrPTBands,4,0))*nrPTTierPts)))))</f>
        <v/>
      </c>
      <c r="Z44" s="17">
        <f>IF($B44="","",IF($S44="","",IF(COUNT(INDEX(nrPTBands,5,0))&lt;5,"",SUMPRODUCT(MAX(($S44&lt;=INDEX(nrPTBands,5,0))*nrPTTierPts)))))</f>
        <v/>
      </c>
      <c r="AA44" s="17">
        <f>IF($B44="","",IF(COUNT($V44:$Z44)=0,"",SUM($V44:$Z44)))</f>
        <v/>
      </c>
      <c r="AB44" s="17">
        <f>IF($B44="","",IF($AA44="","",IF(cfgPTFinalMinPoints=0,"(rubric pending)",IF(COUNT($V44:$Z44)&lt;5,"Incomplete",IF($AA44&gt;=cfgPTFinalMinPoints,"Yes","No")))))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17">
        <f>IF($B45="","","n/a (baseline only)")</f>
        <v/>
      </c>
      <c r="U45" s="17">
        <f>IF($B45="","","n/a")</f>
        <v/>
      </c>
      <c r="V45" s="17">
        <f>IF($B45="","",IF($O45="","",IF(COUNT(INDEX(nrPTBands,1,0))&lt;5,"",SUMPRODUCT(MAX(($O45&gt;=INDEX(nrPTBands,1,0))*nrPTTierPts)))))</f>
        <v/>
      </c>
      <c r="W45" s="17">
        <f>IF($B45="","",IF($P45="","",IF(COUNT(INDEX(nrPTBands,2,0))&lt;5,"",SUMPRODUCT(MAX(($P45&gt;=INDEX(nrPTBands,2,0))*nrPTTierPts)))))</f>
        <v/>
      </c>
      <c r="X45" s="17">
        <f>IF($B45="","",IF($Q45="","",IF(COUNT(INDEX(nrPTBands,3,0))&lt;5,"",SUMPRODUCT(MAX(($Q45&lt;=INDEX(nrPTBands,3,0))*nrPTTierPts)))))</f>
        <v/>
      </c>
      <c r="Y45" s="17">
        <f>IF($B45="","",IF($R45="","",IF(COUNT(INDEX(nrPTBands,4,0))&lt;5,"",SUMPRODUCT(MAX(($R45*60&lt;=INDEX(nrPTBands,4,0))*nrPTTierPts)))))</f>
        <v/>
      </c>
      <c r="Z45" s="17">
        <f>IF($B45="","",IF($S45="","",IF(COUNT(INDEX(nrPTBands,5,0))&lt;5,"",SUMPRODUCT(MAX(($S45&lt;=INDEX(nrPTBands,5,0))*nrPTTierPts)))))</f>
        <v/>
      </c>
      <c r="AA45" s="17">
        <f>IF($B45="","",IF(COUNT($V45:$Z45)=0,"",SUM($V45:$Z45)))</f>
        <v/>
      </c>
      <c r="AB45" s="17">
        <f>IF($B45="","",IF($AA45="","",IF(cfgPTFinalMinPoints=0,"(rubric pending)",IF(COUNT($V45:$Z45)&lt;5,"Incomplete",IF($AA45&gt;=cfgPTFinalMinPoints,"Yes","No")))))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17">
        <f>IF($B46="","","n/a (baseline only)")</f>
        <v/>
      </c>
      <c r="U46" s="17">
        <f>IF($B46="","","n/a")</f>
        <v/>
      </c>
      <c r="V46" s="17">
        <f>IF($B46="","",IF($O46="","",IF(COUNT(INDEX(nrPTBands,1,0))&lt;5,"",SUMPRODUCT(MAX(($O46&gt;=INDEX(nrPTBands,1,0))*nrPTTierPts)))))</f>
        <v/>
      </c>
      <c r="W46" s="17">
        <f>IF($B46="","",IF($P46="","",IF(COUNT(INDEX(nrPTBands,2,0))&lt;5,"",SUMPRODUCT(MAX(($P46&gt;=INDEX(nrPTBands,2,0))*nrPTTierPts)))))</f>
        <v/>
      </c>
      <c r="X46" s="17">
        <f>IF($B46="","",IF($Q46="","",IF(COUNT(INDEX(nrPTBands,3,0))&lt;5,"",SUMPRODUCT(MAX(($Q46&lt;=INDEX(nrPTBands,3,0))*nrPTTierPts)))))</f>
        <v/>
      </c>
      <c r="Y46" s="17">
        <f>IF($B46="","",IF($R46="","",IF(COUNT(INDEX(nrPTBands,4,0))&lt;5,"",SUMPRODUCT(MAX(($R46*60&lt;=INDEX(nrPTBands,4,0))*nrPTTierPts)))))</f>
        <v/>
      </c>
      <c r="Z46" s="17">
        <f>IF($B46="","",IF($S46="","",IF(COUNT(INDEX(nrPTBands,5,0))&lt;5,"",SUMPRODUCT(MAX(($S46&lt;=INDEX(nrPTBands,5,0))*nrPTTierPts)))))</f>
        <v/>
      </c>
      <c r="AA46" s="17">
        <f>IF($B46="","",IF(COUNT($V46:$Z46)=0,"",SUM($V46:$Z46)))</f>
        <v/>
      </c>
      <c r="AB46" s="17">
        <f>IF($B46="","",IF($AA46="","",IF(cfgPTFinalMinPoints=0,"(rubric pending)",IF(COUNT($V46:$Z46)&lt;5,"Incomplete",IF($AA46&gt;=cfgPTFinalMinPoints,"Yes","No")))))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17">
        <f>IF($B47="","","n/a (baseline only)")</f>
        <v/>
      </c>
      <c r="U47" s="17">
        <f>IF($B47="","","n/a")</f>
        <v/>
      </c>
      <c r="V47" s="17">
        <f>IF($B47="","",IF($O47="","",IF(COUNT(INDEX(nrPTBands,1,0))&lt;5,"",SUMPRODUCT(MAX(($O47&gt;=INDEX(nrPTBands,1,0))*nrPTTierPts)))))</f>
        <v/>
      </c>
      <c r="W47" s="17">
        <f>IF($B47="","",IF($P47="","",IF(COUNT(INDEX(nrPTBands,2,0))&lt;5,"",SUMPRODUCT(MAX(($P47&gt;=INDEX(nrPTBands,2,0))*nrPTTierPts)))))</f>
        <v/>
      </c>
      <c r="X47" s="17">
        <f>IF($B47="","",IF($Q47="","",IF(COUNT(INDEX(nrPTBands,3,0))&lt;5,"",SUMPRODUCT(MAX(($Q47&lt;=INDEX(nrPTBands,3,0))*nrPTTierPts)))))</f>
        <v/>
      </c>
      <c r="Y47" s="17">
        <f>IF($B47="","",IF($R47="","",IF(COUNT(INDEX(nrPTBands,4,0))&lt;5,"",SUMPRODUCT(MAX(($R47*60&lt;=INDEX(nrPTBands,4,0))*nrPTTierPts)))))</f>
        <v/>
      </c>
      <c r="Z47" s="17">
        <f>IF($B47="","",IF($S47="","",IF(COUNT(INDEX(nrPTBands,5,0))&lt;5,"",SUMPRODUCT(MAX(($S47&lt;=INDEX(nrPTBands,5,0))*nrPTTierPts)))))</f>
        <v/>
      </c>
      <c r="AA47" s="17">
        <f>IF($B47="","",IF(COUNT($V47:$Z47)=0,"",SUM($V47:$Z47)))</f>
        <v/>
      </c>
      <c r="AB47" s="17">
        <f>IF($B47="","",IF($AA47="","",IF(cfgPTFinalMinPoints=0,"(rubric pending)",IF(COUNT($V47:$Z47)&lt;5,"Incomplete",IF($AA47&gt;=cfgPTFinalMinPoints,"Yes","No")))))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17">
        <f>IF($B48="","","n/a (baseline only)")</f>
        <v/>
      </c>
      <c r="U48" s="17">
        <f>IF($B48="","","n/a")</f>
        <v/>
      </c>
      <c r="V48" s="17">
        <f>IF($B48="","",IF($O48="","",IF(COUNT(INDEX(nrPTBands,1,0))&lt;5,"",SUMPRODUCT(MAX(($O48&gt;=INDEX(nrPTBands,1,0))*nrPTTierPts)))))</f>
        <v/>
      </c>
      <c r="W48" s="17">
        <f>IF($B48="","",IF($P48="","",IF(COUNT(INDEX(nrPTBands,2,0))&lt;5,"",SUMPRODUCT(MAX(($P48&gt;=INDEX(nrPTBands,2,0))*nrPTTierPts)))))</f>
        <v/>
      </c>
      <c r="X48" s="17">
        <f>IF($B48="","",IF($Q48="","",IF(COUNT(INDEX(nrPTBands,3,0))&lt;5,"",SUMPRODUCT(MAX(($Q48&lt;=INDEX(nrPTBands,3,0))*nrPTTierPts)))))</f>
        <v/>
      </c>
      <c r="Y48" s="17">
        <f>IF($B48="","",IF($R48="","",IF(COUNT(INDEX(nrPTBands,4,0))&lt;5,"",SUMPRODUCT(MAX(($R48*60&lt;=INDEX(nrPTBands,4,0))*nrPTTierPts)))))</f>
        <v/>
      </c>
      <c r="Z48" s="17">
        <f>IF($B48="","",IF($S48="","",IF(COUNT(INDEX(nrPTBands,5,0))&lt;5,"",SUMPRODUCT(MAX(($S48&lt;=INDEX(nrPTBands,5,0))*nrPTTierPts)))))</f>
        <v/>
      </c>
      <c r="AA48" s="17">
        <f>IF($B48="","",IF(COUNT($V48:$Z48)=0,"",SUM($V48:$Z48)))</f>
        <v/>
      </c>
      <c r="AB48" s="17">
        <f>IF($B48="","",IF($AA48="","",IF(cfgPTFinalMinPoints=0,"(rubric pending)",IF(COUNT($V48:$Z48)&lt;5,"Incomplete",IF($AA48&gt;=cfgPTFinalMinPoints,"Yes","No")))))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17">
        <f>IF($B49="","","n/a (baseline only)")</f>
        <v/>
      </c>
      <c r="U49" s="17">
        <f>IF($B49="","","n/a")</f>
        <v/>
      </c>
      <c r="V49" s="17">
        <f>IF($B49="","",IF($O49="","",IF(COUNT(INDEX(nrPTBands,1,0))&lt;5,"",SUMPRODUCT(MAX(($O49&gt;=INDEX(nrPTBands,1,0))*nrPTTierPts)))))</f>
        <v/>
      </c>
      <c r="W49" s="17">
        <f>IF($B49="","",IF($P49="","",IF(COUNT(INDEX(nrPTBands,2,0))&lt;5,"",SUMPRODUCT(MAX(($P49&gt;=INDEX(nrPTBands,2,0))*nrPTTierPts)))))</f>
        <v/>
      </c>
      <c r="X49" s="17">
        <f>IF($B49="","",IF($Q49="","",IF(COUNT(INDEX(nrPTBands,3,0))&lt;5,"",SUMPRODUCT(MAX(($Q49&lt;=INDEX(nrPTBands,3,0))*nrPTTierPts)))))</f>
        <v/>
      </c>
      <c r="Y49" s="17">
        <f>IF($B49="","",IF($R49="","",IF(COUNT(INDEX(nrPTBands,4,0))&lt;5,"",SUMPRODUCT(MAX(($R49*60&lt;=INDEX(nrPTBands,4,0))*nrPTTierPts)))))</f>
        <v/>
      </c>
      <c r="Z49" s="17">
        <f>IF($B49="","",IF($S49="","",IF(COUNT(INDEX(nrPTBands,5,0))&lt;5,"",SUMPRODUCT(MAX(($S49&lt;=INDEX(nrPTBands,5,0))*nrPTTierPts)))))</f>
        <v/>
      </c>
      <c r="AA49" s="17">
        <f>IF($B49="","",IF(COUNT($V49:$Z49)=0,"",SUM($V49:$Z49)))</f>
        <v/>
      </c>
      <c r="AB49" s="17">
        <f>IF($B49="","",IF($AA49="","",IF(cfgPTFinalMinPoints=0,"(rubric pending)",IF(COUNT($V49:$Z49)&lt;5,"Incomplete",IF($AA49&gt;=cfgPTFinalMinPoints,"Yes","No")))))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17">
        <f>IF($B50="","","n/a (baseline only)")</f>
        <v/>
      </c>
      <c r="U50" s="17">
        <f>IF($B50="","","n/a")</f>
        <v/>
      </c>
      <c r="V50" s="17">
        <f>IF($B50="","",IF($O50="","",IF(COUNT(INDEX(nrPTBands,1,0))&lt;5,"",SUMPRODUCT(MAX(($O50&gt;=INDEX(nrPTBands,1,0))*nrPTTierPts)))))</f>
        <v/>
      </c>
      <c r="W50" s="17">
        <f>IF($B50="","",IF($P50="","",IF(COUNT(INDEX(nrPTBands,2,0))&lt;5,"",SUMPRODUCT(MAX(($P50&gt;=INDEX(nrPTBands,2,0))*nrPTTierPts)))))</f>
        <v/>
      </c>
      <c r="X50" s="17">
        <f>IF($B50="","",IF($Q50="","",IF(COUNT(INDEX(nrPTBands,3,0))&lt;5,"",SUMPRODUCT(MAX(($Q50&lt;=INDEX(nrPTBands,3,0))*nrPTTierPts)))))</f>
        <v/>
      </c>
      <c r="Y50" s="17">
        <f>IF($B50="","",IF($R50="","",IF(COUNT(INDEX(nrPTBands,4,0))&lt;5,"",SUMPRODUCT(MAX(($R50*60&lt;=INDEX(nrPTBands,4,0))*nrPTTierPts)))))</f>
        <v/>
      </c>
      <c r="Z50" s="17">
        <f>IF($B50="","",IF($S50="","",IF(COUNT(INDEX(nrPTBands,5,0))&lt;5,"",SUMPRODUCT(MAX(($S50&lt;=INDEX(nrPTBands,5,0))*nrPTTierPts)))))</f>
        <v/>
      </c>
      <c r="AA50" s="17">
        <f>IF($B50="","",IF(COUNT($V50:$Z50)=0,"",SUM($V50:$Z50)))</f>
        <v/>
      </c>
      <c r="AB50" s="17">
        <f>IF($B50="","",IF($AA50="","",IF(cfgPTFinalMinPoints=0,"(rubric pending)",IF(COUNT($V50:$Z50)&lt;5,"Incomplete",IF($AA50&gt;=cfgPTFinalMinPoints,"Yes","No")))))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17">
        <f>IF($B51="","","n/a (baseline only)")</f>
        <v/>
      </c>
      <c r="U51" s="17">
        <f>IF($B51="","","n/a")</f>
        <v/>
      </c>
      <c r="V51" s="17">
        <f>IF($B51="","",IF($O51="","",IF(COUNT(INDEX(nrPTBands,1,0))&lt;5,"",SUMPRODUCT(MAX(($O51&gt;=INDEX(nrPTBands,1,0))*nrPTTierPts)))))</f>
        <v/>
      </c>
      <c r="W51" s="17">
        <f>IF($B51="","",IF($P51="","",IF(COUNT(INDEX(nrPTBands,2,0))&lt;5,"",SUMPRODUCT(MAX(($P51&gt;=INDEX(nrPTBands,2,0))*nrPTTierPts)))))</f>
        <v/>
      </c>
      <c r="X51" s="17">
        <f>IF($B51="","",IF($Q51="","",IF(COUNT(INDEX(nrPTBands,3,0))&lt;5,"",SUMPRODUCT(MAX(($Q51&lt;=INDEX(nrPTBands,3,0))*nrPTTierPts)))))</f>
        <v/>
      </c>
      <c r="Y51" s="17">
        <f>IF($B51="","",IF($R51="","",IF(COUNT(INDEX(nrPTBands,4,0))&lt;5,"",SUMPRODUCT(MAX(($R51*60&lt;=INDEX(nrPTBands,4,0))*nrPTTierPts)))))</f>
        <v/>
      </c>
      <c r="Z51" s="17">
        <f>IF($B51="","",IF($S51="","",IF(COUNT(INDEX(nrPTBands,5,0))&lt;5,"",SUMPRODUCT(MAX(($S51&lt;=INDEX(nrPTBands,5,0))*nrPTTierPts)))))</f>
        <v/>
      </c>
      <c r="AA51" s="17">
        <f>IF($B51="","",IF(COUNT($V51:$Z51)=0,"",SUM($V51:$Z51)))</f>
        <v/>
      </c>
      <c r="AB51" s="17">
        <f>IF($B51="","",IF($AA51="","",IF(cfgPTFinalMinPoints=0,"(rubric pending)",IF(COUNT($V51:$Z51)&lt;5,"Incomplete",IF($AA51&gt;=cfgPTFinalMinPoints,"Yes","No")))))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17">
        <f>IF($B52="","","n/a (baseline only)")</f>
        <v/>
      </c>
      <c r="U52" s="17">
        <f>IF($B52="","","n/a")</f>
        <v/>
      </c>
      <c r="V52" s="17">
        <f>IF($B52="","",IF($O52="","",IF(COUNT(INDEX(nrPTBands,1,0))&lt;5,"",SUMPRODUCT(MAX(($O52&gt;=INDEX(nrPTBands,1,0))*nrPTTierPts)))))</f>
        <v/>
      </c>
      <c r="W52" s="17">
        <f>IF($B52="","",IF($P52="","",IF(COUNT(INDEX(nrPTBands,2,0))&lt;5,"",SUMPRODUCT(MAX(($P52&gt;=INDEX(nrPTBands,2,0))*nrPTTierPts)))))</f>
        <v/>
      </c>
      <c r="X52" s="17">
        <f>IF($B52="","",IF($Q52="","",IF(COUNT(INDEX(nrPTBands,3,0))&lt;5,"",SUMPRODUCT(MAX(($Q52&lt;=INDEX(nrPTBands,3,0))*nrPTTierPts)))))</f>
        <v/>
      </c>
      <c r="Y52" s="17">
        <f>IF($B52="","",IF($R52="","",IF(COUNT(INDEX(nrPTBands,4,0))&lt;5,"",SUMPRODUCT(MAX(($R52*60&lt;=INDEX(nrPTBands,4,0))*nrPTTierPts)))))</f>
        <v/>
      </c>
      <c r="Z52" s="17">
        <f>IF($B52="","",IF($S52="","",IF(COUNT(INDEX(nrPTBands,5,0))&lt;5,"",SUMPRODUCT(MAX(($S52&lt;=INDEX(nrPTBands,5,0))*nrPTTierPts)))))</f>
        <v/>
      </c>
      <c r="AA52" s="17">
        <f>IF($B52="","",IF(COUNT($V52:$Z52)=0,"",SUM($V52:$Z52)))</f>
        <v/>
      </c>
      <c r="AB52" s="17">
        <f>IF($B52="","",IF($AA52="","",IF(cfgPTFinalMinPoints=0,"(rubric pending)",IF(COUNT($V52:$Z52)&lt;5,"Incomplete",IF($AA52&gt;=cfgPTFinalMinPoints,"Yes","No")))))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17">
        <f>IF($B53="","","n/a (baseline only)")</f>
        <v/>
      </c>
      <c r="U53" s="17">
        <f>IF($B53="","","n/a")</f>
        <v/>
      </c>
      <c r="V53" s="17">
        <f>IF($B53="","",IF($O53="","",IF(COUNT(INDEX(nrPTBands,1,0))&lt;5,"",SUMPRODUCT(MAX(($O53&gt;=INDEX(nrPTBands,1,0))*nrPTTierPts)))))</f>
        <v/>
      </c>
      <c r="W53" s="17">
        <f>IF($B53="","",IF($P53="","",IF(COUNT(INDEX(nrPTBands,2,0))&lt;5,"",SUMPRODUCT(MAX(($P53&gt;=INDEX(nrPTBands,2,0))*nrPTTierPts)))))</f>
        <v/>
      </c>
      <c r="X53" s="17">
        <f>IF($B53="","",IF($Q53="","",IF(COUNT(INDEX(nrPTBands,3,0))&lt;5,"",SUMPRODUCT(MAX(($Q53&lt;=INDEX(nrPTBands,3,0))*nrPTTierPts)))))</f>
        <v/>
      </c>
      <c r="Y53" s="17">
        <f>IF($B53="","",IF($R53="","",IF(COUNT(INDEX(nrPTBands,4,0))&lt;5,"",SUMPRODUCT(MAX(($R53*60&lt;=INDEX(nrPTBands,4,0))*nrPTTierPts)))))</f>
        <v/>
      </c>
      <c r="Z53" s="17">
        <f>IF($B53="","",IF($S53="","",IF(COUNT(INDEX(nrPTBands,5,0))&lt;5,"",SUMPRODUCT(MAX(($S53&lt;=INDEX(nrPTBands,5,0))*nrPTTierPts)))))</f>
        <v/>
      </c>
      <c r="AA53" s="17">
        <f>IF($B53="","",IF(COUNT($V53:$Z53)=0,"",SUM($V53:$Z53)))</f>
        <v/>
      </c>
      <c r="AB53" s="17">
        <f>IF($B53="","",IF($AA53="","",IF(cfgPTFinalMinPoints=0,"(rubric pending)",IF(COUNT($V53:$Z53)&lt;5,"Incomplete",IF($AA53&gt;=cfgPTFinalMinPoints,"Yes","No")))))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17">
        <f>IF($B54="","","n/a (baseline only)")</f>
        <v/>
      </c>
      <c r="U54" s="17">
        <f>IF($B54="","","n/a")</f>
        <v/>
      </c>
      <c r="V54" s="17">
        <f>IF($B54="","",IF($O54="","",IF(COUNT(INDEX(nrPTBands,1,0))&lt;5,"",SUMPRODUCT(MAX(($O54&gt;=INDEX(nrPTBands,1,0))*nrPTTierPts)))))</f>
        <v/>
      </c>
      <c r="W54" s="17">
        <f>IF($B54="","",IF($P54="","",IF(COUNT(INDEX(nrPTBands,2,0))&lt;5,"",SUMPRODUCT(MAX(($P54&gt;=INDEX(nrPTBands,2,0))*nrPTTierPts)))))</f>
        <v/>
      </c>
      <c r="X54" s="17">
        <f>IF($B54="","",IF($Q54="","",IF(COUNT(INDEX(nrPTBands,3,0))&lt;5,"",SUMPRODUCT(MAX(($Q54&lt;=INDEX(nrPTBands,3,0))*nrPTTierPts)))))</f>
        <v/>
      </c>
      <c r="Y54" s="17">
        <f>IF($B54="","",IF($R54="","",IF(COUNT(INDEX(nrPTBands,4,0))&lt;5,"",SUMPRODUCT(MAX(($R54*60&lt;=INDEX(nrPTBands,4,0))*nrPTTierPts)))))</f>
        <v/>
      </c>
      <c r="Z54" s="17">
        <f>IF($B54="","",IF($S54="","",IF(COUNT(INDEX(nrPTBands,5,0))&lt;5,"",SUMPRODUCT(MAX(($S54&lt;=INDEX(nrPTBands,5,0))*nrPTTierPts)))))</f>
        <v/>
      </c>
      <c r="AA54" s="17">
        <f>IF($B54="","",IF(COUNT($V54:$Z54)=0,"",SUM($V54:$Z54)))</f>
        <v/>
      </c>
      <c r="AB54" s="17">
        <f>IF($B54="","",IF($AA54="","",IF(cfgPTFinalMinPoints=0,"(rubric pending)",IF(COUNT($V54:$Z54)&lt;5,"Incomplete",IF($AA54&gt;=cfgPTFinalMinPoints,"Yes","No")))))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17">
        <f>IF($B55="","","n/a (baseline only)")</f>
        <v/>
      </c>
      <c r="U55" s="17">
        <f>IF($B55="","","n/a")</f>
        <v/>
      </c>
      <c r="V55" s="17">
        <f>IF($B55="","",IF($O55="","",IF(COUNT(INDEX(nrPTBands,1,0))&lt;5,"",SUMPRODUCT(MAX(($O55&gt;=INDEX(nrPTBands,1,0))*nrPTTierPts)))))</f>
        <v/>
      </c>
      <c r="W55" s="17">
        <f>IF($B55="","",IF($P55="","",IF(COUNT(INDEX(nrPTBands,2,0))&lt;5,"",SUMPRODUCT(MAX(($P55&gt;=INDEX(nrPTBands,2,0))*nrPTTierPts)))))</f>
        <v/>
      </c>
      <c r="X55" s="17">
        <f>IF($B55="","",IF($Q55="","",IF(COUNT(INDEX(nrPTBands,3,0))&lt;5,"",SUMPRODUCT(MAX(($Q55&lt;=INDEX(nrPTBands,3,0))*nrPTTierPts)))))</f>
        <v/>
      </c>
      <c r="Y55" s="17">
        <f>IF($B55="","",IF($R55="","",IF(COUNT(INDEX(nrPTBands,4,0))&lt;5,"",SUMPRODUCT(MAX(($R55*60&lt;=INDEX(nrPTBands,4,0))*nrPTTierPts)))))</f>
        <v/>
      </c>
      <c r="Z55" s="17">
        <f>IF($B55="","",IF($S55="","",IF(COUNT(INDEX(nrPTBands,5,0))&lt;5,"",SUMPRODUCT(MAX(($S55&lt;=INDEX(nrPTBands,5,0))*nrPTTierPts)))))</f>
        <v/>
      </c>
      <c r="AA55" s="17">
        <f>IF($B55="","",IF(COUNT($V55:$Z55)=0,"",SUM($V55:$Z55)))</f>
        <v/>
      </c>
      <c r="AB55" s="17">
        <f>IF($B55="","",IF($AA55="","",IF(cfgPTFinalMinPoints=0,"(rubric pending)",IF(COUNT($V55:$Z55)&lt;5,"Incomplete",IF($AA55&gt;=cfgPTFinalMinPoints,"Yes","No")))))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C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V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 width="30" customWidth="1" min="22" max="22"/>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 - every cert must have a date AND Copy? = Yes. Copy? = N/A waives that requirement entirely, so every waiver is named in 'Waived (N/A)' and counted on the Audit sheet; be ready to justify each one to a TCOLE field agent.</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c r="V5" s="12" t="inlineStr">
        <is>
          <t>Waived (N/A)</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c r="V6" s="17">
        <f>IF($B6="","",_xlfn.TEXTJOIN("; ",TRUE,IF($E6="N/A","TIM",""),IF($G6="N/A","SFST",""),IF($I6="N/A","TCIC",""),IF($K6="N/A","CPR/AED",""),IF($M6="N/A","ALERRT",""),IF($O6="N/A","ICS 100",""),IF($Q6="N/A","ICS 200",""),IF($S6="N/A","ICS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c r="V7" s="17">
        <f>IF($B7="","",_xlfn.TEXTJOIN("; ",TRUE,IF($E7="N/A","TIM",""),IF($G7="N/A","SFST",""),IF($I7="N/A","TCIC",""),IF($K7="N/A","CPR/AED",""),IF($M7="N/A","ALERRT",""),IF($O7="N/A","ICS 100",""),IF($Q7="N/A","ICS 200",""),IF($S7="N/A","ICS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c r="V8" s="17">
        <f>IF($B8="","",_xlfn.TEXTJOIN("; ",TRUE,IF($E8="N/A","TIM",""),IF($G8="N/A","SFST",""),IF($I8="N/A","TCIC",""),IF($K8="N/A","CPR/AED",""),IF($M8="N/A","ALERRT",""),IF($O8="N/A","ICS 100",""),IF($Q8="N/A","ICS 200",""),IF($S8="N/A","ICS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c r="V9" s="17">
        <f>IF($B9="","",_xlfn.TEXTJOIN("; ",TRUE,IF($E9="N/A","TIM",""),IF($G9="N/A","SFST",""),IF($I9="N/A","TCIC",""),IF($K9="N/A","CPR/AED",""),IF($M9="N/A","ALERRT",""),IF($O9="N/A","ICS 100",""),IF($Q9="N/A","ICS 200",""),IF($S9="N/A","ICS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c r="V10" s="17">
        <f>IF($B10="","",_xlfn.TEXTJOIN("; ",TRUE,IF($E10="N/A","TIM",""),IF($G10="N/A","SFST",""),IF($I10="N/A","TCIC",""),IF($K10="N/A","CPR/AED",""),IF($M10="N/A","ALERRT",""),IF($O10="N/A","ICS 100",""),IF($Q10="N/A","ICS 200",""),IF($S10="N/A","ICS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c r="V11" s="17">
        <f>IF($B11="","",_xlfn.TEXTJOIN("; ",TRUE,IF($E11="N/A","TIM",""),IF($G11="N/A","SFST",""),IF($I11="N/A","TCIC",""),IF($K11="N/A","CPR/AED",""),IF($M11="N/A","ALERRT",""),IF($O11="N/A","ICS 100",""),IF($Q11="N/A","ICS 200",""),IF($S11="N/A","ICS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c r="V12" s="17">
        <f>IF($B12="","",_xlfn.TEXTJOIN("; ",TRUE,IF($E12="N/A","TIM",""),IF($G12="N/A","SFST",""),IF($I12="N/A","TCIC",""),IF($K12="N/A","CPR/AED",""),IF($M12="N/A","ALERRT",""),IF($O12="N/A","ICS 100",""),IF($Q12="N/A","ICS 200",""),IF($S12="N/A","ICS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c r="V13" s="17">
        <f>IF($B13="","",_xlfn.TEXTJOIN("; ",TRUE,IF($E13="N/A","TIM",""),IF($G13="N/A","SFST",""),IF($I13="N/A","TCIC",""),IF($K13="N/A","CPR/AED",""),IF($M13="N/A","ALERRT",""),IF($O13="N/A","ICS 100",""),IF($Q13="N/A","ICS 200",""),IF($S13="N/A","ICS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c r="V14" s="17">
        <f>IF($B14="","",_xlfn.TEXTJOIN("; ",TRUE,IF($E14="N/A","TIM",""),IF($G14="N/A","SFST",""),IF($I14="N/A","TCIC",""),IF($K14="N/A","CPR/AED",""),IF($M14="N/A","ALERRT",""),IF($O14="N/A","ICS 100",""),IF($Q14="N/A","ICS 200",""),IF($S14="N/A","ICS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c r="V15" s="17">
        <f>IF($B15="","",_xlfn.TEXTJOIN("; ",TRUE,IF($E15="N/A","TIM",""),IF($G15="N/A","SFST",""),IF($I15="N/A","TCIC",""),IF($K15="N/A","CPR/AED",""),IF($M15="N/A","ALERRT",""),IF($O15="N/A","ICS 100",""),IF($Q15="N/A","ICS 200",""),IF($S15="N/A","ICS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c r="V16" s="17">
        <f>IF($B16="","",_xlfn.TEXTJOIN("; ",TRUE,IF($E16="N/A","TIM",""),IF($G16="N/A","SFST",""),IF($I16="N/A","TCIC",""),IF($K16="N/A","CPR/AED",""),IF($M16="N/A","ALERRT",""),IF($O16="N/A","ICS 100",""),IF($Q16="N/A","ICS 200",""),IF($S16="N/A","ICS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c r="V17" s="17">
        <f>IF($B17="","",_xlfn.TEXTJOIN("; ",TRUE,IF($E17="N/A","TIM",""),IF($G17="N/A","SFST",""),IF($I17="N/A","TCIC",""),IF($K17="N/A","CPR/AED",""),IF($M17="N/A","ALERRT",""),IF($O17="N/A","ICS 100",""),IF($Q17="N/A","ICS 200",""),IF($S17="N/A","ICS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c r="V18" s="17">
        <f>IF($B18="","",_xlfn.TEXTJOIN("; ",TRUE,IF($E18="N/A","TIM",""),IF($G18="N/A","SFST",""),IF($I18="N/A","TCIC",""),IF($K18="N/A","CPR/AED",""),IF($M18="N/A","ALERRT",""),IF($O18="N/A","ICS 100",""),IF($Q18="N/A","ICS 200",""),IF($S18="N/A","ICS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c r="V19" s="17">
        <f>IF($B19="","",_xlfn.TEXTJOIN("; ",TRUE,IF($E19="N/A","TIM",""),IF($G19="N/A","SFST",""),IF($I19="N/A","TCIC",""),IF($K19="N/A","CPR/AED",""),IF($M19="N/A","ALERRT",""),IF($O19="N/A","ICS 100",""),IF($Q19="N/A","ICS 200",""),IF($S19="N/A","ICS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c r="V20" s="17">
        <f>IF($B20="","",_xlfn.TEXTJOIN("; ",TRUE,IF($E20="N/A","TIM",""),IF($G20="N/A","SFST",""),IF($I20="N/A","TCIC",""),IF($K20="N/A","CPR/AED",""),IF($M20="N/A","ALERRT",""),IF($O20="N/A","ICS 100",""),IF($Q20="N/A","ICS 200",""),IF($S20="N/A","ICS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c r="V21" s="17">
        <f>IF($B21="","",_xlfn.TEXTJOIN("; ",TRUE,IF($E21="N/A","TIM",""),IF($G21="N/A","SFST",""),IF($I21="N/A","TCIC",""),IF($K21="N/A","CPR/AED",""),IF($M21="N/A","ALERRT",""),IF($O21="N/A","ICS 100",""),IF($Q21="N/A","ICS 200",""),IF($S21="N/A","ICS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c r="V22" s="17">
        <f>IF($B22="","",_xlfn.TEXTJOIN("; ",TRUE,IF($E22="N/A","TIM",""),IF($G22="N/A","SFST",""),IF($I22="N/A","TCIC",""),IF($K22="N/A","CPR/AED",""),IF($M22="N/A","ALERRT",""),IF($O22="N/A","ICS 100",""),IF($Q22="N/A","ICS 200",""),IF($S22="N/A","ICS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c r="V23" s="17">
        <f>IF($B23="","",_xlfn.TEXTJOIN("; ",TRUE,IF($E23="N/A","TIM",""),IF($G23="N/A","SFST",""),IF($I23="N/A","TCIC",""),IF($K23="N/A","CPR/AED",""),IF($M23="N/A","ALERRT",""),IF($O23="N/A","ICS 100",""),IF($Q23="N/A","ICS 200",""),IF($S23="N/A","ICS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c r="V24" s="17">
        <f>IF($B24="","",_xlfn.TEXTJOIN("; ",TRUE,IF($E24="N/A","TIM",""),IF($G24="N/A","SFST",""),IF($I24="N/A","TCIC",""),IF($K24="N/A","CPR/AED",""),IF($M24="N/A","ALERRT",""),IF($O24="N/A","ICS 100",""),IF($Q24="N/A","ICS 200",""),IF($S24="N/A","ICS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c r="V25" s="17">
        <f>IF($B25="","",_xlfn.TEXTJOIN("; ",TRUE,IF($E25="N/A","TIM",""),IF($G25="N/A","SFST",""),IF($I25="N/A","TCIC",""),IF($K25="N/A","CPR/AED",""),IF($M25="N/A","ALERRT",""),IF($O25="N/A","ICS 100",""),IF($Q25="N/A","ICS 200",""),IF($S25="N/A","ICS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c r="V26" s="17">
        <f>IF($B26="","",_xlfn.TEXTJOIN("; ",TRUE,IF($E26="N/A","TIM",""),IF($G26="N/A","SFST",""),IF($I26="N/A","TCIC",""),IF($K26="N/A","CPR/AED",""),IF($M26="N/A","ALERRT",""),IF($O26="N/A","ICS 100",""),IF($Q26="N/A","ICS 200",""),IF($S26="N/A","ICS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c r="V27" s="17">
        <f>IF($B27="","",_xlfn.TEXTJOIN("; ",TRUE,IF($E27="N/A","TIM",""),IF($G27="N/A","SFST",""),IF($I27="N/A","TCIC",""),IF($K27="N/A","CPR/AED",""),IF($M27="N/A","ALERRT",""),IF($O27="N/A","ICS 100",""),IF($Q27="N/A","ICS 200",""),IF($S27="N/A","ICS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c r="V28" s="17">
        <f>IF($B28="","",_xlfn.TEXTJOIN("; ",TRUE,IF($E28="N/A","TIM",""),IF($G28="N/A","SFST",""),IF($I28="N/A","TCIC",""),IF($K28="N/A","CPR/AED",""),IF($M28="N/A","ALERRT",""),IF($O28="N/A","ICS 100",""),IF($Q28="N/A","ICS 200",""),IF($S28="N/A","ICS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c r="V29" s="17">
        <f>IF($B29="","",_xlfn.TEXTJOIN("; ",TRUE,IF($E29="N/A","TIM",""),IF($G29="N/A","SFST",""),IF($I29="N/A","TCIC",""),IF($K29="N/A","CPR/AED",""),IF($M29="N/A","ALERRT",""),IF($O29="N/A","ICS 100",""),IF($Q29="N/A","ICS 200",""),IF($S29="N/A","ICS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c r="V30" s="17">
        <f>IF($B30="","",_xlfn.TEXTJOIN("; ",TRUE,IF($E30="N/A","TIM",""),IF($G30="N/A","SFST",""),IF($I30="N/A","TCIC",""),IF($K30="N/A","CPR/AED",""),IF($M30="N/A","ALERRT",""),IF($O30="N/A","ICS 100",""),IF($Q30="N/A","ICS 200",""),IF($S30="N/A","ICS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c r="V31" s="17">
        <f>IF($B31="","",_xlfn.TEXTJOIN("; ",TRUE,IF($E31="N/A","TIM",""),IF($G31="N/A","SFST",""),IF($I31="N/A","TCIC",""),IF($K31="N/A","CPR/AED",""),IF($M31="N/A","ALERRT",""),IF($O31="N/A","ICS 100",""),IF($Q31="N/A","ICS 200",""),IF($S31="N/A","ICS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c r="V32" s="17">
        <f>IF($B32="","",_xlfn.TEXTJOIN("; ",TRUE,IF($E32="N/A","TIM",""),IF($G32="N/A","SFST",""),IF($I32="N/A","TCIC",""),IF($K32="N/A","CPR/AED",""),IF($M32="N/A","ALERRT",""),IF($O32="N/A","ICS 100",""),IF($Q32="N/A","ICS 200",""),IF($S32="N/A","ICS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c r="V33" s="17">
        <f>IF($B33="","",_xlfn.TEXTJOIN("; ",TRUE,IF($E33="N/A","TIM",""),IF($G33="N/A","SFST",""),IF($I33="N/A","TCIC",""),IF($K33="N/A","CPR/AED",""),IF($M33="N/A","ALERRT",""),IF($O33="N/A","ICS 100",""),IF($Q33="N/A","ICS 200",""),IF($S33="N/A","ICS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c r="V34" s="17">
        <f>IF($B34="","",_xlfn.TEXTJOIN("; ",TRUE,IF($E34="N/A","TIM",""),IF($G34="N/A","SFST",""),IF($I34="N/A","TCIC",""),IF($K34="N/A","CPR/AED",""),IF($M34="N/A","ALERRT",""),IF($O34="N/A","ICS 100",""),IF($Q34="N/A","ICS 200",""),IF($S34="N/A","ICS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c r="V35" s="17">
        <f>IF($B35="","",_xlfn.TEXTJOIN("; ",TRUE,IF($E35="N/A","TIM",""),IF($G35="N/A","SFST",""),IF($I35="N/A","TCIC",""),IF($K35="N/A","CPR/AED",""),IF($M35="N/A","ALERRT",""),IF($O35="N/A","ICS 100",""),IF($Q35="N/A","ICS 200",""),IF($S35="N/A","ICS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c r="V36" s="17">
        <f>IF($B36="","",_xlfn.TEXTJOIN("; ",TRUE,IF($E36="N/A","TIM",""),IF($G36="N/A","SFST",""),IF($I36="N/A","TCIC",""),IF($K36="N/A","CPR/AED",""),IF($M36="N/A","ALERRT",""),IF($O36="N/A","ICS 100",""),IF($Q36="N/A","ICS 200",""),IF($S36="N/A","ICS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c r="V37" s="17">
        <f>IF($B37="","",_xlfn.TEXTJOIN("; ",TRUE,IF($E37="N/A","TIM",""),IF($G37="N/A","SFST",""),IF($I37="N/A","TCIC",""),IF($K37="N/A","CPR/AED",""),IF($M37="N/A","ALERRT",""),IF($O37="N/A","ICS 100",""),IF($Q37="N/A","ICS 200",""),IF($S37="N/A","ICS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c r="V38" s="17">
        <f>IF($B38="","",_xlfn.TEXTJOIN("; ",TRUE,IF($E38="N/A","TIM",""),IF($G38="N/A","SFST",""),IF($I38="N/A","TCIC",""),IF($K38="N/A","CPR/AED",""),IF($M38="N/A","ALERRT",""),IF($O38="N/A","ICS 100",""),IF($Q38="N/A","ICS 200",""),IF($S38="N/A","ICS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c r="V39" s="17">
        <f>IF($B39="","",_xlfn.TEXTJOIN("; ",TRUE,IF($E39="N/A","TIM",""),IF($G39="N/A","SFST",""),IF($I39="N/A","TCIC",""),IF($K39="N/A","CPR/AED",""),IF($M39="N/A","ALERRT",""),IF($O39="N/A","ICS 100",""),IF($Q39="N/A","ICS 200",""),IF($S39="N/A","ICS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c r="V40" s="17">
        <f>IF($B40="","",_xlfn.TEXTJOIN("; ",TRUE,IF($E40="N/A","TIM",""),IF($G40="N/A","SFST",""),IF($I40="N/A","TCIC",""),IF($K40="N/A","CPR/AED",""),IF($M40="N/A","ALERRT",""),IF($O40="N/A","ICS 100",""),IF($Q40="N/A","ICS 200",""),IF($S40="N/A","ICS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c r="V41" s="17">
        <f>IF($B41="","",_xlfn.TEXTJOIN("; ",TRUE,IF($E41="N/A","TIM",""),IF($G41="N/A","SFST",""),IF($I41="N/A","TCIC",""),IF($K41="N/A","CPR/AED",""),IF($M41="N/A","ALERRT",""),IF($O41="N/A","ICS 100",""),IF($Q41="N/A","ICS 200",""),IF($S41="N/A","ICS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c r="V42" s="17">
        <f>IF($B42="","",_xlfn.TEXTJOIN("; ",TRUE,IF($E42="N/A","TIM",""),IF($G42="N/A","SFST",""),IF($I42="N/A","TCIC",""),IF($K42="N/A","CPR/AED",""),IF($M42="N/A","ALERRT",""),IF($O42="N/A","ICS 100",""),IF($Q42="N/A","ICS 200",""),IF($S42="N/A","ICS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c r="V43" s="17">
        <f>IF($B43="","",_xlfn.TEXTJOIN("; ",TRUE,IF($E43="N/A","TIM",""),IF($G43="N/A","SFST",""),IF($I43="N/A","TCIC",""),IF($K43="N/A","CPR/AED",""),IF($M43="N/A","ALERRT",""),IF($O43="N/A","ICS 100",""),IF($Q43="N/A","ICS 200",""),IF($S43="N/A","ICS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c r="V44" s="17">
        <f>IF($B44="","",_xlfn.TEXTJOIN("; ",TRUE,IF($E44="N/A","TIM",""),IF($G44="N/A","SFST",""),IF($I44="N/A","TCIC",""),IF($K44="N/A","CPR/AED",""),IF($M44="N/A","ALERRT",""),IF($O44="N/A","ICS 100",""),IF($Q44="N/A","ICS 200",""),IF($S44="N/A","ICS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c r="V45" s="17">
        <f>IF($B45="","",_xlfn.TEXTJOIN("; ",TRUE,IF($E45="N/A","TIM",""),IF($G45="N/A","SFST",""),IF($I45="N/A","TCIC",""),IF($K45="N/A","CPR/AED",""),IF($M45="N/A","ALERRT",""),IF($O45="N/A","ICS 100",""),IF($Q45="N/A","ICS 200",""),IF($S45="N/A","ICS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c r="V46" s="17">
        <f>IF($B46="","",_xlfn.TEXTJOIN("; ",TRUE,IF($E46="N/A","TIM",""),IF($G46="N/A","SFST",""),IF($I46="N/A","TCIC",""),IF($K46="N/A","CPR/AED",""),IF($M46="N/A","ALERRT",""),IF($O46="N/A","ICS 100",""),IF($Q46="N/A","ICS 200",""),IF($S46="N/A","ICS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c r="V47" s="17">
        <f>IF($B47="","",_xlfn.TEXTJOIN("; ",TRUE,IF($E47="N/A","TIM",""),IF($G47="N/A","SFST",""),IF($I47="N/A","TCIC",""),IF($K47="N/A","CPR/AED",""),IF($M47="N/A","ALERRT",""),IF($O47="N/A","ICS 100",""),IF($Q47="N/A","ICS 200",""),IF($S47="N/A","ICS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c r="V48" s="17">
        <f>IF($B48="","",_xlfn.TEXTJOIN("; ",TRUE,IF($E48="N/A","TIM",""),IF($G48="N/A","SFST",""),IF($I48="N/A","TCIC",""),IF($K48="N/A","CPR/AED",""),IF($M48="N/A","ALERRT",""),IF($O48="N/A","ICS 100",""),IF($Q48="N/A","ICS 200",""),IF($S48="N/A","ICS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c r="V49" s="17">
        <f>IF($B49="","",_xlfn.TEXTJOIN("; ",TRUE,IF($E49="N/A","TIM",""),IF($G49="N/A","SFST",""),IF($I49="N/A","TCIC",""),IF($K49="N/A","CPR/AED",""),IF($M49="N/A","ALERRT",""),IF($O49="N/A","ICS 100",""),IF($Q49="N/A","ICS 200",""),IF($S49="N/A","ICS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c r="V50" s="17">
        <f>IF($B50="","",_xlfn.TEXTJOIN("; ",TRUE,IF($E50="N/A","TIM",""),IF($G50="N/A","SFST",""),IF($I50="N/A","TCIC",""),IF($K50="N/A","CPR/AED",""),IF($M50="N/A","ALERRT",""),IF($O50="N/A","ICS 100",""),IF($Q50="N/A","ICS 200",""),IF($S50="N/A","ICS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c r="V51" s="17">
        <f>IF($B51="","",_xlfn.TEXTJOIN("; ",TRUE,IF($E51="N/A","TIM",""),IF($G51="N/A","SFST",""),IF($I51="N/A","TCIC",""),IF($K51="N/A","CPR/AED",""),IF($M51="N/A","ALERRT",""),IF($O51="N/A","ICS 100",""),IF($Q51="N/A","ICS 200",""),IF($S51="N/A","ICS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c r="V52" s="17">
        <f>IF($B52="","",_xlfn.TEXTJOIN("; ",TRUE,IF($E52="N/A","TIM",""),IF($G52="N/A","SFST",""),IF($I52="N/A","TCIC",""),IF($K52="N/A","CPR/AED",""),IF($M52="N/A","ALERRT",""),IF($O52="N/A","ICS 100",""),IF($Q52="N/A","ICS 200",""),IF($S52="N/A","ICS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c r="V53" s="17">
        <f>IF($B53="","",_xlfn.TEXTJOIN("; ",TRUE,IF($E53="N/A","TIM",""),IF($G53="N/A","SFST",""),IF($I53="N/A","TCIC",""),IF($K53="N/A","CPR/AED",""),IF($M53="N/A","ALERRT",""),IF($O53="N/A","ICS 100",""),IF($Q53="N/A","ICS 200",""),IF($S53="N/A","ICS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c r="V54" s="17">
        <f>IF($B54="","",_xlfn.TEXTJOIN("; ",TRUE,IF($E54="N/A","TIM",""),IF($G54="N/A","SFST",""),IF($I54="N/A","TCIC",""),IF($K54="N/A","CPR/AED",""),IF($M54="N/A","ALERRT",""),IF($O54="N/A","ICS 100",""),IF($Q54="N/A","ICS 200",""),IF($S54="N/A","ICS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c r="V55" s="17">
        <f>IF($B55="","",_xlfn.TEXTJOIN("; ",TRUE,IF($E55="N/A","TIM",""),IF($G55="N/A","SFST",""),IF($I55="N/A","TCIC",""),IF($K55="N/A","CPR/AED",""),IF($M55="N/A","ALERRT",""),IF($O55="N/A","ICS 100",""),IF($Q55="N/A","ICS 200",""),IF($S55="N/A","ICS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3">
      <formula>"Yes"</formula>
    </cfRule>
    <cfRule type="cellIs" priority="2" operator="equal" dxfId="0">
      <formula>"No"</formula>
    </cfRule>
  </conditionalFormatting>
  <conditionalFormatting sqref="V6:V55">
    <cfRule type="expression" priority="3" dxfId="0">
      <formula>$V6&lt;&gt;""</formula>
    </cfRule>
  </conditionalFormatting>
  <conditionalFormatting sqref="B6:U55">
    <cfRule type="expression" priority="4"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0">
      <formula>LEFT($K6,6)="FAILED"</formula>
    </cfRule>
    <cfRule type="expression" priority="2" dxfId="3">
      <formula>LEFT($K6,6)="PASSED"</formula>
    </cfRule>
  </conditionalFormatting>
  <conditionalFormatting sqref="B6:L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2" t="n"/>
    </row>
    <row r="7">
      <c r="B7" s="3" t="inlineStr">
        <is>
          <t>Board minutes reviewed for this academy?</t>
        </is>
      </c>
      <c r="D7" s="16" t="n"/>
      <c r="E7" s="22" t="n"/>
    </row>
    <row r="8">
      <c r="B8" s="3" t="inlineStr">
        <is>
          <t>Rules/procedures aligned in this workbook?</t>
        </is>
      </c>
      <c r="D8" s="16" t="n"/>
      <c r="E8" s="22" t="n"/>
    </row>
    <row r="9">
      <c r="B9" s="3" t="inlineStr">
        <is>
          <t>Reviewed by / date</t>
        </is>
      </c>
      <c r="D9" s="16" t="n"/>
      <c r="E9" s="22" t="n"/>
    </row>
    <row r="10"/>
    <row r="11" ht="26" customHeight="1">
      <c r="B11" s="12" t="inlineStr">
        <is>
          <t>Meeting Date</t>
        </is>
      </c>
      <c r="C11" s="12" t="inlineStr">
        <is>
          <t>Minutes Location (server folder)</t>
        </is>
      </c>
      <c r="D11" s="22" t="n"/>
      <c r="E11" s="12" t="inlineStr">
        <is>
          <t>Changes Affecting Academy?</t>
        </is>
      </c>
      <c r="F11" s="12" t="inlineStr">
        <is>
          <t>What Changed / Workbook Updates Made</t>
        </is>
      </c>
      <c r="G11" s="22" t="n"/>
      <c r="H11" s="12" t="inlineStr">
        <is>
          <t>Reviewed By</t>
        </is>
      </c>
      <c r="I11" s="12" t="inlineStr">
        <is>
          <t>Date Reviewed</t>
        </is>
      </c>
    </row>
    <row r="12">
      <c r="B12" s="18" t="n"/>
      <c r="C12" s="16" t="n"/>
      <c r="E12" s="16" t="n"/>
      <c r="F12" s="23" t="n"/>
      <c r="H12" s="16" t="n"/>
      <c r="I12" s="18" t="n"/>
    </row>
    <row r="13">
      <c r="B13" s="18" t="n"/>
      <c r="C13" s="16" t="n"/>
      <c r="E13" s="16" t="n"/>
      <c r="F13" s="23" t="n"/>
      <c r="H13" s="16" t="n"/>
      <c r="I13" s="18" t="n"/>
    </row>
    <row r="14">
      <c r="B14" s="18" t="n"/>
      <c r="C14" s="16" t="n"/>
      <c r="E14" s="16" t="n"/>
      <c r="F14" s="23" t="n"/>
      <c r="H14" s="16" t="n"/>
      <c r="I14" s="18" t="n"/>
    </row>
    <row r="15">
      <c r="B15" s="18" t="n"/>
      <c r="C15" s="16" t="n"/>
      <c r="E15" s="16" t="n"/>
      <c r="F15" s="23" t="n"/>
      <c r="H15" s="16" t="n"/>
      <c r="I15" s="18" t="n"/>
    </row>
    <row r="16">
      <c r="B16" s="18" t="n"/>
      <c r="C16" s="16" t="n"/>
      <c r="E16" s="16" t="n"/>
      <c r="F16" s="23" t="n"/>
      <c r="H16" s="16" t="n"/>
      <c r="I16" s="18" t="n"/>
    </row>
    <row r="17">
      <c r="B17" s="18" t="n"/>
      <c r="C17" s="16" t="n"/>
      <c r="E17" s="16" t="n"/>
      <c r="F17" s="23" t="n"/>
      <c r="H17" s="16" t="n"/>
      <c r="I17" s="18" t="n"/>
    </row>
    <row r="18">
      <c r="B18" s="18" t="n"/>
      <c r="C18" s="16" t="n"/>
      <c r="E18" s="16" t="n"/>
      <c r="F18" s="23" t="n"/>
      <c r="H18" s="16" t="n"/>
      <c r="I18" s="18" t="n"/>
    </row>
    <row r="19">
      <c r="B19" s="18" t="n"/>
      <c r="C19" s="16" t="n"/>
      <c r="E19" s="16" t="n"/>
      <c r="F19" s="23" t="n"/>
      <c r="H19" s="16" t="n"/>
      <c r="I19" s="18" t="n"/>
    </row>
    <row r="20">
      <c r="B20" s="18" t="n"/>
      <c r="C20" s="16" t="n"/>
      <c r="E20" s="16" t="n"/>
      <c r="F20" s="23" t="n"/>
      <c r="H20" s="16" t="n"/>
      <c r="I20" s="18" t="n"/>
    </row>
    <row r="21">
      <c r="B21" s="18" t="n"/>
      <c r="C21" s="16" t="n"/>
      <c r="E21" s="16" t="n"/>
      <c r="F21" s="23" t="n"/>
      <c r="H21" s="16" t="n"/>
      <c r="I21" s="18" t="n"/>
    </row>
    <row r="22">
      <c r="B22" s="18" t="n"/>
      <c r="C22" s="16" t="n"/>
      <c r="E22" s="16" t="n"/>
      <c r="F22" s="23" t="n"/>
      <c r="H22" s="16" t="n"/>
      <c r="I22" s="18" t="n"/>
    </row>
    <row r="23">
      <c r="B23" s="18" t="n"/>
      <c r="C23" s="16" t="n"/>
      <c r="E23" s="16" t="n"/>
      <c r="F23" s="23" t="n"/>
      <c r="H23" s="16" t="n"/>
      <c r="I23" s="18" t="n"/>
    </row>
    <row r="24">
      <c r="B24" s="18" t="n"/>
      <c r="C24" s="16" t="n"/>
      <c r="E24" s="16" t="n"/>
      <c r="F24" s="23" t="n"/>
      <c r="H24" s="16" t="n"/>
      <c r="I24" s="18" t="n"/>
    </row>
    <row r="25">
      <c r="B25" s="18" t="n"/>
      <c r="C25" s="16" t="n"/>
      <c r="E25" s="16" t="n"/>
      <c r="F25" s="23" t="n"/>
      <c r="H25" s="16" t="n"/>
      <c r="I25" s="18" t="n"/>
    </row>
    <row r="26">
      <c r="B26" s="18" t="n"/>
      <c r="C26" s="16" t="n"/>
      <c r="E26" s="16" t="n"/>
      <c r="F26" s="23" t="n"/>
      <c r="H26" s="16" t="n"/>
      <c r="I26" s="18" t="n"/>
    </row>
    <row r="27">
      <c r="B27" s="18" t="n"/>
      <c r="C27" s="16" t="n"/>
      <c r="E27" s="16" t="n"/>
      <c r="F27" s="23" t="n"/>
      <c r="H27" s="16" t="n"/>
      <c r="I27" s="18" t="n"/>
    </row>
    <row r="28">
      <c r="B28" s="18" t="n"/>
      <c r="C28" s="16" t="n"/>
      <c r="E28" s="16" t="n"/>
      <c r="F28" s="23" t="n"/>
      <c r="H28" s="16" t="n"/>
      <c r="I28" s="18" t="n"/>
    </row>
    <row r="29">
      <c r="B29" s="18" t="n"/>
      <c r="C29" s="16" t="n"/>
      <c r="E29" s="16" t="n"/>
      <c r="F29" s="23" t="n"/>
      <c r="H29" s="16" t="n"/>
      <c r="I29" s="18" t="n"/>
    </row>
    <row r="30">
      <c r="B30" s="18" t="n"/>
      <c r="C30" s="16" t="n"/>
      <c r="E30" s="16" t="n"/>
      <c r="F30" s="23" t="n"/>
      <c r="H30" s="16" t="n"/>
      <c r="I30" s="18" t="n"/>
    </row>
    <row r="31">
      <c r="B31" s="18" t="n"/>
      <c r="C31" s="16" t="n"/>
      <c r="E31" s="16" t="n"/>
      <c r="F31" s="23" t="n"/>
      <c r="H31" s="16" t="n"/>
      <c r="I31" s="18" t="n"/>
    </row>
    <row r="32">
      <c r="B32" s="18" t="n"/>
      <c r="C32" s="16" t="n"/>
      <c r="E32" s="16" t="n"/>
      <c r="F32" s="23" t="n"/>
      <c r="H32" s="16" t="n"/>
      <c r="I32" s="18" t="n"/>
    </row>
    <row r="33">
      <c r="B33" s="18" t="n"/>
      <c r="C33" s="16" t="n"/>
      <c r="E33" s="16" t="n"/>
      <c r="F33" s="23" t="n"/>
      <c r="H33" s="16" t="n"/>
      <c r="I33" s="18" t="n"/>
    </row>
    <row r="34">
      <c r="B34" s="18" t="n"/>
      <c r="C34" s="16" t="n"/>
      <c r="E34" s="16" t="n"/>
      <c r="F34" s="23" t="n"/>
      <c r="H34" s="16" t="n"/>
      <c r="I34" s="18" t="n"/>
    </row>
    <row r="35">
      <c r="B35" s="18" t="n"/>
      <c r="C35" s="16" t="n"/>
      <c r="E35" s="16" t="n"/>
      <c r="F35" s="23" t="n"/>
      <c r="H35" s="16" t="n"/>
      <c r="I35" s="18" t="n"/>
    </row>
    <row r="36">
      <c r="B36" s="18" t="n"/>
      <c r="C36" s="16" t="n"/>
      <c r="E36" s="16" t="n"/>
      <c r="F36" s="23" t="n"/>
      <c r="H36" s="16" t="n"/>
      <c r="I36" s="18" t="n"/>
    </row>
    <row r="37">
      <c r="B37" s="18" t="n"/>
      <c r="C37" s="16" t="n"/>
      <c r="E37" s="16" t="n"/>
      <c r="F37" s="23" t="n"/>
      <c r="H37" s="16" t="n"/>
      <c r="I37" s="18" t="n"/>
    </row>
    <row r="38">
      <c r="B38" s="18" t="n"/>
      <c r="C38" s="16" t="n"/>
      <c r="E38" s="16" t="n"/>
      <c r="F38" s="23" t="n"/>
      <c r="H38" s="16" t="n"/>
      <c r="I38" s="18" t="n"/>
    </row>
    <row r="39">
      <c r="B39" s="18" t="n"/>
      <c r="C39" s="16" t="n"/>
      <c r="E39" s="16" t="n"/>
      <c r="F39" s="23" t="n"/>
      <c r="H39" s="16" t="n"/>
      <c r="I39" s="18" t="n"/>
    </row>
    <row r="40">
      <c r="B40" s="18" t="n"/>
      <c r="C40" s="16" t="n"/>
      <c r="E40" s="16" t="n"/>
      <c r="F40" s="23" t="n"/>
      <c r="H40" s="16" t="n"/>
      <c r="I40" s="18" t="n"/>
    </row>
    <row r="41">
      <c r="B41" s="18" t="n"/>
      <c r="C41" s="16" t="n"/>
      <c r="E41" s="16" t="n"/>
      <c r="F41" s="23" t="n"/>
      <c r="H41" s="16" t="n"/>
      <c r="I41" s="18" t="n"/>
    </row>
  </sheetData>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2E75B6"/>
    <outlinePr summaryBelow="1" summaryRight="1"/>
    <pageSetUpPr/>
  </sheetPr>
  <dimension ref="A1:P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3.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row>
    <row r="56"/>
    <row r="57">
      <c r="C57" s="3" t="inlineStr">
        <is>
          <t>Class average:</t>
        </is>
      </c>
      <c r="D57" s="20">
        <f>IF(D5="","",IFERROR(ROUND(AVERAGEIFS(nrES_Rec,nrES_Code,D5,nrES_Final,"Yes",nrES_Rec,"&gt;=0",nrES_Rec,"&lt;=100"),1),""))</f>
        <v/>
      </c>
      <c r="E57" s="20">
        <f>IF(E5="","",IFERROR(ROUND(AVERAGEIFS(nrES_Rec,nrES_Code,E5,nrES_Final,"Yes",nrES_Rec,"&gt;=0",nrES_Rec,"&lt;=100"),1),""))</f>
        <v/>
      </c>
      <c r="F57" s="20">
        <f>IF(F5="","",IFERROR(ROUND(AVERAGEIFS(nrES_Rec,nrES_Code,F5,nrES_Final,"Yes",nrES_Rec,"&gt;=0",nrES_Rec,"&lt;=100"),1),""))</f>
        <v/>
      </c>
      <c r="G57" s="20">
        <f>IF(G5="","",IFERROR(ROUND(AVERAGEIFS(nrES_Rec,nrES_Code,G5,nrES_Final,"Yes",nrES_Rec,"&gt;=0",nrES_Rec,"&lt;=100"),1),""))</f>
        <v/>
      </c>
      <c r="H57" s="20">
        <f>IF(H5="","",IFERROR(ROUND(AVERAGEIFS(nrES_Rec,nrES_Code,H5,nrES_Final,"Yes",nrES_Rec,"&gt;=0",nrES_Rec,"&lt;=100"),1),""))</f>
        <v/>
      </c>
      <c r="I57" s="20">
        <f>IF(I5="","",IFERROR(ROUND(AVERAGEIFS(nrES_Rec,nrES_Code,I5,nrES_Final,"Yes",nrES_Rec,"&gt;=0",nrES_Rec,"&lt;=100"),1),""))</f>
        <v/>
      </c>
      <c r="J57" s="20">
        <f>IF(J5="","",IFERROR(ROUND(AVERAGEIFS(nrES_Rec,nrES_Code,J5,nrES_Final,"Yes",nrES_Rec,"&gt;=0",nrES_Rec,"&lt;=100"),1),""))</f>
        <v/>
      </c>
      <c r="K57" s="20">
        <f>IF(K5="","",IFERROR(ROUND(AVERAGEIFS(nrES_Rec,nrES_Code,K5,nrES_Final,"Yes",nrES_Rec,"&gt;=0",nrES_Rec,"&lt;=100"),1),""))</f>
        <v/>
      </c>
      <c r="L57" s="20">
        <f>IF(L5="","",IFERROR(ROUND(AVERAGEIFS(nrES_Rec,nrES_Code,L5,nrES_Final,"Yes",nrES_Rec,"&gt;=0",nrES_Rec,"&lt;=100"),1),""))</f>
        <v/>
      </c>
      <c r="M57" s="20">
        <f>IF(M5="","",IFERROR(ROUND(AVERAGEIFS(nrES_Rec,nrES_Code,M5,nrES_Final,"Yes",nrES_Rec,"&gt;=0",nrES_Rec,"&lt;=100"),1),""))</f>
        <v/>
      </c>
      <c r="N57" s="20">
        <f>IF(N5="","",IFERROR(ROUND(AVERAGEIFS(nrES_Rec,nrES_Code,N5,nrES_Final,"Yes",nrES_Rec,"&gt;=0",nrES_Rec,"&lt;=100"),1),""))</f>
        <v/>
      </c>
      <c r="O57" s="20">
        <f>IF(O5="","",IFERROR(ROUND(AVERAGEIFS(nrES_Rec,nrES_Code,O5,nrES_Final,"Yes",nrES_Rec,"&gt;=0",nrES_Rec,"&lt;=100"),1),""))</f>
        <v/>
      </c>
      <c r="P57" s="20">
        <f>IF(P5="","",IFERROR(ROUND(AVERAGEIFS(nrES_Rec,nrES_Code,P5,nrES_Final,"Yes",nrES_Rec,"&gt;=0",nrES_Rec,"&lt;=100"),1),""))</f>
        <v/>
      </c>
      <c r="Q57" s="20">
        <f>IF(Q5="","",IFERROR(ROUND(AVERAGEIFS(nrES_Rec,nrES_Code,Q5,nrES_Final,"Yes",nrES_Rec,"&gt;=0",nrES_Rec,"&lt;=100"),1),""))</f>
        <v/>
      </c>
      <c r="R57" s="20">
        <f>IF(R5="","",IFERROR(ROUND(AVERAGEIFS(nrES_Rec,nrES_Code,R5,nrES_Final,"Yes",nrES_Rec,"&gt;=0",nrES_Rec,"&lt;=100"),1),""))</f>
        <v/>
      </c>
      <c r="S57" s="20">
        <f>IF(S5="","",IFERROR(ROUND(AVERAGEIFS(nrES_Rec,nrES_Code,S5,nrES_Final,"Yes",nrES_Rec,"&gt;=0",nrES_Rec,"&lt;=100"),1),""))</f>
        <v/>
      </c>
      <c r="T57" s="20">
        <f>IF(T5="","",IFERROR(ROUND(AVERAGEIFS(nrES_Rec,nrES_Code,T5,nrES_Final,"Yes",nrES_Rec,"&gt;=0",nrES_Rec,"&lt;=100"),1),""))</f>
        <v/>
      </c>
      <c r="U57" s="20">
        <f>IF(U5="","",IFERROR(ROUND(AVERAGEIFS(nrES_Rec,nrES_Code,U5,nrES_Final,"Yes",nrES_Rec,"&gt;=0",nrES_Rec,"&lt;=100"),1),""))</f>
        <v/>
      </c>
      <c r="V57" s="20">
        <f>IF(V5="","",IFERROR(ROUND(AVERAGEIFS(nrES_Rec,nrES_Code,V5,nrES_Final,"Yes",nrES_Rec,"&gt;=0",nrES_Rec,"&lt;=100"),1),""))</f>
        <v/>
      </c>
      <c r="W57" s="20">
        <f>IF(W5="","",IFERROR(ROUND(AVERAGEIFS(nrES_Rec,nrES_Code,W5,nrES_Final,"Yes",nrES_Rec,"&gt;=0",nrES_Rec,"&lt;=100"),1),""))</f>
        <v/>
      </c>
      <c r="X57" s="20">
        <f>IF(X5="","",IFERROR(ROUND(AVERAGEIFS(nrES_Rec,nrES_Code,X5,nrES_Final,"Yes",nrES_Rec,"&gt;=0",nrES_Rec,"&lt;=100"),1),""))</f>
        <v/>
      </c>
      <c r="Y57" s="20">
        <f>IF(Y5="","",IFERROR(ROUND(AVERAGEIFS(nrES_Rec,nrES_Code,Y5,nrES_Final,"Yes",nrES_Rec,"&gt;=0",nrES_Rec,"&lt;=100"),1),""))</f>
        <v/>
      </c>
      <c r="Z57" s="20">
        <f>IF(Z5="","",IFERROR(ROUND(AVERAGEIFS(nrES_Rec,nrES_Code,Z5,nrES_Final,"Yes",nrES_Rec,"&gt;=0",nrES_Rec,"&lt;=100"),1),""))</f>
        <v/>
      </c>
      <c r="AA57" s="20">
        <f>IF(AA5="","",IFERROR(ROUND(AVERAGEIFS(nrES_Rec,nrES_Code,AA5,nrES_Final,"Yes",nrES_Rec,"&gt;=0",nrES_Rec,"&lt;=100"),1),""))</f>
        <v/>
      </c>
      <c r="AB57" s="20">
        <f>IF(AB5="","",IFERROR(ROUND(AVERAGEIFS(nrES_Rec,nrES_Code,AB5,nrES_Final,"Yes",nrES_Rec,"&gt;=0",nrES_Rec,"&lt;=100"),1),""))</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D6:AB55">
    <cfRule type="expression" priority="1" dxfId="0">
      <formula>AND(D6&lt;&gt;"",ISNUMBER(D6),D6&lt;IFERROR(INDEX(rngEPpass,MATCH(D$5,rngEPcode,0)),cfgPassingScore))</formula>
    </cfRule>
  </conditionalFormatting>
  <conditionalFormatting sqref="B6:AD55">
    <cfRule type="expression" priority="2" dxfId="1">
      <formula>AND(Cadets!$B6&lt;&gt;"",Cadets!$I6&lt;&gt;"Active")</formula>
    </cfRule>
  </conditionalFormatting>
  <pageMargins left="0.75" right="0.75" top="1" bottom="1" header="0.5" footer="0.5"/>
</worksheet>
</file>

<file path=xl/worksheets/sheet24.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Makeup Owed (min)</t>
        </is>
      </c>
      <c r="H5" s="12" t="inlineStr">
        <is>
          <t>Overdue Writing</t>
        </is>
      </c>
      <c r="I5" s="12" t="inlineStr">
        <is>
          <t>Open Counseling</t>
        </is>
      </c>
    </row>
    <row r="6">
      <c r="B6">
        <f>IFERROR(_xlfn.SORTBY(_xlfn._xlws.FILTER(_xlfn.HSTACK(rngCadetNames,nrCadetAgency,nrFLcount,nrFLreasons,nrGRcurrent,TEXT(nrATTclOwed,"#,##0"),nrWRoverdue,sysIncidents!$M$6:$M$55),(nrFLcount&gt;0)*(nrCadetStatus="Active"),"No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6.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4" t="n"/>
      <c r="D5" s="25" t="n"/>
      <c r="E5" s="22"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28"/>
    <row r="29"/>
    <row r="30"/>
    <row r="31"/>
    <row r="32"/>
    <row r="33"/>
    <row r="34"/>
    <row r="35"/>
    <row r="36"/>
    <row r="37"/>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4" t="n"/>
      <c r="D5" s="25" t="n"/>
      <c r="E5" s="22"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still owed</t>
        </is>
      </c>
      <c r="C44" s="14">
        <f>_xlfn.XLOOKUP(cfgTranscriptCadet,rngCadetNames,sysAttendance!$G$6:$G$55,"0")&amp;" min (all missed time must be made up)"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A1:R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54" customWidth="1" min="18" max="18"/>
  </cols>
  <sheetData>
    <row r="1">
      <c r="B1" s="10">
        <f>HYPERLINK("#Dashboard!B5","◄ Dashboard")</f>
        <v/>
      </c>
    </row>
    <row r="2"/>
    <row r="3"/>
    <row r="4">
      <c r="B4" s="11" t="inlineStr">
        <is>
          <t>The final gate before the ceremony — columns Academic through Skills P/F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Skills P/F</t>
        </is>
      </c>
      <c r="Q5" s="12" t="inlineStr">
        <is>
          <t>ELIGIBLE</t>
        </is>
      </c>
      <c r="R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IF($B6="","",sysChecks!$X6)</f>
        <v/>
      </c>
      <c r="Q6" s="17">
        <f>IF($B6="","",sysChecks!$N6)</f>
        <v/>
      </c>
      <c r="R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IF($B7="","",sysChecks!$X7)</f>
        <v/>
      </c>
      <c r="Q7" s="17">
        <f>IF($B7="","",sysChecks!$N7)</f>
        <v/>
      </c>
      <c r="R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IF($B8="","",sysChecks!$X8)</f>
        <v/>
      </c>
      <c r="Q8" s="17">
        <f>IF($B8="","",sysChecks!$N8)</f>
        <v/>
      </c>
      <c r="R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IF($B9="","",sysChecks!$X9)</f>
        <v/>
      </c>
      <c r="Q9" s="17">
        <f>IF($B9="","",sysChecks!$N9)</f>
        <v/>
      </c>
      <c r="R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IF($B10="","",sysChecks!$X10)</f>
        <v/>
      </c>
      <c r="Q10" s="17">
        <f>IF($B10="","",sysChecks!$N10)</f>
        <v/>
      </c>
      <c r="R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IF($B11="","",sysChecks!$X11)</f>
        <v/>
      </c>
      <c r="Q11" s="17">
        <f>IF($B11="","",sysChecks!$N11)</f>
        <v/>
      </c>
      <c r="R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IF($B12="","",sysChecks!$X12)</f>
        <v/>
      </c>
      <c r="Q12" s="17">
        <f>IF($B12="","",sysChecks!$N12)</f>
        <v/>
      </c>
      <c r="R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IF($B13="","",sysChecks!$X13)</f>
        <v/>
      </c>
      <c r="Q13" s="17">
        <f>IF($B13="","",sysChecks!$N13)</f>
        <v/>
      </c>
      <c r="R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IF($B14="","",sysChecks!$X14)</f>
        <v/>
      </c>
      <c r="Q14" s="17">
        <f>IF($B14="","",sysChecks!$N14)</f>
        <v/>
      </c>
      <c r="R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IF($B15="","",sysChecks!$X15)</f>
        <v/>
      </c>
      <c r="Q15" s="17">
        <f>IF($B15="","",sysChecks!$N15)</f>
        <v/>
      </c>
      <c r="R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IF($B16="","",sysChecks!$X16)</f>
        <v/>
      </c>
      <c r="Q16" s="17">
        <f>IF($B16="","",sysChecks!$N16)</f>
        <v/>
      </c>
      <c r="R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IF($B17="","",sysChecks!$X17)</f>
        <v/>
      </c>
      <c r="Q17" s="17">
        <f>IF($B17="","",sysChecks!$N17)</f>
        <v/>
      </c>
      <c r="R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IF($B18="","",sysChecks!$X18)</f>
        <v/>
      </c>
      <c r="Q18" s="17">
        <f>IF($B18="","",sysChecks!$N18)</f>
        <v/>
      </c>
      <c r="R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IF($B19="","",sysChecks!$X19)</f>
        <v/>
      </c>
      <c r="Q19" s="17">
        <f>IF($B19="","",sysChecks!$N19)</f>
        <v/>
      </c>
      <c r="R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IF($B20="","",sysChecks!$X20)</f>
        <v/>
      </c>
      <c r="Q20" s="17">
        <f>IF($B20="","",sysChecks!$N20)</f>
        <v/>
      </c>
      <c r="R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IF($B21="","",sysChecks!$X21)</f>
        <v/>
      </c>
      <c r="Q21" s="17">
        <f>IF($B21="","",sysChecks!$N21)</f>
        <v/>
      </c>
      <c r="R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IF($B22="","",sysChecks!$X22)</f>
        <v/>
      </c>
      <c r="Q22" s="17">
        <f>IF($B22="","",sysChecks!$N22)</f>
        <v/>
      </c>
      <c r="R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IF($B23="","",sysChecks!$X23)</f>
        <v/>
      </c>
      <c r="Q23" s="17">
        <f>IF($B23="","",sysChecks!$N23)</f>
        <v/>
      </c>
      <c r="R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IF($B24="","",sysChecks!$X24)</f>
        <v/>
      </c>
      <c r="Q24" s="17">
        <f>IF($B24="","",sysChecks!$N24)</f>
        <v/>
      </c>
      <c r="R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IF($B25="","",sysChecks!$X25)</f>
        <v/>
      </c>
      <c r="Q25" s="17">
        <f>IF($B25="","",sysChecks!$N25)</f>
        <v/>
      </c>
      <c r="R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IF($B26="","",sysChecks!$X26)</f>
        <v/>
      </c>
      <c r="Q26" s="17">
        <f>IF($B26="","",sysChecks!$N26)</f>
        <v/>
      </c>
      <c r="R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IF($B27="","",sysChecks!$X27)</f>
        <v/>
      </c>
      <c r="Q27" s="17">
        <f>IF($B27="","",sysChecks!$N27)</f>
        <v/>
      </c>
      <c r="R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IF($B28="","",sysChecks!$X28)</f>
        <v/>
      </c>
      <c r="Q28" s="17">
        <f>IF($B28="","",sysChecks!$N28)</f>
        <v/>
      </c>
      <c r="R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IF($B29="","",sysChecks!$X29)</f>
        <v/>
      </c>
      <c r="Q29" s="17">
        <f>IF($B29="","",sysChecks!$N29)</f>
        <v/>
      </c>
      <c r="R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IF($B30="","",sysChecks!$X30)</f>
        <v/>
      </c>
      <c r="Q30" s="17">
        <f>IF($B30="","",sysChecks!$N30)</f>
        <v/>
      </c>
      <c r="R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IF($B31="","",sysChecks!$X31)</f>
        <v/>
      </c>
      <c r="Q31" s="17">
        <f>IF($B31="","",sysChecks!$N31)</f>
        <v/>
      </c>
      <c r="R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IF($B32="","",sysChecks!$X32)</f>
        <v/>
      </c>
      <c r="Q32" s="17">
        <f>IF($B32="","",sysChecks!$N32)</f>
        <v/>
      </c>
      <c r="R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IF($B33="","",sysChecks!$X33)</f>
        <v/>
      </c>
      <c r="Q33" s="17">
        <f>IF($B33="","",sysChecks!$N33)</f>
        <v/>
      </c>
      <c r="R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IF($B34="","",sysChecks!$X34)</f>
        <v/>
      </c>
      <c r="Q34" s="17">
        <f>IF($B34="","",sysChecks!$N34)</f>
        <v/>
      </c>
      <c r="R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IF($B35="","",sysChecks!$X35)</f>
        <v/>
      </c>
      <c r="Q35" s="17">
        <f>IF($B35="","",sysChecks!$N35)</f>
        <v/>
      </c>
      <c r="R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IF($B36="","",sysChecks!$X36)</f>
        <v/>
      </c>
      <c r="Q36" s="17">
        <f>IF($B36="","",sysChecks!$N36)</f>
        <v/>
      </c>
      <c r="R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IF($B37="","",sysChecks!$X37)</f>
        <v/>
      </c>
      <c r="Q37" s="17">
        <f>IF($B37="","",sysChecks!$N37)</f>
        <v/>
      </c>
      <c r="R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IF($B38="","",sysChecks!$X38)</f>
        <v/>
      </c>
      <c r="Q38" s="17">
        <f>IF($B38="","",sysChecks!$N38)</f>
        <v/>
      </c>
      <c r="R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IF($B39="","",sysChecks!$X39)</f>
        <v/>
      </c>
      <c r="Q39" s="17">
        <f>IF($B39="","",sysChecks!$N39)</f>
        <v/>
      </c>
      <c r="R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IF($B40="","",sysChecks!$X40)</f>
        <v/>
      </c>
      <c r="Q40" s="17">
        <f>IF($B40="","",sysChecks!$N40)</f>
        <v/>
      </c>
      <c r="R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IF($B41="","",sysChecks!$X41)</f>
        <v/>
      </c>
      <c r="Q41" s="17">
        <f>IF($B41="","",sysChecks!$N41)</f>
        <v/>
      </c>
      <c r="R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IF($B42="","",sysChecks!$X42)</f>
        <v/>
      </c>
      <c r="Q42" s="17">
        <f>IF($B42="","",sysChecks!$N42)</f>
        <v/>
      </c>
      <c r="R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IF($B43="","",sysChecks!$X43)</f>
        <v/>
      </c>
      <c r="Q43" s="17">
        <f>IF($B43="","",sysChecks!$N43)</f>
        <v/>
      </c>
      <c r="R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IF($B44="","",sysChecks!$X44)</f>
        <v/>
      </c>
      <c r="Q44" s="17">
        <f>IF($B44="","",sysChecks!$N44)</f>
        <v/>
      </c>
      <c r="R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IF($B45="","",sysChecks!$X45)</f>
        <v/>
      </c>
      <c r="Q45" s="17">
        <f>IF($B45="","",sysChecks!$N45)</f>
        <v/>
      </c>
      <c r="R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IF($B46="","",sysChecks!$X46)</f>
        <v/>
      </c>
      <c r="Q46" s="17">
        <f>IF($B46="","",sysChecks!$N46)</f>
        <v/>
      </c>
      <c r="R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IF($B47="","",sysChecks!$X47)</f>
        <v/>
      </c>
      <c r="Q47" s="17">
        <f>IF($B47="","",sysChecks!$N47)</f>
        <v/>
      </c>
      <c r="R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IF($B48="","",sysChecks!$X48)</f>
        <v/>
      </c>
      <c r="Q48" s="17">
        <f>IF($B48="","",sysChecks!$N48)</f>
        <v/>
      </c>
      <c r="R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IF($B49="","",sysChecks!$X49)</f>
        <v/>
      </c>
      <c r="Q49" s="17">
        <f>IF($B49="","",sysChecks!$N49)</f>
        <v/>
      </c>
      <c r="R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IF($B50="","",sysChecks!$X50)</f>
        <v/>
      </c>
      <c r="Q50" s="17">
        <f>IF($B50="","",sysChecks!$N50)</f>
        <v/>
      </c>
      <c r="R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IF($B51="","",sysChecks!$X51)</f>
        <v/>
      </c>
      <c r="Q51" s="17">
        <f>IF($B51="","",sysChecks!$N51)</f>
        <v/>
      </c>
      <c r="R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IF($B52="","",sysChecks!$X52)</f>
        <v/>
      </c>
      <c r="Q52" s="17">
        <f>IF($B52="","",sysChecks!$N52)</f>
        <v/>
      </c>
      <c r="R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IF($B53="","",sysChecks!$X53)</f>
        <v/>
      </c>
      <c r="Q53" s="17">
        <f>IF($B53="","",sysChecks!$N53)</f>
        <v/>
      </c>
      <c r="R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IF($B54="","",sysChecks!$X54)</f>
        <v/>
      </c>
      <c r="Q54" s="17">
        <f>IF($B54="","",sysChecks!$N54)</f>
        <v/>
      </c>
      <c r="R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IF($B55="","",sysChecks!$X55)</f>
        <v/>
      </c>
      <c r="Q55" s="17">
        <f>IF($B55="","",sysChecks!$N55)</f>
        <v/>
      </c>
      <c r="R55" s="17">
        <f>IF($B55="","",sysChecks!$O55)</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Q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Q55">
    <cfRule type="expression" priority="4" dxfId="1">
      <formula>AND(Cadets!$B6&lt;&gt;"",Cadets!$I6&lt;&gt;"Active")</formula>
    </cfRule>
  </conditionalFormatting>
  <pageMargins left="0.75" right="0.75" top="1" bottom="1" header="0.5" footer="0.5"/>
  <pageSetup orientation="landscape" fitToHeight="0" fitToWidth="1"/>
</worksheet>
</file>

<file path=xl/worksheets/sheet29.xml><?xml version="1.0" encoding="utf-8"?>
<worksheet xmlns="http://schemas.openxmlformats.org/spreadsheetml/2006/main">
  <sheetPr>
    <tabColor rgb="001E7145"/>
    <outlinePr summaryBelow="1" summaryRight="1"/>
    <pageSetUpPr fitToPage="1"/>
  </sheetPr>
  <dimension ref="A1:J122"/>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c r="B25" s="14">
        <f>sysAudit!$B$22</f>
        <v/>
      </c>
      <c r="C25" s="20">
        <f>sysAudit!$C$22</f>
        <v/>
      </c>
      <c r="D25" s="20">
        <f>sysAudit!$D$22</f>
        <v/>
      </c>
      <c r="E25" s="3">
        <f>sysAudit!$E$22</f>
        <v/>
      </c>
      <c r="F25" s="2">
        <f>sysAudit!$F$22</f>
        <v/>
      </c>
    </row>
    <row r="26">
      <c r="B26" s="14">
        <f>sysAudit!$B$23</f>
        <v/>
      </c>
      <c r="C26" s="20">
        <f>sysAudit!$C$23</f>
        <v/>
      </c>
      <c r="D26" s="20">
        <f>sysAudit!$D$23</f>
        <v/>
      </c>
      <c r="E26" s="3">
        <f>sysAudit!$E$23</f>
        <v/>
      </c>
      <c r="F26" s="2">
        <f>sysAudit!$F$23</f>
        <v/>
      </c>
    </row>
    <row r="27">
      <c r="B27" s="14">
        <f>sysAudit!$B$24</f>
        <v/>
      </c>
      <c r="C27" s="20">
        <f>sysAudit!$C$24</f>
        <v/>
      </c>
      <c r="D27" s="20">
        <f>sysAudit!$D$24</f>
        <v/>
      </c>
      <c r="E27" s="3">
        <f>sysAudit!$E$24</f>
        <v/>
      </c>
      <c r="F27" s="2">
        <f>sysAudit!$F$24</f>
        <v/>
      </c>
    </row>
    <row r="28">
      <c r="B28" s="14">
        <f>sysAudit!$B$25</f>
        <v/>
      </c>
      <c r="C28" s="20">
        <f>sysAudit!$C$25</f>
        <v/>
      </c>
      <c r="D28" s="20">
        <f>sysAudit!$D$25</f>
        <v/>
      </c>
      <c r="E28" s="3">
        <f>sysAudit!$E$25</f>
        <v/>
      </c>
      <c r="F28" s="2">
        <f>sysAudit!$F$25</f>
        <v/>
      </c>
    </row>
    <row r="29">
      <c r="B29" s="14">
        <f>sysAudit!$B$26</f>
        <v/>
      </c>
      <c r="C29" s="20">
        <f>sysAudit!$C$26</f>
        <v/>
      </c>
      <c r="D29" s="20">
        <f>sysAudit!$D$26</f>
        <v/>
      </c>
      <c r="E29" s="3">
        <f>sysAudit!$E$26</f>
        <v/>
      </c>
      <c r="F29" s="2">
        <f>sysAudit!$F$26</f>
        <v/>
      </c>
    </row>
    <row r="30">
      <c r="B30" s="14">
        <f>sysAudit!$B$27</f>
        <v/>
      </c>
      <c r="C30" s="20">
        <f>sysAudit!$C$27</f>
        <v/>
      </c>
      <c r="D30" s="20">
        <f>sysAudit!$D$27</f>
        <v/>
      </c>
      <c r="E30" s="3">
        <f>sysAudit!$E$27</f>
        <v/>
      </c>
      <c r="F30" s="2">
        <f>sysAudit!$F$27</f>
        <v/>
      </c>
    </row>
    <row r="31">
      <c r="B31" s="14">
        <f>sysAudit!$B$28</f>
        <v/>
      </c>
      <c r="C31" s="20">
        <f>sysAudit!$C$28</f>
        <v/>
      </c>
      <c r="D31" s="20">
        <f>sysAudit!$D$28</f>
        <v/>
      </c>
      <c r="E31" s="3">
        <f>sysAudit!$E$28</f>
        <v/>
      </c>
      <c r="F31" s="2">
        <f>sysAudit!$F$28</f>
        <v/>
      </c>
    </row>
    <row r="32">
      <c r="B32" s="14">
        <f>sysAudit!$B$29</f>
        <v/>
      </c>
      <c r="C32" s="20">
        <f>sysAudit!$C$29</f>
        <v/>
      </c>
      <c r="D32" s="20">
        <f>sysAudit!$D$29</f>
        <v/>
      </c>
      <c r="E32" s="3">
        <f>sysAudit!$E$29</f>
        <v/>
      </c>
      <c r="F32" s="2">
        <f>sysAudit!$F$29</f>
        <v/>
      </c>
    </row>
    <row r="33">
      <c r="B33" s="14">
        <f>sysAudit!$B$30</f>
        <v/>
      </c>
      <c r="C33" s="20">
        <f>sysAudit!$C$30</f>
        <v/>
      </c>
      <c r="D33" s="20">
        <f>sysAudit!$D$30</f>
        <v/>
      </c>
      <c r="E33" s="3">
        <f>sysAudit!$E$30</f>
        <v/>
      </c>
      <c r="F33" s="2">
        <f>sysAudit!$F$30</f>
        <v/>
      </c>
    </row>
    <row r="34">
      <c r="B34" s="14">
        <f>sysAudit!$B$31</f>
        <v/>
      </c>
      <c r="C34" s="20">
        <f>sysAudit!$C$31</f>
        <v/>
      </c>
      <c r="D34" s="20">
        <f>sysAudit!$D$31</f>
        <v/>
      </c>
      <c r="E34" s="3">
        <f>sysAudit!$E$31</f>
        <v/>
      </c>
      <c r="F34" s="2">
        <f>sysAudit!$F$31</f>
        <v/>
      </c>
    </row>
    <row r="35">
      <c r="B35" s="14">
        <f>sysAudit!$B$32</f>
        <v/>
      </c>
      <c r="C35" s="20">
        <f>sysAudit!$C$32</f>
        <v/>
      </c>
      <c r="D35" s="20">
        <f>sysAudit!$D$32</f>
        <v/>
      </c>
      <c r="E35" s="3">
        <f>sysAudit!$E$32</f>
        <v/>
      </c>
      <c r="F35" s="2">
        <f>sysAudit!$F$32</f>
        <v/>
      </c>
    </row>
    <row r="36">
      <c r="B36" s="14">
        <f>sysAudit!$B$33</f>
        <v/>
      </c>
      <c r="C36" s="20">
        <f>sysAudit!$C$33</f>
        <v/>
      </c>
      <c r="D36" s="20">
        <f>sysAudit!$D$33</f>
        <v/>
      </c>
      <c r="E36" s="3">
        <f>sysAudit!$E$33</f>
        <v/>
      </c>
      <c r="F36" s="2">
        <f>sysAudit!$F$33</f>
        <v/>
      </c>
    </row>
    <row r="37">
      <c r="B37" s="14">
        <f>sysAudit!$B$34</f>
        <v/>
      </c>
      <c r="C37" s="20">
        <f>sysAudit!$C$34</f>
        <v/>
      </c>
      <c r="D37" s="20">
        <f>sysAudit!$D$34</f>
        <v/>
      </c>
      <c r="E37" s="3">
        <f>sysAudit!$E$34</f>
        <v/>
      </c>
      <c r="F37" s="2">
        <f>sysAudit!$F$34</f>
        <v/>
      </c>
    </row>
    <row r="38">
      <c r="B38" s="14">
        <f>sysAudit!$B$35</f>
        <v/>
      </c>
      <c r="C38" s="20">
        <f>sysAudit!$C$35</f>
        <v/>
      </c>
      <c r="D38" s="20">
        <f>sysAudit!$D$35</f>
        <v/>
      </c>
      <c r="E38" s="3">
        <f>sysAudit!$E$35</f>
        <v/>
      </c>
      <c r="F38" s="2">
        <f>sysAudit!$F$35</f>
        <v/>
      </c>
    </row>
    <row r="39">
      <c r="B39" s="14">
        <f>sysAudit!$B$36</f>
        <v/>
      </c>
      <c r="C39" s="20">
        <f>sysAudit!$C$36</f>
        <v/>
      </c>
      <c r="D39" s="20">
        <f>sysAudit!$D$36</f>
        <v/>
      </c>
      <c r="E39" s="3">
        <f>sysAudit!$E$36</f>
        <v/>
      </c>
      <c r="F39" s="2">
        <f>sysAudit!$F$36</f>
        <v/>
      </c>
    </row>
    <row r="40">
      <c r="B40" s="14">
        <f>sysAudit!$B$37</f>
        <v/>
      </c>
      <c r="C40" s="20">
        <f>sysAudit!$C$37</f>
        <v/>
      </c>
      <c r="D40" s="20">
        <f>sysAudit!$D$37</f>
        <v/>
      </c>
      <c r="E40" s="3">
        <f>sysAudit!$E$37</f>
        <v/>
      </c>
      <c r="F40" s="2">
        <f>sysAudit!$F$37</f>
        <v/>
      </c>
    </row>
    <row r="41">
      <c r="B41" s="14">
        <f>sysAudit!$B$38</f>
        <v/>
      </c>
      <c r="C41" s="20">
        <f>sysAudit!$C$38</f>
        <v/>
      </c>
      <c r="D41" s="20">
        <f>sysAudit!$D$38</f>
        <v/>
      </c>
      <c r="E41" s="3">
        <f>sysAudit!$E$38</f>
        <v/>
      </c>
      <c r="F41" s="2">
        <f>sysAudit!$F$38</f>
        <v/>
      </c>
    </row>
    <row r="42">
      <c r="B42" s="14">
        <f>sysAudit!$B$39</f>
        <v/>
      </c>
      <c r="C42" s="20">
        <f>sysAudit!$C$39</f>
        <v/>
      </c>
      <c r="D42" s="20">
        <f>sysAudit!$D$39</f>
        <v/>
      </c>
      <c r="E42" s="3">
        <f>sysAudit!$E$39</f>
        <v/>
      </c>
      <c r="F42" s="2">
        <f>sysAudit!$F$39</f>
        <v/>
      </c>
    </row>
    <row r="43">
      <c r="B43" s="14">
        <f>sysAudit!$B$40</f>
        <v/>
      </c>
      <c r="C43" s="20">
        <f>sysAudit!$C$40</f>
        <v/>
      </c>
      <c r="D43" s="20">
        <f>sysAudit!$D$40</f>
        <v/>
      </c>
      <c r="E43" s="3">
        <f>sysAudit!$E$40</f>
        <v/>
      </c>
      <c r="F43" s="2">
        <f>sysAudit!$F$40</f>
        <v/>
      </c>
    </row>
    <row r="44">
      <c r="B44" s="14">
        <f>sysAudit!$B$41</f>
        <v/>
      </c>
      <c r="C44" s="20">
        <f>sysAudit!$C$41</f>
        <v/>
      </c>
      <c r="D44" s="20">
        <f>sysAudit!$D$41</f>
        <v/>
      </c>
      <c r="E44" s="3">
        <f>sysAudit!$E$41</f>
        <v/>
      </c>
      <c r="F44" s="2">
        <f>sysAudit!$F$41</f>
        <v/>
      </c>
    </row>
    <row r="45"/>
    <row r="46" ht="16" customHeight="1">
      <c r="B46" s="7" t="inlineStr">
        <is>
          <t>Requirement sources — what is TCOLE rule vs Academy policy</t>
        </is>
      </c>
      <c r="C46" s="8" t="n"/>
      <c r="D46" s="8" t="n"/>
      <c r="E46" s="8" t="n"/>
      <c r="F46" s="8" t="n"/>
      <c r="G46" s="8" t="n"/>
      <c r="H46" s="8" t="n"/>
    </row>
    <row r="47" ht="26" customHeight="1">
      <c r="B47" s="15" t="inlineStr">
        <is>
          <t>• TCOLE Rule (Ch. 215/218/219): course #1000736 minimum hours per chapter, licensed/SME instructors, course records retention, exam security, student enrollment standards (L2/L3, medical), attendance records.</t>
        </is>
      </c>
    </row>
    <row r="48" ht="26" customHeight="1">
      <c r="B48" s="15" t="inlineStr">
        <is>
          <t>• Academy Policy (May 2026 manual): weighted grading (40/30/10/20), 70-in-each-category rule, 12 spelling tests across the academy + 75% intervention, 40 writing assignments, PT program and caps, awards.</t>
        </is>
      </c>
    </row>
    <row r="49"/>
    <row r="50" ht="16" customHeight="1">
      <c r="B50" s="7" t="inlineStr">
        <is>
          <t>Program-level TCOLE requirements (mark Yes when satisfied)</t>
        </is>
      </c>
      <c r="C50" s="8" t="n"/>
      <c r="D50" s="8" t="n"/>
      <c r="E50" s="8" t="n"/>
      <c r="F50" s="8" t="n"/>
      <c r="G50" s="8" t="n"/>
      <c r="H50" s="8" t="n"/>
    </row>
    <row r="51" ht="26" customHeight="1">
      <c r="B51" s="12" t="inlineStr">
        <is>
          <t>Requirement</t>
        </is>
      </c>
      <c r="C51" s="25" t="n"/>
      <c r="D51" s="25" t="n"/>
      <c r="E51" s="22" t="n"/>
      <c r="F51" s="12" t="inlineStr">
        <is>
          <t>Met?</t>
        </is>
      </c>
      <c r="G51" s="12" t="inlineStr">
        <is>
          <t>Notes</t>
        </is>
      </c>
    </row>
    <row r="52" ht="26" customHeight="1">
      <c r="B52" s="13" t="inlineStr">
        <is>
          <t>Commission Rules distributed to all students (Rule 215.9) — Copies of current TCOLE rules given to every student admitted</t>
        </is>
      </c>
      <c r="F52" s="24" t="n"/>
      <c r="G52" s="24" t="n"/>
    </row>
    <row r="53" ht="26" customHeight="1">
      <c r="B53" s="13" t="inlineStr">
        <is>
          <t>Required rule review conducted (215.9) — Reviewed 211.33, 221.1, 223.1, 223.3, 223.15, 223.17, 223.19 in class</t>
        </is>
      </c>
      <c r="F53" s="24" t="n"/>
      <c r="G53" s="24" t="n"/>
    </row>
    <row r="54" ht="26" customHeight="1">
      <c r="B54" s="13" t="inlineStr">
        <is>
          <t>Approved TCLEDDS roster on file — Required element of the training file</t>
        </is>
      </c>
      <c r="F54" s="24" t="n"/>
      <c r="G54" s="24" t="n"/>
    </row>
    <row r="55" ht="26" customHeight="1">
      <c r="B55" s="13" t="inlineStr">
        <is>
          <t>Course reported at exactly 736 hours — Excess hours reported under Addendum to BPOC (course #101), never inside the 736</t>
        </is>
      </c>
      <c r="F55" s="24" t="n"/>
      <c r="G55" s="24" t="n"/>
    </row>
    <row r="56" ht="26" customHeight="1">
      <c r="B56" s="13" t="inlineStr">
        <is>
          <t>Non-BPOC classes reported separately within 30 days — Any additional classes the academy teaches</t>
        </is>
      </c>
      <c r="F56" s="24" t="n"/>
      <c r="G56" s="24" t="n"/>
    </row>
    <row r="57" ht="26" customHeight="1">
      <c r="B57" s="13" t="inlineStr">
        <is>
          <t>Facility standards met (in-person, scenario/skills adequate) — Classroom supports role-play, defensive tactics, firearms demonstration</t>
        </is>
      </c>
      <c r="F57" s="24" t="n"/>
      <c r="G57" s="24" t="n"/>
    </row>
    <row r="58" ht="26" customHeight="1">
      <c r="B58" s="13" t="inlineStr">
        <is>
          <t>Assessments document mastery of all objectives — Learners are never passed on attendance alone</t>
        </is>
      </c>
      <c r="F58" s="24" t="n"/>
      <c r="G58" s="24" t="n"/>
    </row>
    <row r="59" ht="26" customHeight="1">
      <c r="B59" s="13" t="inlineStr">
        <is>
          <t>State exam plan communicated (250 Q, 70%, 3 attempts max) — Third failure requires enrolling in a new BPOC</t>
        </is>
      </c>
      <c r="F59" s="24" t="n"/>
      <c r="G59" s="24" t="n"/>
    </row>
    <row r="60" ht="26" customHeight="1">
      <c r="B60" s="13" t="inlineStr">
        <is>
          <t>Five-year retention of training records — Auditors sample past courses; files must be producible on request</t>
        </is>
      </c>
      <c r="F60" s="24" t="n"/>
      <c r="G60" s="24" t="n"/>
    </row>
    <row r="61" ht="26" customHeight="1">
      <c r="B61" s="13" t="inlineStr">
        <is>
          <t>Prior academies' FINAL workbooks archived and locatable — One file per academy; know where every finished class's file lives</t>
        </is>
      </c>
      <c r="F61" s="24" t="n"/>
      <c r="G61" s="24" t="n"/>
    </row>
    <row r="62" ht="26" customHeight="1">
      <c r="B62" s="13" t="inlineStr">
        <is>
          <t>Digital evidence library organized per chapter — LMS test PDFs, ExamSheet grade sheets, scanned spelling tests, sign-in scans, evals - one folder per chapter, ChapterPacket as cover</t>
        </is>
      </c>
      <c r="F62" s="24" t="n"/>
      <c r="G62" s="24" t="n"/>
    </row>
    <row r="63" ht="26" customHeight="1">
      <c r="B63" s="13" t="inlineStr">
        <is>
          <t>Scanned documents established as legal originals — CONFIRMED by TPD records management: scanned training documents - including sign-in sheets with PID - are the legal originals. Keep that determination on file so an auditor can see the basis</t>
        </is>
      </c>
      <c r="F63" s="24" t="n"/>
      <c r="G63" s="24" t="n"/>
    </row>
    <row r="64" ht="26" customHeight="1">
      <c r="B64" s="13" t="inlineStr">
        <is>
          <t>Exam security maintained — LMS access controlled; test banks/keys stored securely; spelling keys not accessible to cadets</t>
        </is>
      </c>
      <c r="F64" s="24" t="n"/>
      <c r="G64" s="24" t="n"/>
    </row>
    <row r="65" ht="26" customHeight="1">
      <c r="B65" s="13" t="inlineStr">
        <is>
          <t>Lesson plans verified against IRG learning objectives — All ~700 LOs covered unaltered - a PowerPoint alone is not a lesson plan</t>
        </is>
      </c>
      <c r="F65" s="24" t="n"/>
      <c r="G65" s="24" t="n"/>
    </row>
    <row r="66" ht="26" customHeight="1">
      <c r="B66" s="13" t="inlineStr">
        <is>
          <t>TCLEDDS reporting current — Enrollments (L1) entered at start; completions and the BPOC reported on time; non-BPOC classes within 30 days</t>
        </is>
      </c>
      <c r="F66" s="24" t="n"/>
      <c r="G66" s="24" t="n"/>
    </row>
    <row r="67" ht="26" customHeight="1">
      <c r="B67" s="13" t="inlineStr">
        <is>
          <t>Coordinator designation &amp; academy license current — Appointment letter on file; training-provider license active</t>
        </is>
      </c>
      <c r="F67" s="24" t="n"/>
      <c r="G67" s="24" t="n"/>
    </row>
    <row r="68" ht="26" customHeight="1">
      <c r="B68" s="13" t="inlineStr">
        <is>
          <t>Advisory board roster on file — Board composition documented; meeting dates + minutes folder referenced on the AdvisoryBoard sheet (minutes stay on the server)</t>
        </is>
      </c>
      <c r="F68" s="24" t="n"/>
      <c r="G68" s="24" t="n"/>
    </row>
    <row r="69" ht="26" customHeight="1">
      <c r="B69" s="13" t="inlineStr">
        <is>
          <t>Grade-tamper resistance in place — Workbook on OneDrive/SharePoint with version history; engine sheets password-locked</t>
        </is>
      </c>
      <c r="F69" s="24" t="n"/>
      <c r="G69" s="24" t="n"/>
    </row>
    <row r="70"/>
    <row r="71" ht="16" customHeight="1">
      <c r="B71" s="7" t="inlineStr">
        <is>
          <t>Per-cadet enrollment documents (mark Yes when on file)</t>
        </is>
      </c>
      <c r="C71" s="8" t="n"/>
      <c r="D71" s="8" t="n"/>
      <c r="E71" s="8" t="n"/>
      <c r="F71" s="8" t="n"/>
      <c r="G71" s="8" t="n"/>
      <c r="H71" s="8" t="n"/>
    </row>
    <row r="72" ht="26" customHeight="1">
      <c r="B72" s="12" t="inlineStr">
        <is>
          <t>Cadet</t>
        </is>
      </c>
      <c r="C72" s="12" t="inlineStr">
        <is>
          <t>Enroll App</t>
        </is>
      </c>
      <c r="D72" s="12" t="inlineStr">
        <is>
          <t>TCLEDDS L1</t>
        </is>
      </c>
      <c r="E72" s="12" t="inlineStr">
        <is>
          <t>Medical (L2)</t>
        </is>
      </c>
      <c r="F72" s="12" t="inlineStr">
        <is>
          <t>Psych (L3)</t>
        </is>
      </c>
      <c r="G72" s="12" t="inlineStr">
        <is>
          <t>Background</t>
        </is>
      </c>
      <c r="H72" s="12" t="inlineStr">
        <is>
          <t>Photo ID/DL</t>
        </is>
      </c>
      <c r="I72" s="12" t="inlineStr">
        <is>
          <t>Rules Ack</t>
        </is>
      </c>
      <c r="J72" s="12" t="inlineStr">
        <is>
          <t>All Docs?</t>
        </is>
      </c>
    </row>
    <row r="73">
      <c r="B73" s="20">
        <f>IF(Cadets!$B6="","",Cadets!$F6)</f>
        <v/>
      </c>
      <c r="C73" s="24" t="n"/>
      <c r="D73" s="24" t="n"/>
      <c r="E73" s="24" t="n"/>
      <c r="F73" s="24" t="n"/>
      <c r="G73" s="24" t="n"/>
      <c r="H73" s="24" t="n"/>
      <c r="I73" s="24" t="n"/>
      <c r="J73" s="20">
        <f>IF($B73="","",IF(COUNTIF(C73:I73,"Yes")=7,"Yes","No"))</f>
        <v/>
      </c>
    </row>
    <row r="74">
      <c r="B74" s="20">
        <f>IF(Cadets!$B7="","",Cadets!$F7)</f>
        <v/>
      </c>
      <c r="C74" s="24" t="n"/>
      <c r="D74" s="24" t="n"/>
      <c r="E74" s="24" t="n"/>
      <c r="F74" s="24" t="n"/>
      <c r="G74" s="24" t="n"/>
      <c r="H74" s="24" t="n"/>
      <c r="I74" s="24" t="n"/>
      <c r="J74" s="20">
        <f>IF($B74="","",IF(COUNTIF(C74:I74,"Yes")=7,"Yes","No"))</f>
        <v/>
      </c>
    </row>
    <row r="75">
      <c r="B75" s="20">
        <f>IF(Cadets!$B8="","",Cadets!$F8)</f>
        <v/>
      </c>
      <c r="C75" s="24" t="n"/>
      <c r="D75" s="24" t="n"/>
      <c r="E75" s="24" t="n"/>
      <c r="F75" s="24" t="n"/>
      <c r="G75" s="24" t="n"/>
      <c r="H75" s="24" t="n"/>
      <c r="I75" s="24" t="n"/>
      <c r="J75" s="20">
        <f>IF($B75="","",IF(COUNTIF(C75:I75,"Yes")=7,"Yes","No"))</f>
        <v/>
      </c>
    </row>
    <row r="76">
      <c r="B76" s="20">
        <f>IF(Cadets!$B9="","",Cadets!$F9)</f>
        <v/>
      </c>
      <c r="C76" s="24" t="n"/>
      <c r="D76" s="24" t="n"/>
      <c r="E76" s="24" t="n"/>
      <c r="F76" s="24" t="n"/>
      <c r="G76" s="24" t="n"/>
      <c r="H76" s="24" t="n"/>
      <c r="I76" s="24" t="n"/>
      <c r="J76" s="20">
        <f>IF($B76="","",IF(COUNTIF(C76:I76,"Yes")=7,"Yes","No"))</f>
        <v/>
      </c>
    </row>
    <row r="77">
      <c r="B77" s="20">
        <f>IF(Cadets!$B10="","",Cadets!$F10)</f>
        <v/>
      </c>
      <c r="C77" s="24" t="n"/>
      <c r="D77" s="24" t="n"/>
      <c r="E77" s="24" t="n"/>
      <c r="F77" s="24" t="n"/>
      <c r="G77" s="24" t="n"/>
      <c r="H77" s="24" t="n"/>
      <c r="I77" s="24" t="n"/>
      <c r="J77" s="20">
        <f>IF($B77="","",IF(COUNTIF(C77:I77,"Yes")=7,"Yes","No"))</f>
        <v/>
      </c>
    </row>
    <row r="78">
      <c r="B78" s="20">
        <f>IF(Cadets!$B11="","",Cadets!$F11)</f>
        <v/>
      </c>
      <c r="C78" s="24" t="n"/>
      <c r="D78" s="24" t="n"/>
      <c r="E78" s="24" t="n"/>
      <c r="F78" s="24" t="n"/>
      <c r="G78" s="24" t="n"/>
      <c r="H78" s="24" t="n"/>
      <c r="I78" s="24" t="n"/>
      <c r="J78" s="20">
        <f>IF($B78="","",IF(COUNTIF(C78:I78,"Yes")=7,"Yes","No"))</f>
        <v/>
      </c>
    </row>
    <row r="79">
      <c r="B79" s="20">
        <f>IF(Cadets!$B12="","",Cadets!$F12)</f>
        <v/>
      </c>
      <c r="C79" s="24" t="n"/>
      <c r="D79" s="24" t="n"/>
      <c r="E79" s="24" t="n"/>
      <c r="F79" s="24" t="n"/>
      <c r="G79" s="24" t="n"/>
      <c r="H79" s="24" t="n"/>
      <c r="I79" s="24" t="n"/>
      <c r="J79" s="20">
        <f>IF($B79="","",IF(COUNTIF(C79:I79,"Yes")=7,"Yes","No"))</f>
        <v/>
      </c>
    </row>
    <row r="80">
      <c r="B80" s="20">
        <f>IF(Cadets!$B13="","",Cadets!$F13)</f>
        <v/>
      </c>
      <c r="C80" s="24" t="n"/>
      <c r="D80" s="24" t="n"/>
      <c r="E80" s="24" t="n"/>
      <c r="F80" s="24" t="n"/>
      <c r="G80" s="24" t="n"/>
      <c r="H80" s="24" t="n"/>
      <c r="I80" s="24" t="n"/>
      <c r="J80" s="20">
        <f>IF($B80="","",IF(COUNTIF(C80:I80,"Yes")=7,"Yes","No"))</f>
        <v/>
      </c>
    </row>
    <row r="81">
      <c r="B81" s="20">
        <f>IF(Cadets!$B14="","",Cadets!$F14)</f>
        <v/>
      </c>
      <c r="C81" s="24" t="n"/>
      <c r="D81" s="24" t="n"/>
      <c r="E81" s="24" t="n"/>
      <c r="F81" s="24" t="n"/>
      <c r="G81" s="24" t="n"/>
      <c r="H81" s="24" t="n"/>
      <c r="I81" s="24" t="n"/>
      <c r="J81" s="20">
        <f>IF($B81="","",IF(COUNTIF(C81:I81,"Yes")=7,"Yes","No"))</f>
        <v/>
      </c>
    </row>
    <row r="82">
      <c r="B82" s="20">
        <f>IF(Cadets!$B15="","",Cadets!$F15)</f>
        <v/>
      </c>
      <c r="C82" s="24" t="n"/>
      <c r="D82" s="24" t="n"/>
      <c r="E82" s="24" t="n"/>
      <c r="F82" s="24" t="n"/>
      <c r="G82" s="24" t="n"/>
      <c r="H82" s="24" t="n"/>
      <c r="I82" s="24" t="n"/>
      <c r="J82" s="20">
        <f>IF($B82="","",IF(COUNTIF(C82:I82,"Yes")=7,"Yes","No"))</f>
        <v/>
      </c>
    </row>
    <row r="83">
      <c r="B83" s="20">
        <f>IF(Cadets!$B16="","",Cadets!$F16)</f>
        <v/>
      </c>
      <c r="C83" s="24" t="n"/>
      <c r="D83" s="24" t="n"/>
      <c r="E83" s="24" t="n"/>
      <c r="F83" s="24" t="n"/>
      <c r="G83" s="24" t="n"/>
      <c r="H83" s="24" t="n"/>
      <c r="I83" s="24" t="n"/>
      <c r="J83" s="20">
        <f>IF($B83="","",IF(COUNTIF(C83:I83,"Yes")=7,"Yes","No"))</f>
        <v/>
      </c>
    </row>
    <row r="84">
      <c r="B84" s="20">
        <f>IF(Cadets!$B17="","",Cadets!$F17)</f>
        <v/>
      </c>
      <c r="C84" s="24" t="n"/>
      <c r="D84" s="24" t="n"/>
      <c r="E84" s="24" t="n"/>
      <c r="F84" s="24" t="n"/>
      <c r="G84" s="24" t="n"/>
      <c r="H84" s="24" t="n"/>
      <c r="I84" s="24" t="n"/>
      <c r="J84" s="20">
        <f>IF($B84="","",IF(COUNTIF(C84:I84,"Yes")=7,"Yes","No"))</f>
        <v/>
      </c>
    </row>
    <row r="85">
      <c r="B85" s="20">
        <f>IF(Cadets!$B18="","",Cadets!$F18)</f>
        <v/>
      </c>
      <c r="C85" s="24" t="n"/>
      <c r="D85" s="24" t="n"/>
      <c r="E85" s="24" t="n"/>
      <c r="F85" s="24" t="n"/>
      <c r="G85" s="24" t="n"/>
      <c r="H85" s="24" t="n"/>
      <c r="I85" s="24" t="n"/>
      <c r="J85" s="20">
        <f>IF($B85="","",IF(COUNTIF(C85:I85,"Yes")=7,"Yes","No"))</f>
        <v/>
      </c>
    </row>
    <row r="86">
      <c r="B86" s="20">
        <f>IF(Cadets!$B19="","",Cadets!$F19)</f>
        <v/>
      </c>
      <c r="C86" s="24" t="n"/>
      <c r="D86" s="24" t="n"/>
      <c r="E86" s="24" t="n"/>
      <c r="F86" s="24" t="n"/>
      <c r="G86" s="24" t="n"/>
      <c r="H86" s="24" t="n"/>
      <c r="I86" s="24" t="n"/>
      <c r="J86" s="20">
        <f>IF($B86="","",IF(COUNTIF(C86:I86,"Yes")=7,"Yes","No"))</f>
        <v/>
      </c>
    </row>
    <row r="87">
      <c r="B87" s="20">
        <f>IF(Cadets!$B20="","",Cadets!$F20)</f>
        <v/>
      </c>
      <c r="C87" s="24" t="n"/>
      <c r="D87" s="24" t="n"/>
      <c r="E87" s="24" t="n"/>
      <c r="F87" s="24" t="n"/>
      <c r="G87" s="24" t="n"/>
      <c r="H87" s="24" t="n"/>
      <c r="I87" s="24" t="n"/>
      <c r="J87" s="20">
        <f>IF($B87="","",IF(COUNTIF(C87:I87,"Yes")=7,"Yes","No"))</f>
        <v/>
      </c>
    </row>
    <row r="88">
      <c r="B88" s="20">
        <f>IF(Cadets!$B21="","",Cadets!$F21)</f>
        <v/>
      </c>
      <c r="C88" s="24" t="n"/>
      <c r="D88" s="24" t="n"/>
      <c r="E88" s="24" t="n"/>
      <c r="F88" s="24" t="n"/>
      <c r="G88" s="24" t="n"/>
      <c r="H88" s="24" t="n"/>
      <c r="I88" s="24" t="n"/>
      <c r="J88" s="20">
        <f>IF($B88="","",IF(COUNTIF(C88:I88,"Yes")=7,"Yes","No"))</f>
        <v/>
      </c>
    </row>
    <row r="89">
      <c r="B89" s="20">
        <f>IF(Cadets!$B22="","",Cadets!$F22)</f>
        <v/>
      </c>
      <c r="C89" s="24" t="n"/>
      <c r="D89" s="24" t="n"/>
      <c r="E89" s="24" t="n"/>
      <c r="F89" s="24" t="n"/>
      <c r="G89" s="24" t="n"/>
      <c r="H89" s="24" t="n"/>
      <c r="I89" s="24" t="n"/>
      <c r="J89" s="20">
        <f>IF($B89="","",IF(COUNTIF(C89:I89,"Yes")=7,"Yes","No"))</f>
        <v/>
      </c>
    </row>
    <row r="90">
      <c r="B90" s="20">
        <f>IF(Cadets!$B23="","",Cadets!$F23)</f>
        <v/>
      </c>
      <c r="C90" s="24" t="n"/>
      <c r="D90" s="24" t="n"/>
      <c r="E90" s="24" t="n"/>
      <c r="F90" s="24" t="n"/>
      <c r="G90" s="24" t="n"/>
      <c r="H90" s="24" t="n"/>
      <c r="I90" s="24" t="n"/>
      <c r="J90" s="20">
        <f>IF($B90="","",IF(COUNTIF(C90:I90,"Yes")=7,"Yes","No"))</f>
        <v/>
      </c>
    </row>
    <row r="91">
      <c r="B91" s="20">
        <f>IF(Cadets!$B24="","",Cadets!$F24)</f>
        <v/>
      </c>
      <c r="C91" s="24" t="n"/>
      <c r="D91" s="24" t="n"/>
      <c r="E91" s="24" t="n"/>
      <c r="F91" s="24" t="n"/>
      <c r="G91" s="24" t="n"/>
      <c r="H91" s="24" t="n"/>
      <c r="I91" s="24" t="n"/>
      <c r="J91" s="20">
        <f>IF($B91="","",IF(COUNTIF(C91:I91,"Yes")=7,"Yes","No"))</f>
        <v/>
      </c>
    </row>
    <row r="92">
      <c r="B92" s="20">
        <f>IF(Cadets!$B25="","",Cadets!$F25)</f>
        <v/>
      </c>
      <c r="C92" s="24" t="n"/>
      <c r="D92" s="24" t="n"/>
      <c r="E92" s="24" t="n"/>
      <c r="F92" s="24" t="n"/>
      <c r="G92" s="24" t="n"/>
      <c r="H92" s="24" t="n"/>
      <c r="I92" s="24" t="n"/>
      <c r="J92" s="20">
        <f>IF($B92="","",IF(COUNTIF(C92:I92,"Yes")=7,"Yes","No"))</f>
        <v/>
      </c>
    </row>
    <row r="93">
      <c r="B93" s="20">
        <f>IF(Cadets!$B26="","",Cadets!$F26)</f>
        <v/>
      </c>
      <c r="C93" s="24" t="n"/>
      <c r="D93" s="24" t="n"/>
      <c r="E93" s="24" t="n"/>
      <c r="F93" s="24" t="n"/>
      <c r="G93" s="24" t="n"/>
      <c r="H93" s="24" t="n"/>
      <c r="I93" s="24" t="n"/>
      <c r="J93" s="20">
        <f>IF($B93="","",IF(COUNTIF(C93:I93,"Yes")=7,"Yes","No"))</f>
        <v/>
      </c>
    </row>
    <row r="94">
      <c r="B94" s="20">
        <f>IF(Cadets!$B27="","",Cadets!$F27)</f>
        <v/>
      </c>
      <c r="C94" s="24" t="n"/>
      <c r="D94" s="24" t="n"/>
      <c r="E94" s="24" t="n"/>
      <c r="F94" s="24" t="n"/>
      <c r="G94" s="24" t="n"/>
      <c r="H94" s="24" t="n"/>
      <c r="I94" s="24" t="n"/>
      <c r="J94" s="20">
        <f>IF($B94="","",IF(COUNTIF(C94:I94,"Yes")=7,"Yes","No"))</f>
        <v/>
      </c>
    </row>
    <row r="95">
      <c r="B95" s="20">
        <f>IF(Cadets!$B28="","",Cadets!$F28)</f>
        <v/>
      </c>
      <c r="C95" s="24" t="n"/>
      <c r="D95" s="24" t="n"/>
      <c r="E95" s="24" t="n"/>
      <c r="F95" s="24" t="n"/>
      <c r="G95" s="24" t="n"/>
      <c r="H95" s="24" t="n"/>
      <c r="I95" s="24" t="n"/>
      <c r="J95" s="20">
        <f>IF($B95="","",IF(COUNTIF(C95:I95,"Yes")=7,"Yes","No"))</f>
        <v/>
      </c>
    </row>
    <row r="96">
      <c r="B96" s="20">
        <f>IF(Cadets!$B29="","",Cadets!$F29)</f>
        <v/>
      </c>
      <c r="C96" s="24" t="n"/>
      <c r="D96" s="24" t="n"/>
      <c r="E96" s="24" t="n"/>
      <c r="F96" s="24" t="n"/>
      <c r="G96" s="24" t="n"/>
      <c r="H96" s="24" t="n"/>
      <c r="I96" s="24" t="n"/>
      <c r="J96" s="20">
        <f>IF($B96="","",IF(COUNTIF(C96:I96,"Yes")=7,"Yes","No"))</f>
        <v/>
      </c>
    </row>
    <row r="97">
      <c r="B97" s="20">
        <f>IF(Cadets!$B30="","",Cadets!$F30)</f>
        <v/>
      </c>
      <c r="C97" s="24" t="n"/>
      <c r="D97" s="24" t="n"/>
      <c r="E97" s="24" t="n"/>
      <c r="F97" s="24" t="n"/>
      <c r="G97" s="24" t="n"/>
      <c r="H97" s="24" t="n"/>
      <c r="I97" s="24" t="n"/>
      <c r="J97" s="20">
        <f>IF($B97="","",IF(COUNTIF(C97:I97,"Yes")=7,"Yes","No"))</f>
        <v/>
      </c>
    </row>
    <row r="98">
      <c r="B98" s="20">
        <f>IF(Cadets!$B31="","",Cadets!$F31)</f>
        <v/>
      </c>
      <c r="C98" s="24" t="n"/>
      <c r="D98" s="24" t="n"/>
      <c r="E98" s="24" t="n"/>
      <c r="F98" s="24" t="n"/>
      <c r="G98" s="24" t="n"/>
      <c r="H98" s="24" t="n"/>
      <c r="I98" s="24" t="n"/>
      <c r="J98" s="20">
        <f>IF($B98="","",IF(COUNTIF(C98:I98,"Yes")=7,"Yes","No"))</f>
        <v/>
      </c>
    </row>
    <row r="99">
      <c r="B99" s="20">
        <f>IF(Cadets!$B32="","",Cadets!$F32)</f>
        <v/>
      </c>
      <c r="C99" s="24" t="n"/>
      <c r="D99" s="24" t="n"/>
      <c r="E99" s="24" t="n"/>
      <c r="F99" s="24" t="n"/>
      <c r="G99" s="24" t="n"/>
      <c r="H99" s="24" t="n"/>
      <c r="I99" s="24" t="n"/>
      <c r="J99" s="20">
        <f>IF($B99="","",IF(COUNTIF(C99:I99,"Yes")=7,"Yes","No"))</f>
        <v/>
      </c>
    </row>
    <row r="100">
      <c r="B100" s="20">
        <f>IF(Cadets!$B33="","",Cadets!$F33)</f>
        <v/>
      </c>
      <c r="C100" s="24" t="n"/>
      <c r="D100" s="24" t="n"/>
      <c r="E100" s="24" t="n"/>
      <c r="F100" s="24" t="n"/>
      <c r="G100" s="24" t="n"/>
      <c r="H100" s="24" t="n"/>
      <c r="I100" s="24" t="n"/>
      <c r="J100" s="20">
        <f>IF($B100="","",IF(COUNTIF(C100:I100,"Yes")=7,"Yes","No"))</f>
        <v/>
      </c>
    </row>
    <row r="101">
      <c r="B101" s="20">
        <f>IF(Cadets!$B34="","",Cadets!$F34)</f>
        <v/>
      </c>
      <c r="C101" s="24" t="n"/>
      <c r="D101" s="24" t="n"/>
      <c r="E101" s="24" t="n"/>
      <c r="F101" s="24" t="n"/>
      <c r="G101" s="24" t="n"/>
      <c r="H101" s="24" t="n"/>
      <c r="I101" s="24" t="n"/>
      <c r="J101" s="20">
        <f>IF($B101="","",IF(COUNTIF(C101:I101,"Yes")=7,"Yes","No"))</f>
        <v/>
      </c>
    </row>
    <row r="102">
      <c r="B102" s="20">
        <f>IF(Cadets!$B35="","",Cadets!$F35)</f>
        <v/>
      </c>
      <c r="C102" s="24" t="n"/>
      <c r="D102" s="24" t="n"/>
      <c r="E102" s="24" t="n"/>
      <c r="F102" s="24" t="n"/>
      <c r="G102" s="24" t="n"/>
      <c r="H102" s="24" t="n"/>
      <c r="I102" s="24" t="n"/>
      <c r="J102" s="20">
        <f>IF($B102="","",IF(COUNTIF(C102:I102,"Yes")=7,"Yes","No"))</f>
        <v/>
      </c>
    </row>
    <row r="103">
      <c r="B103" s="20">
        <f>IF(Cadets!$B36="","",Cadets!$F36)</f>
        <v/>
      </c>
      <c r="C103" s="24" t="n"/>
      <c r="D103" s="24" t="n"/>
      <c r="E103" s="24" t="n"/>
      <c r="F103" s="24" t="n"/>
      <c r="G103" s="24" t="n"/>
      <c r="H103" s="24" t="n"/>
      <c r="I103" s="24" t="n"/>
      <c r="J103" s="20">
        <f>IF($B103="","",IF(COUNTIF(C103:I103,"Yes")=7,"Yes","No"))</f>
        <v/>
      </c>
    </row>
    <row r="104">
      <c r="B104" s="20">
        <f>IF(Cadets!$B37="","",Cadets!$F37)</f>
        <v/>
      </c>
      <c r="C104" s="24" t="n"/>
      <c r="D104" s="24" t="n"/>
      <c r="E104" s="24" t="n"/>
      <c r="F104" s="24" t="n"/>
      <c r="G104" s="24" t="n"/>
      <c r="H104" s="24" t="n"/>
      <c r="I104" s="24" t="n"/>
      <c r="J104" s="20">
        <f>IF($B104="","",IF(COUNTIF(C104:I104,"Yes")=7,"Yes","No"))</f>
        <v/>
      </c>
    </row>
    <row r="105">
      <c r="B105" s="20">
        <f>IF(Cadets!$B38="","",Cadets!$F38)</f>
        <v/>
      </c>
      <c r="C105" s="24" t="n"/>
      <c r="D105" s="24" t="n"/>
      <c r="E105" s="24" t="n"/>
      <c r="F105" s="24" t="n"/>
      <c r="G105" s="24" t="n"/>
      <c r="H105" s="24" t="n"/>
      <c r="I105" s="24" t="n"/>
      <c r="J105" s="20">
        <f>IF($B105="","",IF(COUNTIF(C105:I105,"Yes")=7,"Yes","No"))</f>
        <v/>
      </c>
    </row>
    <row r="106">
      <c r="B106" s="20">
        <f>IF(Cadets!$B39="","",Cadets!$F39)</f>
        <v/>
      </c>
      <c r="C106" s="24" t="n"/>
      <c r="D106" s="24" t="n"/>
      <c r="E106" s="24" t="n"/>
      <c r="F106" s="24" t="n"/>
      <c r="G106" s="24" t="n"/>
      <c r="H106" s="24" t="n"/>
      <c r="I106" s="24" t="n"/>
      <c r="J106" s="20">
        <f>IF($B106="","",IF(COUNTIF(C106:I106,"Yes")=7,"Yes","No"))</f>
        <v/>
      </c>
    </row>
    <row r="107">
      <c r="B107" s="20">
        <f>IF(Cadets!$B40="","",Cadets!$F40)</f>
        <v/>
      </c>
      <c r="C107" s="24" t="n"/>
      <c r="D107" s="24" t="n"/>
      <c r="E107" s="24" t="n"/>
      <c r="F107" s="24" t="n"/>
      <c r="G107" s="24" t="n"/>
      <c r="H107" s="24" t="n"/>
      <c r="I107" s="24" t="n"/>
      <c r="J107" s="20">
        <f>IF($B107="","",IF(COUNTIF(C107:I107,"Yes")=7,"Yes","No"))</f>
        <v/>
      </c>
    </row>
    <row r="108">
      <c r="B108" s="20">
        <f>IF(Cadets!$B41="","",Cadets!$F41)</f>
        <v/>
      </c>
      <c r="C108" s="24" t="n"/>
      <c r="D108" s="24" t="n"/>
      <c r="E108" s="24" t="n"/>
      <c r="F108" s="24" t="n"/>
      <c r="G108" s="24" t="n"/>
      <c r="H108" s="24" t="n"/>
      <c r="I108" s="24" t="n"/>
      <c r="J108" s="20">
        <f>IF($B108="","",IF(COUNTIF(C108:I108,"Yes")=7,"Yes","No"))</f>
        <v/>
      </c>
    </row>
    <row r="109">
      <c r="B109" s="20">
        <f>IF(Cadets!$B42="","",Cadets!$F42)</f>
        <v/>
      </c>
      <c r="C109" s="24" t="n"/>
      <c r="D109" s="24" t="n"/>
      <c r="E109" s="24" t="n"/>
      <c r="F109" s="24" t="n"/>
      <c r="G109" s="24" t="n"/>
      <c r="H109" s="24" t="n"/>
      <c r="I109" s="24" t="n"/>
      <c r="J109" s="20">
        <f>IF($B109="","",IF(COUNTIF(C109:I109,"Yes")=7,"Yes","No"))</f>
        <v/>
      </c>
    </row>
    <row r="110">
      <c r="B110" s="20">
        <f>IF(Cadets!$B43="","",Cadets!$F43)</f>
        <v/>
      </c>
      <c r="C110" s="24" t="n"/>
      <c r="D110" s="24" t="n"/>
      <c r="E110" s="24" t="n"/>
      <c r="F110" s="24" t="n"/>
      <c r="G110" s="24" t="n"/>
      <c r="H110" s="24" t="n"/>
      <c r="I110" s="24" t="n"/>
      <c r="J110" s="20">
        <f>IF($B110="","",IF(COUNTIF(C110:I110,"Yes")=7,"Yes","No"))</f>
        <v/>
      </c>
    </row>
    <row r="111">
      <c r="B111" s="20">
        <f>IF(Cadets!$B44="","",Cadets!$F44)</f>
        <v/>
      </c>
      <c r="C111" s="24" t="n"/>
      <c r="D111" s="24" t="n"/>
      <c r="E111" s="24" t="n"/>
      <c r="F111" s="24" t="n"/>
      <c r="G111" s="24" t="n"/>
      <c r="H111" s="24" t="n"/>
      <c r="I111" s="24" t="n"/>
      <c r="J111" s="20">
        <f>IF($B111="","",IF(COUNTIF(C111:I111,"Yes")=7,"Yes","No"))</f>
        <v/>
      </c>
    </row>
    <row r="112">
      <c r="B112" s="20">
        <f>IF(Cadets!$B45="","",Cadets!$F45)</f>
        <v/>
      </c>
      <c r="C112" s="24" t="n"/>
      <c r="D112" s="24" t="n"/>
      <c r="E112" s="24" t="n"/>
      <c r="F112" s="24" t="n"/>
      <c r="G112" s="24" t="n"/>
      <c r="H112" s="24" t="n"/>
      <c r="I112" s="24" t="n"/>
      <c r="J112" s="20">
        <f>IF($B112="","",IF(COUNTIF(C112:I112,"Yes")=7,"Yes","No"))</f>
        <v/>
      </c>
    </row>
    <row r="113">
      <c r="B113" s="20">
        <f>IF(Cadets!$B46="","",Cadets!$F46)</f>
        <v/>
      </c>
      <c r="C113" s="24" t="n"/>
      <c r="D113" s="24" t="n"/>
      <c r="E113" s="24" t="n"/>
      <c r="F113" s="24" t="n"/>
      <c r="G113" s="24" t="n"/>
      <c r="H113" s="24" t="n"/>
      <c r="I113" s="24" t="n"/>
      <c r="J113" s="20">
        <f>IF($B113="","",IF(COUNTIF(C113:I113,"Yes")=7,"Yes","No"))</f>
        <v/>
      </c>
    </row>
    <row r="114">
      <c r="B114" s="20">
        <f>IF(Cadets!$B47="","",Cadets!$F47)</f>
        <v/>
      </c>
      <c r="C114" s="24" t="n"/>
      <c r="D114" s="24" t="n"/>
      <c r="E114" s="24" t="n"/>
      <c r="F114" s="24" t="n"/>
      <c r="G114" s="24" t="n"/>
      <c r="H114" s="24" t="n"/>
      <c r="I114" s="24" t="n"/>
      <c r="J114" s="20">
        <f>IF($B114="","",IF(COUNTIF(C114:I114,"Yes")=7,"Yes","No"))</f>
        <v/>
      </c>
    </row>
    <row r="115">
      <c r="B115" s="20">
        <f>IF(Cadets!$B48="","",Cadets!$F48)</f>
        <v/>
      </c>
      <c r="C115" s="24" t="n"/>
      <c r="D115" s="24" t="n"/>
      <c r="E115" s="24" t="n"/>
      <c r="F115" s="24" t="n"/>
      <c r="G115" s="24" t="n"/>
      <c r="H115" s="24" t="n"/>
      <c r="I115" s="24" t="n"/>
      <c r="J115" s="20">
        <f>IF($B115="","",IF(COUNTIF(C115:I115,"Yes")=7,"Yes","No"))</f>
        <v/>
      </c>
    </row>
    <row r="116">
      <c r="B116" s="20">
        <f>IF(Cadets!$B49="","",Cadets!$F49)</f>
        <v/>
      </c>
      <c r="C116" s="24" t="n"/>
      <c r="D116" s="24" t="n"/>
      <c r="E116" s="24" t="n"/>
      <c r="F116" s="24" t="n"/>
      <c r="G116" s="24" t="n"/>
      <c r="H116" s="24" t="n"/>
      <c r="I116" s="24" t="n"/>
      <c r="J116" s="20">
        <f>IF($B116="","",IF(COUNTIF(C116:I116,"Yes")=7,"Yes","No"))</f>
        <v/>
      </c>
    </row>
    <row r="117">
      <c r="B117" s="20">
        <f>IF(Cadets!$B50="","",Cadets!$F50)</f>
        <v/>
      </c>
      <c r="C117" s="24" t="n"/>
      <c r="D117" s="24" t="n"/>
      <c r="E117" s="24" t="n"/>
      <c r="F117" s="24" t="n"/>
      <c r="G117" s="24" t="n"/>
      <c r="H117" s="24" t="n"/>
      <c r="I117" s="24" t="n"/>
      <c r="J117" s="20">
        <f>IF($B117="","",IF(COUNTIF(C117:I117,"Yes")=7,"Yes","No"))</f>
        <v/>
      </c>
    </row>
    <row r="118">
      <c r="B118" s="20">
        <f>IF(Cadets!$B51="","",Cadets!$F51)</f>
        <v/>
      </c>
      <c r="C118" s="24" t="n"/>
      <c r="D118" s="24" t="n"/>
      <c r="E118" s="24" t="n"/>
      <c r="F118" s="24" t="n"/>
      <c r="G118" s="24" t="n"/>
      <c r="H118" s="24" t="n"/>
      <c r="I118" s="24" t="n"/>
      <c r="J118" s="20">
        <f>IF($B118="","",IF(COUNTIF(C118:I118,"Yes")=7,"Yes","No"))</f>
        <v/>
      </c>
    </row>
    <row r="119">
      <c r="B119" s="20">
        <f>IF(Cadets!$B52="","",Cadets!$F52)</f>
        <v/>
      </c>
      <c r="C119" s="24" t="n"/>
      <c r="D119" s="24" t="n"/>
      <c r="E119" s="24" t="n"/>
      <c r="F119" s="24" t="n"/>
      <c r="G119" s="24" t="n"/>
      <c r="H119" s="24" t="n"/>
      <c r="I119" s="24" t="n"/>
      <c r="J119" s="20">
        <f>IF($B119="","",IF(COUNTIF(C119:I119,"Yes")=7,"Yes","No"))</f>
        <v/>
      </c>
    </row>
    <row r="120">
      <c r="B120" s="20">
        <f>IF(Cadets!$B53="","",Cadets!$F53)</f>
        <v/>
      </c>
      <c r="C120" s="24" t="n"/>
      <c r="D120" s="24" t="n"/>
      <c r="E120" s="24" t="n"/>
      <c r="F120" s="24" t="n"/>
      <c r="G120" s="24" t="n"/>
      <c r="H120" s="24" t="n"/>
      <c r="I120" s="24" t="n"/>
      <c r="J120" s="20">
        <f>IF($B120="","",IF(COUNTIF(C120:I120,"Yes")=7,"Yes","No"))</f>
        <v/>
      </c>
    </row>
    <row r="121">
      <c r="B121" s="20">
        <f>IF(Cadets!$B54="","",Cadets!$F54)</f>
        <v/>
      </c>
      <c r="C121" s="24" t="n"/>
      <c r="D121" s="24" t="n"/>
      <c r="E121" s="24" t="n"/>
      <c r="F121" s="24" t="n"/>
      <c r="G121" s="24" t="n"/>
      <c r="H121" s="24" t="n"/>
      <c r="I121" s="24" t="n"/>
      <c r="J121" s="20">
        <f>IF($B121="","",IF(COUNTIF(C121:I121,"Yes")=7,"Yes","No"))</f>
        <v/>
      </c>
    </row>
    <row r="122">
      <c r="B122" s="20">
        <f>IF(Cadets!$B55="","",Cadets!$F55)</f>
        <v/>
      </c>
      <c r="C122" s="24" t="n"/>
      <c r="D122" s="24" t="n"/>
      <c r="E122" s="24" t="n"/>
      <c r="F122" s="24" t="n"/>
      <c r="G122" s="24" t="n"/>
      <c r="H122" s="24" t="n"/>
      <c r="I122" s="24" t="n"/>
      <c r="J122" s="20">
        <f>IF($B122="","",IF(COUNTIF(C122:I122,"Yes")=7,"Yes","No"))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68:E68"/>
    <mergeCell ref="B64:E64"/>
    <mergeCell ref="B55:E55"/>
    <mergeCell ref="B51:E51"/>
    <mergeCell ref="B63:E63"/>
    <mergeCell ref="B50:H50"/>
    <mergeCell ref="B54:E54"/>
    <mergeCell ref="B62:E62"/>
    <mergeCell ref="B47:H47"/>
    <mergeCell ref="B59:E59"/>
    <mergeCell ref="B7:H7"/>
    <mergeCell ref="B66:E66"/>
    <mergeCell ref="B46:H46"/>
    <mergeCell ref="B56:E56"/>
    <mergeCell ref="B71:H71"/>
    <mergeCell ref="B58:E58"/>
    <mergeCell ref="B52:E52"/>
    <mergeCell ref="B48:H48"/>
    <mergeCell ref="B60:E60"/>
    <mergeCell ref="B67:E67"/>
    <mergeCell ref="B61:E61"/>
    <mergeCell ref="B57:E57"/>
    <mergeCell ref="B53:E53"/>
    <mergeCell ref="B69:E69"/>
  </mergeCells>
  <conditionalFormatting sqref="E9:E44">
    <cfRule type="expression" priority="1" dxfId="0">
      <formula>AND($E9&lt;&gt;"OK",$E9&lt;&gt;"")</formula>
    </cfRule>
    <cfRule type="expression" priority="2" dxfId="3">
      <formula>$E9="OK"</formula>
    </cfRule>
  </conditionalFormatting>
  <conditionalFormatting sqref="F52:F69">
    <cfRule type="expression" priority="3" dxfId="0">
      <formula>AND($B52&lt;&gt;"",$F52&lt;&gt;"Yes",$F52&lt;&gt;"N/A")</formula>
    </cfRule>
  </conditionalFormatting>
  <conditionalFormatting sqref="J73:J122">
    <cfRule type="cellIs" priority="4" operator="equal" dxfId="3">
      <formula>"Yes"</formula>
    </cfRule>
    <cfRule type="cellIs" priority="5" operator="equal" dxfId="0">
      <formula>"No"</formula>
    </cfRule>
  </conditionalFormatting>
  <dataValidations count="2">
    <dataValidation sqref="F52:F69" showDropDown="0" showInputMessage="0" showErrorMessage="1" allowBlank="1" type="list">
      <formula1>"Yes,No,N/A"</formula1>
    </dataValidation>
    <dataValidation sqref="C73:I122"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H61"/>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6">
        <f>ChapterMaster!$C$6</f>
        <v/>
      </c>
      <c r="C9" s="26">
        <f>ChapterMaster!$D$6</f>
        <v/>
      </c>
      <c r="D9" s="27">
        <f>ChapterMaster!$E$6</f>
        <v/>
      </c>
      <c r="E9" s="27">
        <f>IF(ChapterMaster!$G6=0,"",ChapterMaster!$G6)</f>
        <v/>
      </c>
      <c r="F9" s="28">
        <f>IF(OR(ChapterMaster!$G6="",ChapterMaster!$G6=0),"",IF(ChapterMaster!$G6&gt;ChapterMaster!$E6,ROUND(ChapterMaster!$G6-ChapterMaster!$E6,2),""))</f>
        <v/>
      </c>
      <c r="G9" s="26">
        <f>IF($F9="","","#101 (Addendum to BPOC)")</f>
        <v/>
      </c>
    </row>
    <row r="10">
      <c r="B10" s="26">
        <f>ChapterMaster!$C$7</f>
        <v/>
      </c>
      <c r="C10" s="26">
        <f>ChapterMaster!$D$7</f>
        <v/>
      </c>
      <c r="D10" s="27">
        <f>ChapterMaster!$E$7</f>
        <v/>
      </c>
      <c r="E10" s="27">
        <f>IF(ChapterMaster!$G7=0,"",ChapterMaster!$G7)</f>
        <v/>
      </c>
      <c r="F10" s="28">
        <f>IF(OR(ChapterMaster!$G7="",ChapterMaster!$G7=0),"",IF(ChapterMaster!$G7&gt;ChapterMaster!$E7,ROUND(ChapterMaster!$G7-ChapterMaster!$E7,2),""))</f>
        <v/>
      </c>
      <c r="G10" s="26">
        <f>IF($F10="","","#101 (Addendum to BPOC)")</f>
        <v/>
      </c>
    </row>
    <row r="11">
      <c r="B11" s="26">
        <f>ChapterMaster!$C$8</f>
        <v/>
      </c>
      <c r="C11" s="26">
        <f>ChapterMaster!$D$8</f>
        <v/>
      </c>
      <c r="D11" s="27">
        <f>ChapterMaster!$E$8</f>
        <v/>
      </c>
      <c r="E11" s="27">
        <f>IF(ChapterMaster!$G8=0,"",ChapterMaster!$G8)</f>
        <v/>
      </c>
      <c r="F11" s="28">
        <f>IF(OR(ChapterMaster!$G8="",ChapterMaster!$G8=0),"",IF(ChapterMaster!$G8&gt;ChapterMaster!$E8,ROUND(ChapterMaster!$G8-ChapterMaster!$E8,2),""))</f>
        <v/>
      </c>
      <c r="G11" s="26">
        <f>IF($F11="","","#101 (Addendum to BPOC)")</f>
        <v/>
      </c>
    </row>
    <row r="12">
      <c r="B12" s="26">
        <f>ChapterMaster!$C$9</f>
        <v/>
      </c>
      <c r="C12" s="26">
        <f>ChapterMaster!$D$9</f>
        <v/>
      </c>
      <c r="D12" s="27">
        <f>ChapterMaster!$E$9</f>
        <v/>
      </c>
      <c r="E12" s="27">
        <f>IF(ChapterMaster!$G9=0,"",ChapterMaster!$G9)</f>
        <v/>
      </c>
      <c r="F12" s="28">
        <f>IF(OR(ChapterMaster!$G9="",ChapterMaster!$G9=0),"",IF(ChapterMaster!$G9&gt;ChapterMaster!$E9,ROUND(ChapterMaster!$G9-ChapterMaster!$E9,2),""))</f>
        <v/>
      </c>
      <c r="G12" s="26">
        <f>IF($F12="","","#101 (Addendum to BPOC)")</f>
        <v/>
      </c>
    </row>
    <row r="13">
      <c r="B13" s="26">
        <f>ChapterMaster!$C$10</f>
        <v/>
      </c>
      <c r="C13" s="26">
        <f>ChapterMaster!$D$10</f>
        <v/>
      </c>
      <c r="D13" s="27">
        <f>ChapterMaster!$E$10</f>
        <v/>
      </c>
      <c r="E13" s="27">
        <f>IF(ChapterMaster!$G10=0,"",ChapterMaster!$G10)</f>
        <v/>
      </c>
      <c r="F13" s="28">
        <f>IF(OR(ChapterMaster!$G10="",ChapterMaster!$G10=0),"",IF(ChapterMaster!$G10&gt;ChapterMaster!$E10,ROUND(ChapterMaster!$G10-ChapterMaster!$E10,2),""))</f>
        <v/>
      </c>
      <c r="G13" s="26">
        <f>IF($F13="","","#101 (Addendum to BPOC)")</f>
        <v/>
      </c>
    </row>
    <row r="14">
      <c r="B14" s="26">
        <f>ChapterMaster!$C$11</f>
        <v/>
      </c>
      <c r="C14" s="26">
        <f>ChapterMaster!$D$11</f>
        <v/>
      </c>
      <c r="D14" s="27">
        <f>ChapterMaster!$E$11</f>
        <v/>
      </c>
      <c r="E14" s="27">
        <f>IF(ChapterMaster!$G11=0,"",ChapterMaster!$G11)</f>
        <v/>
      </c>
      <c r="F14" s="28">
        <f>IF(OR(ChapterMaster!$G11="",ChapterMaster!$G11=0),"",IF(ChapterMaster!$G11&gt;ChapterMaster!$E11,ROUND(ChapterMaster!$G11-ChapterMaster!$E11,2),""))</f>
        <v/>
      </c>
      <c r="G14" s="26">
        <f>IF($F14="","","#101 (Addendum to BPOC)")</f>
        <v/>
      </c>
    </row>
    <row r="15">
      <c r="B15" s="26">
        <f>ChapterMaster!$C$12</f>
        <v/>
      </c>
      <c r="C15" s="26">
        <f>ChapterMaster!$D$12</f>
        <v/>
      </c>
      <c r="D15" s="27">
        <f>ChapterMaster!$E$12</f>
        <v/>
      </c>
      <c r="E15" s="27">
        <f>IF(ChapterMaster!$G12=0,"",ChapterMaster!$G12)</f>
        <v/>
      </c>
      <c r="F15" s="28">
        <f>IF(OR(ChapterMaster!$G12="",ChapterMaster!$G12=0),"",IF(ChapterMaster!$G12&gt;ChapterMaster!$E12,ROUND(ChapterMaster!$G12-ChapterMaster!$E12,2),""))</f>
        <v/>
      </c>
      <c r="G15" s="26">
        <f>IF($F15="","","#101 (Addendum to BPOC)")</f>
        <v/>
      </c>
    </row>
    <row r="16">
      <c r="B16" s="26">
        <f>ChapterMaster!$C$13</f>
        <v/>
      </c>
      <c r="C16" s="26">
        <f>ChapterMaster!$D$13</f>
        <v/>
      </c>
      <c r="D16" s="27">
        <f>ChapterMaster!$E$13</f>
        <v/>
      </c>
      <c r="E16" s="27">
        <f>IF(ChapterMaster!$G13=0,"",ChapterMaster!$G13)</f>
        <v/>
      </c>
      <c r="F16" s="28">
        <f>IF(OR(ChapterMaster!$G13="",ChapterMaster!$G13=0),"",IF(ChapterMaster!$G13&gt;ChapterMaster!$E13,ROUND(ChapterMaster!$G13-ChapterMaster!$E13,2),""))</f>
        <v/>
      </c>
      <c r="G16" s="26">
        <f>IF($F16="","","#101 (Addendum to BPOC)")</f>
        <v/>
      </c>
    </row>
    <row r="17">
      <c r="B17" s="26">
        <f>ChapterMaster!$C$14</f>
        <v/>
      </c>
      <c r="C17" s="26">
        <f>ChapterMaster!$D$14</f>
        <v/>
      </c>
      <c r="D17" s="27">
        <f>ChapterMaster!$E$14</f>
        <v/>
      </c>
      <c r="E17" s="27">
        <f>IF(ChapterMaster!$G14=0,"",ChapterMaster!$G14)</f>
        <v/>
      </c>
      <c r="F17" s="28">
        <f>IF(OR(ChapterMaster!$G14="",ChapterMaster!$G14=0),"",IF(ChapterMaster!$G14&gt;ChapterMaster!$E14,ROUND(ChapterMaster!$G14-ChapterMaster!$E14,2),""))</f>
        <v/>
      </c>
      <c r="G17" s="26">
        <f>IF($F17="","","#101 (Addendum to BPOC)")</f>
        <v/>
      </c>
    </row>
    <row r="18">
      <c r="B18" s="26">
        <f>ChapterMaster!$C$15</f>
        <v/>
      </c>
      <c r="C18" s="26">
        <f>ChapterMaster!$D$15</f>
        <v/>
      </c>
      <c r="D18" s="27">
        <f>ChapterMaster!$E$15</f>
        <v/>
      </c>
      <c r="E18" s="27">
        <f>IF(ChapterMaster!$G15=0,"",ChapterMaster!$G15)</f>
        <v/>
      </c>
      <c r="F18" s="28">
        <f>IF(OR(ChapterMaster!$G15="",ChapterMaster!$G15=0),"",IF(ChapterMaster!$G15&gt;ChapterMaster!$E15,ROUND(ChapterMaster!$G15-ChapterMaster!$E15,2),""))</f>
        <v/>
      </c>
      <c r="G18" s="26">
        <f>IF($F18="","","#101 (Addendum to BPOC)")</f>
        <v/>
      </c>
    </row>
    <row r="19">
      <c r="B19" s="26">
        <f>ChapterMaster!$C$16</f>
        <v/>
      </c>
      <c r="C19" s="26">
        <f>ChapterMaster!$D$16</f>
        <v/>
      </c>
      <c r="D19" s="27">
        <f>ChapterMaster!$E$16</f>
        <v/>
      </c>
      <c r="E19" s="27">
        <f>IF(ChapterMaster!$G16=0,"",ChapterMaster!$G16)</f>
        <v/>
      </c>
      <c r="F19" s="28">
        <f>IF(OR(ChapterMaster!$G16="",ChapterMaster!$G16=0),"",IF(ChapterMaster!$G16&gt;ChapterMaster!$E16,ROUND(ChapterMaster!$G16-ChapterMaster!$E16,2),""))</f>
        <v/>
      </c>
      <c r="G19" s="26">
        <f>IF($F19="","","#101 (Addendum to BPOC)")</f>
        <v/>
      </c>
    </row>
    <row r="20">
      <c r="B20" s="26">
        <f>ChapterMaster!$C$17</f>
        <v/>
      </c>
      <c r="C20" s="26">
        <f>ChapterMaster!$D$17</f>
        <v/>
      </c>
      <c r="D20" s="27">
        <f>ChapterMaster!$E$17</f>
        <v/>
      </c>
      <c r="E20" s="27">
        <f>IF(ChapterMaster!$G17=0,"",ChapterMaster!$G17)</f>
        <v/>
      </c>
      <c r="F20" s="28">
        <f>IF(OR(ChapterMaster!$G17="",ChapterMaster!$G17=0),"",IF(ChapterMaster!$G17&gt;ChapterMaster!$E17,ROUND(ChapterMaster!$G17-ChapterMaster!$E17,2),""))</f>
        <v/>
      </c>
      <c r="G20" s="26">
        <f>IF($F20="","","#101 (Addendum to BPOC)")</f>
        <v/>
      </c>
    </row>
    <row r="21">
      <c r="B21" s="26">
        <f>ChapterMaster!$C$18</f>
        <v/>
      </c>
      <c r="C21" s="26">
        <f>ChapterMaster!$D$18</f>
        <v/>
      </c>
      <c r="D21" s="27">
        <f>ChapterMaster!$E$18</f>
        <v/>
      </c>
      <c r="E21" s="27">
        <f>IF(ChapterMaster!$G18=0,"",ChapterMaster!$G18)</f>
        <v/>
      </c>
      <c r="F21" s="28">
        <f>IF(OR(ChapterMaster!$G18="",ChapterMaster!$G18=0),"",IF(ChapterMaster!$G18&gt;ChapterMaster!$E18,ROUND(ChapterMaster!$G18-ChapterMaster!$E18,2),""))</f>
        <v/>
      </c>
      <c r="G21" s="26">
        <f>IF($F21="","","#101 (Addendum to BPOC)")</f>
        <v/>
      </c>
    </row>
    <row r="22">
      <c r="B22" s="26">
        <f>ChapterMaster!$C$19</f>
        <v/>
      </c>
      <c r="C22" s="26">
        <f>ChapterMaster!$D$19</f>
        <v/>
      </c>
      <c r="D22" s="27">
        <f>ChapterMaster!$E$19</f>
        <v/>
      </c>
      <c r="E22" s="27">
        <f>IF(ChapterMaster!$G19=0,"",ChapterMaster!$G19)</f>
        <v/>
      </c>
      <c r="F22" s="28">
        <f>IF(OR(ChapterMaster!$G19="",ChapterMaster!$G19=0),"",IF(ChapterMaster!$G19&gt;ChapterMaster!$E19,ROUND(ChapterMaster!$G19-ChapterMaster!$E19,2),""))</f>
        <v/>
      </c>
      <c r="G22" s="26">
        <f>IF($F22="","","#101 (Addendum to BPOC)")</f>
        <v/>
      </c>
    </row>
    <row r="23">
      <c r="B23" s="26">
        <f>ChapterMaster!$C$20</f>
        <v/>
      </c>
      <c r="C23" s="26">
        <f>ChapterMaster!$D$20</f>
        <v/>
      </c>
      <c r="D23" s="27">
        <f>ChapterMaster!$E$20</f>
        <v/>
      </c>
      <c r="E23" s="27">
        <f>IF(ChapterMaster!$G20=0,"",ChapterMaster!$G20)</f>
        <v/>
      </c>
      <c r="F23" s="28">
        <f>IF(OR(ChapterMaster!$G20="",ChapterMaster!$G20=0),"",IF(ChapterMaster!$G20&gt;ChapterMaster!$E20,ROUND(ChapterMaster!$G20-ChapterMaster!$E20,2),""))</f>
        <v/>
      </c>
      <c r="G23" s="26">
        <f>IF($F23="","","#101 (Addendum to BPOC)")</f>
        <v/>
      </c>
    </row>
    <row r="24">
      <c r="B24" s="26">
        <f>ChapterMaster!$C$21</f>
        <v/>
      </c>
      <c r="C24" s="26">
        <f>ChapterMaster!$D$21</f>
        <v/>
      </c>
      <c r="D24" s="27">
        <f>ChapterMaster!$E$21</f>
        <v/>
      </c>
      <c r="E24" s="27">
        <f>IF(ChapterMaster!$G21=0,"",ChapterMaster!$G21)</f>
        <v/>
      </c>
      <c r="F24" s="28">
        <f>IF(OR(ChapterMaster!$G21="",ChapterMaster!$G21=0),"",IF(ChapterMaster!$G21&gt;ChapterMaster!$E21,ROUND(ChapterMaster!$G21-ChapterMaster!$E21,2),""))</f>
        <v/>
      </c>
      <c r="G24" s="26">
        <f>IF($F24="","","#101 (Addendum to BPOC)")</f>
        <v/>
      </c>
    </row>
    <row r="25">
      <c r="B25" s="26">
        <f>ChapterMaster!$C$22</f>
        <v/>
      </c>
      <c r="C25" s="26">
        <f>ChapterMaster!$D$22</f>
        <v/>
      </c>
      <c r="D25" s="27">
        <f>ChapterMaster!$E$22</f>
        <v/>
      </c>
      <c r="E25" s="27">
        <f>IF(ChapterMaster!$G22=0,"",ChapterMaster!$G22)</f>
        <v/>
      </c>
      <c r="F25" s="28">
        <f>IF(OR(ChapterMaster!$G22="",ChapterMaster!$G22=0),"",IF(ChapterMaster!$G22&gt;ChapterMaster!$E22,ROUND(ChapterMaster!$G22-ChapterMaster!$E22,2),""))</f>
        <v/>
      </c>
      <c r="G25" s="26">
        <f>IF($F25="","","#101 (Addendum to BPOC)")</f>
        <v/>
      </c>
    </row>
    <row r="26">
      <c r="B26" s="26">
        <f>ChapterMaster!$C$23</f>
        <v/>
      </c>
      <c r="C26" s="26">
        <f>ChapterMaster!$D$23</f>
        <v/>
      </c>
      <c r="D26" s="27">
        <f>ChapterMaster!$E$23</f>
        <v/>
      </c>
      <c r="E26" s="27">
        <f>IF(ChapterMaster!$G23=0,"",ChapterMaster!$G23)</f>
        <v/>
      </c>
      <c r="F26" s="28">
        <f>IF(OR(ChapterMaster!$G23="",ChapterMaster!$G23=0),"",IF(ChapterMaster!$G23&gt;ChapterMaster!$E23,ROUND(ChapterMaster!$G23-ChapterMaster!$E23,2),""))</f>
        <v/>
      </c>
      <c r="G26" s="26">
        <f>IF($F26="","","#101 (Addendum to BPOC)")</f>
        <v/>
      </c>
    </row>
    <row r="27">
      <c r="B27" s="26">
        <f>ChapterMaster!$C$24</f>
        <v/>
      </c>
      <c r="C27" s="26">
        <f>ChapterMaster!$D$24</f>
        <v/>
      </c>
      <c r="D27" s="27">
        <f>ChapterMaster!$E$24</f>
        <v/>
      </c>
      <c r="E27" s="27">
        <f>IF(ChapterMaster!$G24=0,"",ChapterMaster!$G24)</f>
        <v/>
      </c>
      <c r="F27" s="28">
        <f>IF(OR(ChapterMaster!$G24="",ChapterMaster!$G24=0),"",IF(ChapterMaster!$G24&gt;ChapterMaster!$E24,ROUND(ChapterMaster!$G24-ChapterMaster!$E24,2),""))</f>
        <v/>
      </c>
      <c r="G27" s="26">
        <f>IF($F27="","","#101 (Addendum to BPOC)")</f>
        <v/>
      </c>
    </row>
    <row r="28">
      <c r="B28" s="26">
        <f>ChapterMaster!$C$25</f>
        <v/>
      </c>
      <c r="C28" s="26">
        <f>ChapterMaster!$D$25</f>
        <v/>
      </c>
      <c r="D28" s="27">
        <f>ChapterMaster!$E$25</f>
        <v/>
      </c>
      <c r="E28" s="27">
        <f>IF(ChapterMaster!$G25=0,"",ChapterMaster!$G25)</f>
        <v/>
      </c>
      <c r="F28" s="28">
        <f>IF(OR(ChapterMaster!$G25="",ChapterMaster!$G25=0),"",IF(ChapterMaster!$G25&gt;ChapterMaster!$E25,ROUND(ChapterMaster!$G25-ChapterMaster!$E25,2),""))</f>
        <v/>
      </c>
      <c r="G28" s="26">
        <f>IF($F28="","","#101 (Addendum to BPOC)")</f>
        <v/>
      </c>
    </row>
    <row r="29">
      <c r="B29" s="26">
        <f>ChapterMaster!$C$26</f>
        <v/>
      </c>
      <c r="C29" s="26">
        <f>ChapterMaster!$D$26</f>
        <v/>
      </c>
      <c r="D29" s="27">
        <f>ChapterMaster!$E$26</f>
        <v/>
      </c>
      <c r="E29" s="27">
        <f>IF(ChapterMaster!$G26=0,"",ChapterMaster!$G26)</f>
        <v/>
      </c>
      <c r="F29" s="28">
        <f>IF(OR(ChapterMaster!$G26="",ChapterMaster!$G26=0),"",IF(ChapterMaster!$G26&gt;ChapterMaster!$E26,ROUND(ChapterMaster!$G26-ChapterMaster!$E26,2),""))</f>
        <v/>
      </c>
      <c r="G29" s="26">
        <f>IF($F29="","","#101 (Addendum to BPOC)")</f>
        <v/>
      </c>
    </row>
    <row r="30">
      <c r="B30" s="26">
        <f>ChapterMaster!$C$27</f>
        <v/>
      </c>
      <c r="C30" s="26">
        <f>ChapterMaster!$D$27</f>
        <v/>
      </c>
      <c r="D30" s="27">
        <f>ChapterMaster!$E$27</f>
        <v/>
      </c>
      <c r="E30" s="27">
        <f>IF(ChapterMaster!$G27=0,"",ChapterMaster!$G27)</f>
        <v/>
      </c>
      <c r="F30" s="28">
        <f>IF(OR(ChapterMaster!$G27="",ChapterMaster!$G27=0),"",IF(ChapterMaster!$G27&gt;ChapterMaster!$E27,ROUND(ChapterMaster!$G27-ChapterMaster!$E27,2),""))</f>
        <v/>
      </c>
      <c r="G30" s="26">
        <f>IF($F30="","","#101 (Addendum to BPOC)")</f>
        <v/>
      </c>
    </row>
    <row r="31">
      <c r="B31" s="26">
        <f>ChapterMaster!$C$28</f>
        <v/>
      </c>
      <c r="C31" s="26">
        <f>ChapterMaster!$D$28</f>
        <v/>
      </c>
      <c r="D31" s="27">
        <f>ChapterMaster!$E$28</f>
        <v/>
      </c>
      <c r="E31" s="27">
        <f>IF(ChapterMaster!$G28=0,"",ChapterMaster!$G28)</f>
        <v/>
      </c>
      <c r="F31" s="28">
        <f>IF(OR(ChapterMaster!$G28="",ChapterMaster!$G28=0),"",IF(ChapterMaster!$G28&gt;ChapterMaster!$E28,ROUND(ChapterMaster!$G28-ChapterMaster!$E28,2),""))</f>
        <v/>
      </c>
      <c r="G31" s="26">
        <f>IF($F31="","","#101 (Addendum to BPOC)")</f>
        <v/>
      </c>
    </row>
    <row r="32">
      <c r="B32" s="26">
        <f>ChapterMaster!$C$29</f>
        <v/>
      </c>
      <c r="C32" s="26">
        <f>ChapterMaster!$D$29</f>
        <v/>
      </c>
      <c r="D32" s="27">
        <f>ChapterMaster!$E$29</f>
        <v/>
      </c>
      <c r="E32" s="27">
        <f>IF(ChapterMaster!$G29=0,"",ChapterMaster!$G29)</f>
        <v/>
      </c>
      <c r="F32" s="28">
        <f>IF(OR(ChapterMaster!$G29="",ChapterMaster!$G29=0),"",IF(ChapterMaster!$G29&gt;ChapterMaster!$E29,ROUND(ChapterMaster!$G29-ChapterMaster!$E29,2),""))</f>
        <v/>
      </c>
      <c r="G32" s="26">
        <f>IF($F32="","","#101 (Addendum to BPOC)")</f>
        <v/>
      </c>
    </row>
    <row r="33">
      <c r="B33" s="26">
        <f>ChapterMaster!$C$30</f>
        <v/>
      </c>
      <c r="C33" s="26">
        <f>ChapterMaster!$D$30</f>
        <v/>
      </c>
      <c r="D33" s="27">
        <f>ChapterMaster!$E$30</f>
        <v/>
      </c>
      <c r="E33" s="27">
        <f>IF(ChapterMaster!$G30=0,"",ChapterMaster!$G30)</f>
        <v/>
      </c>
      <c r="F33" s="28">
        <f>IF(OR(ChapterMaster!$G30="",ChapterMaster!$G30=0),"",IF(ChapterMaster!$G30&gt;ChapterMaster!$E30,ROUND(ChapterMaster!$G30-ChapterMaster!$E30,2),""))</f>
        <v/>
      </c>
      <c r="G33" s="26">
        <f>IF($F33="","","#101 (Addendum to BPOC)")</f>
        <v/>
      </c>
    </row>
    <row r="34">
      <c r="B34" s="26">
        <f>ChapterMaster!$C$31</f>
        <v/>
      </c>
      <c r="C34" s="26">
        <f>ChapterMaster!$D$31</f>
        <v/>
      </c>
      <c r="D34" s="27">
        <f>ChapterMaster!$E$31</f>
        <v/>
      </c>
      <c r="E34" s="27">
        <f>IF(ChapterMaster!$G31=0,"",ChapterMaster!$G31)</f>
        <v/>
      </c>
      <c r="F34" s="28">
        <f>IF(OR(ChapterMaster!$G31="",ChapterMaster!$G31=0),"",IF(ChapterMaster!$G31&gt;ChapterMaster!$E31,ROUND(ChapterMaster!$G31-ChapterMaster!$E31,2),""))</f>
        <v/>
      </c>
      <c r="G34" s="26">
        <f>IF($F34="","","#101 (Addendum to BPOC)")</f>
        <v/>
      </c>
    </row>
    <row r="35">
      <c r="B35" s="26">
        <f>ChapterMaster!$C$32</f>
        <v/>
      </c>
      <c r="C35" s="26">
        <f>ChapterMaster!$D$32</f>
        <v/>
      </c>
      <c r="D35" s="27">
        <f>ChapterMaster!$E$32</f>
        <v/>
      </c>
      <c r="E35" s="27">
        <f>IF(ChapterMaster!$G32=0,"",ChapterMaster!$G32)</f>
        <v/>
      </c>
      <c r="F35" s="28">
        <f>IF(OR(ChapterMaster!$G32="",ChapterMaster!$G32=0),"",IF(ChapterMaster!$G32&gt;ChapterMaster!$E32,ROUND(ChapterMaster!$G32-ChapterMaster!$E32,2),""))</f>
        <v/>
      </c>
      <c r="G35" s="26">
        <f>IF($F35="","","#101 (Addendum to BPOC)")</f>
        <v/>
      </c>
    </row>
    <row r="36">
      <c r="B36" s="26">
        <f>ChapterMaster!$C$33</f>
        <v/>
      </c>
      <c r="C36" s="26">
        <f>ChapterMaster!$D$33</f>
        <v/>
      </c>
      <c r="D36" s="27">
        <f>ChapterMaster!$E$33</f>
        <v/>
      </c>
      <c r="E36" s="27">
        <f>IF(ChapterMaster!$G33=0,"",ChapterMaster!$G33)</f>
        <v/>
      </c>
      <c r="F36" s="28">
        <f>IF(OR(ChapterMaster!$G33="",ChapterMaster!$G33=0),"",IF(ChapterMaster!$G33&gt;ChapterMaster!$E33,ROUND(ChapterMaster!$G33-ChapterMaster!$E33,2),""))</f>
        <v/>
      </c>
      <c r="G36" s="26">
        <f>IF($F36="","","#101 (Addendum to BPOC)")</f>
        <v/>
      </c>
    </row>
    <row r="37">
      <c r="B37" s="26">
        <f>ChapterMaster!$C$34</f>
        <v/>
      </c>
      <c r="C37" s="26">
        <f>ChapterMaster!$D$34</f>
        <v/>
      </c>
      <c r="D37" s="27">
        <f>ChapterMaster!$E$34</f>
        <v/>
      </c>
      <c r="E37" s="27">
        <f>IF(ChapterMaster!$G34=0,"",ChapterMaster!$G34)</f>
        <v/>
      </c>
      <c r="F37" s="28">
        <f>IF(OR(ChapterMaster!$G34="",ChapterMaster!$G34=0),"",IF(ChapterMaster!$G34&gt;ChapterMaster!$E34,ROUND(ChapterMaster!$G34-ChapterMaster!$E34,2),""))</f>
        <v/>
      </c>
      <c r="G37" s="26">
        <f>IF($F37="","","#101 (Addendum to BPOC)")</f>
        <v/>
      </c>
    </row>
    <row r="38">
      <c r="B38" s="26">
        <f>ChapterMaster!$C$35</f>
        <v/>
      </c>
      <c r="C38" s="26">
        <f>ChapterMaster!$D$35</f>
        <v/>
      </c>
      <c r="D38" s="27">
        <f>ChapterMaster!$E$35</f>
        <v/>
      </c>
      <c r="E38" s="27">
        <f>IF(ChapterMaster!$G35=0,"",ChapterMaster!$G35)</f>
        <v/>
      </c>
      <c r="F38" s="28">
        <f>IF(OR(ChapterMaster!$G35="",ChapterMaster!$G35=0),"",IF(ChapterMaster!$G35&gt;ChapterMaster!$E35,ROUND(ChapterMaster!$G35-ChapterMaster!$E35,2),""))</f>
        <v/>
      </c>
      <c r="G38" s="26">
        <f>IF($F38="","","#101 (Addendum to BPOC)")</f>
        <v/>
      </c>
    </row>
    <row r="39">
      <c r="B39" s="26">
        <f>ChapterMaster!$C$36</f>
        <v/>
      </c>
      <c r="C39" s="26">
        <f>ChapterMaster!$D$36</f>
        <v/>
      </c>
      <c r="D39" s="27">
        <f>ChapterMaster!$E$36</f>
        <v/>
      </c>
      <c r="E39" s="27">
        <f>IF(ChapterMaster!$G36=0,"",ChapterMaster!$G36)</f>
        <v/>
      </c>
      <c r="F39" s="28">
        <f>IF(OR(ChapterMaster!$G36="",ChapterMaster!$G36=0),"",IF(ChapterMaster!$G36&gt;ChapterMaster!$E36,ROUND(ChapterMaster!$G36-ChapterMaster!$E36,2),""))</f>
        <v/>
      </c>
      <c r="G39" s="26">
        <f>IF($F39="","","#101 (Addendum to BPOC)")</f>
        <v/>
      </c>
    </row>
    <row r="40">
      <c r="B40" s="26">
        <f>ChapterMaster!$C$37</f>
        <v/>
      </c>
      <c r="C40" s="26">
        <f>ChapterMaster!$D$37</f>
        <v/>
      </c>
      <c r="D40" s="27">
        <f>ChapterMaster!$E$37</f>
        <v/>
      </c>
      <c r="E40" s="27">
        <f>IF(ChapterMaster!$G37=0,"",ChapterMaster!$G37)</f>
        <v/>
      </c>
      <c r="F40" s="28">
        <f>IF(OR(ChapterMaster!$G37="",ChapterMaster!$G37=0),"",IF(ChapterMaster!$G37&gt;ChapterMaster!$E37,ROUND(ChapterMaster!$G37-ChapterMaster!$E37,2),""))</f>
        <v/>
      </c>
      <c r="G40" s="26">
        <f>IF($F40="","","#2040 (Arrest and Control)")</f>
        <v/>
      </c>
    </row>
    <row r="41">
      <c r="B41" s="26">
        <f>ChapterMaster!$C$38</f>
        <v/>
      </c>
      <c r="C41" s="26">
        <f>ChapterMaster!$D$38</f>
        <v/>
      </c>
      <c r="D41" s="27">
        <f>ChapterMaster!$E$38</f>
        <v/>
      </c>
      <c r="E41" s="27">
        <f>IF(ChapterMaster!$G38=0,"",ChapterMaster!$G38)</f>
        <v/>
      </c>
      <c r="F41" s="28">
        <f>IF(OR(ChapterMaster!$G38="",ChapterMaster!$G38=0),"",IF(ChapterMaster!$G38&gt;ChapterMaster!$E38,ROUND(ChapterMaster!$G38-ChapterMaster!$E38,2),""))</f>
        <v/>
      </c>
      <c r="G41" s="26">
        <f>IF($F41="","","#101 (Addendum to BPOC)")</f>
        <v/>
      </c>
    </row>
    <row r="42">
      <c r="B42" s="26">
        <f>ChapterMaster!$C$39</f>
        <v/>
      </c>
      <c r="C42" s="26">
        <f>ChapterMaster!$D$39</f>
        <v/>
      </c>
      <c r="D42" s="27">
        <f>ChapterMaster!$E$39</f>
        <v/>
      </c>
      <c r="E42" s="27">
        <f>IF(ChapterMaster!$G39=0,"",ChapterMaster!$G39)</f>
        <v/>
      </c>
      <c r="F42" s="28">
        <f>IF(OR(ChapterMaster!$G39="",ChapterMaster!$G39=0),"",IF(ChapterMaster!$G39&gt;ChapterMaster!$E39,ROUND(ChapterMaster!$G39-ChapterMaster!$E39,2),""))</f>
        <v/>
      </c>
      <c r="G42" s="26">
        <f>IF($F42="","","#101 (Addendum to BPOC)")</f>
        <v/>
      </c>
    </row>
    <row r="43">
      <c r="B43" s="26">
        <f>ChapterMaster!$C$40</f>
        <v/>
      </c>
      <c r="C43" s="26">
        <f>ChapterMaster!$D$40</f>
        <v/>
      </c>
      <c r="D43" s="27">
        <f>ChapterMaster!$E$40</f>
        <v/>
      </c>
      <c r="E43" s="27">
        <f>IF(ChapterMaster!$G40=0,"",ChapterMaster!$G40)</f>
        <v/>
      </c>
      <c r="F43" s="28">
        <f>IF(OR(ChapterMaster!$G40="",ChapterMaster!$G40=0),"",IF(ChapterMaster!$G40&gt;ChapterMaster!$E40,ROUND(ChapterMaster!$G40-ChapterMaster!$E40,2),""))</f>
        <v/>
      </c>
      <c r="G43" s="26">
        <f>IF($F43="","","#2046 (Professional Police Driving)")</f>
        <v/>
      </c>
    </row>
    <row r="44">
      <c r="B44" s="26">
        <f>ChapterMaster!$C$41</f>
        <v/>
      </c>
      <c r="C44" s="26">
        <f>ChapterMaster!$D$41</f>
        <v/>
      </c>
      <c r="D44" s="27">
        <f>ChapterMaster!$E$41</f>
        <v/>
      </c>
      <c r="E44" s="27">
        <f>IF(ChapterMaster!$G41=0,"",ChapterMaster!$G41)</f>
        <v/>
      </c>
      <c r="F44" s="28">
        <f>IF(OR(ChapterMaster!$G41="",ChapterMaster!$G41=0),"",IF(ChapterMaster!$G41&gt;ChapterMaster!$E41,ROUND(ChapterMaster!$G41-ChapterMaster!$E41,2),""))</f>
        <v/>
      </c>
      <c r="G44" s="26">
        <f>IF($F44="","","#101 (Addendum to BPOC)")</f>
        <v/>
      </c>
    </row>
    <row r="45">
      <c r="B45" s="26">
        <f>ChapterMaster!$C$42</f>
        <v/>
      </c>
      <c r="C45" s="26">
        <f>ChapterMaster!$D$42</f>
        <v/>
      </c>
      <c r="D45" s="27">
        <f>ChapterMaster!$E$42</f>
        <v/>
      </c>
      <c r="E45" s="27">
        <f>IF(ChapterMaster!$G42=0,"",ChapterMaster!$G42)</f>
        <v/>
      </c>
      <c r="F45" s="28">
        <f>IF(OR(ChapterMaster!$G42="",ChapterMaster!$G42=0),"",IF(ChapterMaster!$G42&gt;ChapterMaster!$E42,ROUND(ChapterMaster!$G42-ChapterMaster!$E42,2),""))</f>
        <v/>
      </c>
      <c r="G45" s="26">
        <f>IF($F45="","","#101 (Addendum to BPOC)")</f>
        <v/>
      </c>
    </row>
    <row r="46">
      <c r="B46" s="26">
        <f>ChapterMaster!$C$43</f>
        <v/>
      </c>
      <c r="C46" s="26">
        <f>ChapterMaster!$D$43</f>
        <v/>
      </c>
      <c r="D46" s="27">
        <f>ChapterMaster!$E$43</f>
        <v/>
      </c>
      <c r="E46" s="27">
        <f>IF(ChapterMaster!$G43=0,"",ChapterMaster!$G43)</f>
        <v/>
      </c>
      <c r="F46" s="28">
        <f>IF(OR(ChapterMaster!$G43="",ChapterMaster!$G43=0),"",IF(ChapterMaster!$G43&gt;ChapterMaster!$E43,ROUND(ChapterMaster!$G43-ChapterMaster!$E43,2),""))</f>
        <v/>
      </c>
      <c r="G46" s="26">
        <f>IF($F46="","","#101 (Addendum to BPOC)")</f>
        <v/>
      </c>
    </row>
    <row r="47">
      <c r="B47" s="26">
        <f>ChapterMaster!$C$44</f>
        <v/>
      </c>
      <c r="C47" s="26">
        <f>ChapterMaster!$D$44</f>
        <v/>
      </c>
      <c r="D47" s="27">
        <f>ChapterMaster!$E$44</f>
        <v/>
      </c>
      <c r="E47" s="27">
        <f>IF(ChapterMaster!$G44=0,"",ChapterMaster!$G44)</f>
        <v/>
      </c>
      <c r="F47" s="28">
        <f>IF(OR(ChapterMaster!$G44="",ChapterMaster!$G44=0),"",IF(ChapterMaster!$G44&gt;ChapterMaster!$E44,ROUND(ChapterMaster!$G44-ChapterMaster!$E44,2),""))</f>
        <v/>
      </c>
      <c r="G47" s="26">
        <f>IF($F47="","","#101 (Addendum to BPOC)")</f>
        <v/>
      </c>
    </row>
    <row r="48">
      <c r="B48" s="26">
        <f>ChapterMaster!$C$45</f>
        <v/>
      </c>
      <c r="C48" s="26">
        <f>ChapterMaster!$D$45</f>
        <v/>
      </c>
      <c r="D48" s="27">
        <f>ChapterMaster!$E$45</f>
        <v/>
      </c>
      <c r="E48" s="27">
        <f>IF(ChapterMaster!$G45=0,"",ChapterMaster!$G45)</f>
        <v/>
      </c>
      <c r="F48" s="28">
        <f>IF(OR(ChapterMaster!$G45="",ChapterMaster!$G45=0),"",IF(ChapterMaster!$G45&gt;ChapterMaster!$E45,ROUND(ChapterMaster!$G45-ChapterMaster!$E45,2),""))</f>
        <v/>
      </c>
      <c r="G48" s="26">
        <f>IF($F48="","","#101 (Addendum to BPOC)")</f>
        <v/>
      </c>
    </row>
    <row r="49">
      <c r="B49" s="26">
        <f>ChapterMaster!$C$46</f>
        <v/>
      </c>
      <c r="C49" s="26">
        <f>ChapterMaster!$D$46</f>
        <v/>
      </c>
      <c r="D49" s="27">
        <f>ChapterMaster!$E$46</f>
        <v/>
      </c>
      <c r="E49" s="27">
        <f>IF(ChapterMaster!$G46=0,"",ChapterMaster!$G46)</f>
        <v/>
      </c>
      <c r="F49" s="28">
        <f>IF(OR(ChapterMaster!$G46="",ChapterMaster!$G46=0),"",IF(ChapterMaster!$G46&gt;ChapterMaster!$E46,ROUND(ChapterMaster!$G46-ChapterMaster!$E46,2),""))</f>
        <v/>
      </c>
      <c r="G49" s="26">
        <f>IF($F49="","","#101 (Addendum to BPOC)")</f>
        <v/>
      </c>
    </row>
    <row r="50">
      <c r="B50" s="26">
        <f>ChapterMaster!$C$47</f>
        <v/>
      </c>
      <c r="C50" s="26">
        <f>ChapterMaster!$D$47</f>
        <v/>
      </c>
      <c r="D50" s="27">
        <f>ChapterMaster!$E$47</f>
        <v/>
      </c>
      <c r="E50" s="27">
        <f>IF(ChapterMaster!$G47=0,"",ChapterMaster!$G47)</f>
        <v/>
      </c>
      <c r="F50" s="28">
        <f>IF(OR(ChapterMaster!$G47="",ChapterMaster!$G47=0),"",IF(ChapterMaster!$G47&gt;ChapterMaster!$E47,ROUND(ChapterMaster!$G47-ChapterMaster!$E47,2),""))</f>
        <v/>
      </c>
      <c r="G50" s="26">
        <f>IF($F50="","","#2055 (Firearms)")</f>
        <v/>
      </c>
    </row>
    <row r="51">
      <c r="B51" s="26">
        <f>ChapterMaster!$C$48</f>
        <v/>
      </c>
      <c r="C51" s="26">
        <f>ChapterMaster!$D$48</f>
        <v/>
      </c>
      <c r="D51" s="27">
        <f>ChapterMaster!$E$48</f>
        <v/>
      </c>
      <c r="E51" s="27">
        <f>IF(ChapterMaster!$G48=0,"",ChapterMaster!$G48)</f>
        <v/>
      </c>
      <c r="F51" s="28">
        <f>IF(OR(ChapterMaster!$G48="",ChapterMaster!$G48=0),"",IF(ChapterMaster!$G48&gt;ChapterMaster!$E48,ROUND(ChapterMaster!$G48-ChapterMaster!$E48,2),""))</f>
        <v/>
      </c>
      <c r="G51" s="26">
        <f>IF($F51="","","#101 (Addendum to BPOC)")</f>
        <v/>
      </c>
    </row>
    <row r="52">
      <c r="B52" s="26">
        <f>ChapterMaster!$C$49</f>
        <v/>
      </c>
      <c r="C52" s="26">
        <f>ChapterMaster!$D$49</f>
        <v/>
      </c>
      <c r="D52" s="27">
        <f>ChapterMaster!$E$49</f>
        <v/>
      </c>
      <c r="E52" s="27">
        <f>IF(ChapterMaster!$G49=0,"",ChapterMaster!$G49)</f>
        <v/>
      </c>
      <c r="F52" s="28">
        <f>IF(OR(ChapterMaster!$G49="",ChapterMaster!$G49=0),"",IF(ChapterMaster!$G49&gt;ChapterMaster!$E49,ROUND(ChapterMaster!$G49-ChapterMaster!$E49,2),""))</f>
        <v/>
      </c>
      <c r="G52" s="26">
        <f>IF($F52="","","#101 (Addendum to BPOC)")</f>
        <v/>
      </c>
    </row>
    <row r="53">
      <c r="B53" s="26">
        <f>ChapterMaster!$C$50</f>
        <v/>
      </c>
      <c r="C53" s="26">
        <f>ChapterMaster!$D$50</f>
        <v/>
      </c>
      <c r="D53" s="27">
        <f>ChapterMaster!$E$50</f>
        <v/>
      </c>
      <c r="E53" s="27">
        <f>IF(ChapterMaster!$G50=0,"",ChapterMaster!$G50)</f>
        <v/>
      </c>
      <c r="F53" s="28">
        <f>IF(OR(ChapterMaster!$G50="",ChapterMaster!$G50=0),"",IF(ChapterMaster!$G50&gt;ChapterMaster!$E50,ROUND(ChapterMaster!$G50-ChapterMaster!$E50,2),""))</f>
        <v/>
      </c>
      <c r="G53" s="26">
        <f>IF($F53="","","#101 (Addendum to BPOC)")</f>
        <v/>
      </c>
    </row>
    <row r="54"/>
    <row r="55">
      <c r="C55" s="3" t="inlineStr">
        <is>
          <t>Total excess to report:</t>
        </is>
      </c>
      <c r="F55" s="1">
        <f>SUM(F9:F53)</f>
        <v/>
      </c>
    </row>
    <row r="56">
      <c r="C56" s="3" t="inlineStr">
        <is>
          <t>— of which under #101 (Addendum):</t>
        </is>
      </c>
      <c r="F56" s="20">
        <f>SUMPRODUCT(($F9:$F53&lt;&gt;"")*($G9:$G53="#101 (Addendum to BPOC)")*IFERROR($F9:$F53+0,0))</f>
        <v/>
      </c>
    </row>
    <row r="57">
      <c r="C57" s="3" t="inlineStr">
        <is>
          <t>— of which under separate course #s:</t>
        </is>
      </c>
      <c r="F57" s="20">
        <f>SUMPRODUCT(($F9:$F53&lt;&gt;"")*($G9:$G53&lt;&gt;"#101 (Addendum to BPOC)")*($G9:$G53&lt;&gt;"")*IFERROR($F9:$F53+0,0))</f>
        <v/>
      </c>
    </row>
    <row r="58"/>
    <row r="59">
      <c r="B59" s="3" t="inlineStr">
        <is>
          <t>Training Coordinator:</t>
        </is>
      </c>
      <c r="D59" s="14" t="inlineStr">
        <is>
          <t>_______________________</t>
        </is>
      </c>
      <c r="F59" s="3" t="inlineStr">
        <is>
          <t>Date:</t>
        </is>
      </c>
      <c r="G59" s="14" t="inlineStr">
        <is>
          <t>____________</t>
        </is>
      </c>
    </row>
    <row r="60"/>
    <row r="61">
      <c r="B6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3">
    <cfRule type="expression" priority="1" dxfId="2">
      <formula>AND($F9&lt;&gt;"",$F9&gt;0)</formula>
    </cfRule>
  </conditionalFormatting>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29"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21"/>
    <row r="22"/>
    <row r="23"/>
    <row r="24"/>
    <row r="25"/>
    <row r="26"/>
    <row r="27"/>
    <row r="28"/>
    <row r="29"/>
    <row r="30"/>
    <row r="31"/>
    <row r="32"/>
    <row r="33"/>
    <row r="34"/>
    <row r="35"/>
    <row r="36"/>
    <row r="37"/>
    <row r="38"/>
    <row r="39"/>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c r="C41" s="8" t="n"/>
      <c r="D41" s="8" t="n"/>
      <c r="E41" s="8" t="n"/>
      <c r="F41" s="8" t="n"/>
      <c r="G41" s="8" t="n"/>
      <c r="H41" s="8" t="n"/>
      <c r="I41" s="8" t="n"/>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43"/>
    <row r="44"/>
    <row r="45"/>
    <row r="46"/>
    <row r="47"/>
    <row r="48"/>
    <row r="49"/>
    <row r="50"/>
    <row r="51"/>
    <row r="52"/>
    <row r="53"/>
    <row r="54"/>
    <row r="55"/>
    <row r="56"/>
    <row r="57"/>
    <row r="58"/>
    <row r="59"/>
    <row r="60"/>
    <row r="61"/>
    <row r="62"/>
    <row r="63"/>
    <row r="64"/>
    <row r="65"/>
    <row r="66"/>
    <row r="67"/>
    <row r="68"/>
    <row r="69"/>
    <row r="70"/>
    <row r="71"/>
    <row r="72"/>
    <row r="73"/>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4"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27">
        <f>IF(Cadets!$B6="","",ROW()-10)</f>
        <v/>
      </c>
      <c r="C11" s="26">
        <f>IF(Cadets!$B6="","",Cadets!$F6)</f>
        <v/>
      </c>
      <c r="D11" s="27">
        <f>IF($C11="","",Cadets!$B6)</f>
        <v/>
      </c>
      <c r="E11" s="27">
        <f>IF($C11="","",Cadets!$H6)</f>
        <v/>
      </c>
      <c r="F11" s="27">
        <f>IF($C11="","",_xlfn.LET(_xlpm.c,IFERROR(INDEX(rngEPcode,MATCH(cfgGradeSheetExam,IFERROR(rngEPseq+0,-1),0)),""),IF(COUNTIFS(nrES_PID,Cadets!$B6,nrES_Code,_xlpm.c,nrES_Att,1,nrES_Raw,"&gt;=0")=0,"",SUMIFS(nrES_Raw,nrES_PID,Cadets!$B6,nrES_Code,_xlpm.c,nrES_Att,1))))</f>
        <v/>
      </c>
      <c r="G11" s="27">
        <f>IF($C11="","",_xlfn.LET(_xlpm.c,IFERROR(INDEX(rngEPcode,MATCH(cfgGradeSheetExam,IFERROR(rngEPseq+0,-1),0)),""),IF(COUNTIFS(nrES_PID,Cadets!$B6,nrES_Code,_xlpm.c,nrES_Final,"Yes",nrES_Rec,"&gt;=0")=0,"",SUMIFS(nrES_Rec,nrES_PID,Cadets!$B6,nrES_Code,_xlpm.c,nrES_Final,"Yes"))))</f>
        <v/>
      </c>
      <c r="H11" s="27">
        <f>IF(OR($C11="",$G11=""),"",IF($G11&gt;=IFERROR(INDEX(rngEPpass,MATCH(cfgGradeSheetExam,IFERROR(rngEPseq+0,-1),0)),cfgPassingScore),"Pass","FAIL"))</f>
        <v/>
      </c>
      <c r="I11" s="27">
        <f>IF($C11="","",_xlfn.LET(_xlpm.c,IFERROR(INDEX(rngEPcode,MATCH(cfgGradeSheetExam,IFERROR(rngEPseq+0,-1),0)),""),IF(COUNTIFS(nrES_PID,Cadets!$B6,nrES_Code,_xlpm.c,nrES_Att,2,nrES_Raw,"&gt;=0")&gt;0,"Retested","")))</f>
        <v/>
      </c>
      <c r="J11" s="27">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27">
        <f>IF(Cadets!$B7="","",ROW()-10)</f>
        <v/>
      </c>
      <c r="C12" s="26">
        <f>IF(Cadets!$B7="","",Cadets!$F7)</f>
        <v/>
      </c>
      <c r="D12" s="27">
        <f>IF($C12="","",Cadets!$B7)</f>
        <v/>
      </c>
      <c r="E12" s="27">
        <f>IF($C12="","",Cadets!$H7)</f>
        <v/>
      </c>
      <c r="F12" s="27">
        <f>IF($C12="","",_xlfn.LET(_xlpm.c,IFERROR(INDEX(rngEPcode,MATCH(cfgGradeSheetExam,IFERROR(rngEPseq+0,-1),0)),""),IF(COUNTIFS(nrES_PID,Cadets!$B7,nrES_Code,_xlpm.c,nrES_Att,1,nrES_Raw,"&gt;=0")=0,"",SUMIFS(nrES_Raw,nrES_PID,Cadets!$B7,nrES_Code,_xlpm.c,nrES_Att,1))))</f>
        <v/>
      </c>
      <c r="G12" s="27">
        <f>IF($C12="","",_xlfn.LET(_xlpm.c,IFERROR(INDEX(rngEPcode,MATCH(cfgGradeSheetExam,IFERROR(rngEPseq+0,-1),0)),""),IF(COUNTIFS(nrES_PID,Cadets!$B7,nrES_Code,_xlpm.c,nrES_Final,"Yes",nrES_Rec,"&gt;=0")=0,"",SUMIFS(nrES_Rec,nrES_PID,Cadets!$B7,nrES_Code,_xlpm.c,nrES_Final,"Yes"))))</f>
        <v/>
      </c>
      <c r="H12" s="27">
        <f>IF(OR($C12="",$G12=""),"",IF($G12&gt;=IFERROR(INDEX(rngEPpass,MATCH(cfgGradeSheetExam,IFERROR(rngEPseq+0,-1),0)),cfgPassingScore),"Pass","FAIL"))</f>
        <v/>
      </c>
      <c r="I12" s="27">
        <f>IF($C12="","",_xlfn.LET(_xlpm.c,IFERROR(INDEX(rngEPcode,MATCH(cfgGradeSheetExam,IFERROR(rngEPseq+0,-1),0)),""),IF(COUNTIFS(nrES_PID,Cadets!$B7,nrES_Code,_xlpm.c,nrES_Att,2,nrES_Raw,"&gt;=0")&gt;0,"Retested","")))</f>
        <v/>
      </c>
      <c r="J12" s="27">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27">
        <f>IF(Cadets!$B8="","",ROW()-10)</f>
        <v/>
      </c>
      <c r="C13" s="26">
        <f>IF(Cadets!$B8="","",Cadets!$F8)</f>
        <v/>
      </c>
      <c r="D13" s="27">
        <f>IF($C13="","",Cadets!$B8)</f>
        <v/>
      </c>
      <c r="E13" s="27">
        <f>IF($C13="","",Cadets!$H8)</f>
        <v/>
      </c>
      <c r="F13" s="27">
        <f>IF($C13="","",_xlfn.LET(_xlpm.c,IFERROR(INDEX(rngEPcode,MATCH(cfgGradeSheetExam,IFERROR(rngEPseq+0,-1),0)),""),IF(COUNTIFS(nrES_PID,Cadets!$B8,nrES_Code,_xlpm.c,nrES_Att,1,nrES_Raw,"&gt;=0")=0,"",SUMIFS(nrES_Raw,nrES_PID,Cadets!$B8,nrES_Code,_xlpm.c,nrES_Att,1))))</f>
        <v/>
      </c>
      <c r="G13" s="27">
        <f>IF($C13="","",_xlfn.LET(_xlpm.c,IFERROR(INDEX(rngEPcode,MATCH(cfgGradeSheetExam,IFERROR(rngEPseq+0,-1),0)),""),IF(COUNTIFS(nrES_PID,Cadets!$B8,nrES_Code,_xlpm.c,nrES_Final,"Yes",nrES_Rec,"&gt;=0")=0,"",SUMIFS(nrES_Rec,nrES_PID,Cadets!$B8,nrES_Code,_xlpm.c,nrES_Final,"Yes"))))</f>
        <v/>
      </c>
      <c r="H13" s="27">
        <f>IF(OR($C13="",$G13=""),"",IF($G13&gt;=IFERROR(INDEX(rngEPpass,MATCH(cfgGradeSheetExam,IFERROR(rngEPseq+0,-1),0)),cfgPassingScore),"Pass","FAIL"))</f>
        <v/>
      </c>
      <c r="I13" s="27">
        <f>IF($C13="","",_xlfn.LET(_xlpm.c,IFERROR(INDEX(rngEPcode,MATCH(cfgGradeSheetExam,IFERROR(rngEPseq+0,-1),0)),""),IF(COUNTIFS(nrES_PID,Cadets!$B8,nrES_Code,_xlpm.c,nrES_Att,2,nrES_Raw,"&gt;=0")&gt;0,"Retested","")))</f>
        <v/>
      </c>
      <c r="J13" s="27">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27">
        <f>IF(Cadets!$B9="","",ROW()-10)</f>
        <v/>
      </c>
      <c r="C14" s="26">
        <f>IF(Cadets!$B9="","",Cadets!$F9)</f>
        <v/>
      </c>
      <c r="D14" s="27">
        <f>IF($C14="","",Cadets!$B9)</f>
        <v/>
      </c>
      <c r="E14" s="27">
        <f>IF($C14="","",Cadets!$H9)</f>
        <v/>
      </c>
      <c r="F14" s="27">
        <f>IF($C14="","",_xlfn.LET(_xlpm.c,IFERROR(INDEX(rngEPcode,MATCH(cfgGradeSheetExam,IFERROR(rngEPseq+0,-1),0)),""),IF(COUNTIFS(nrES_PID,Cadets!$B9,nrES_Code,_xlpm.c,nrES_Att,1,nrES_Raw,"&gt;=0")=0,"",SUMIFS(nrES_Raw,nrES_PID,Cadets!$B9,nrES_Code,_xlpm.c,nrES_Att,1))))</f>
        <v/>
      </c>
      <c r="G14" s="27">
        <f>IF($C14="","",_xlfn.LET(_xlpm.c,IFERROR(INDEX(rngEPcode,MATCH(cfgGradeSheetExam,IFERROR(rngEPseq+0,-1),0)),""),IF(COUNTIFS(nrES_PID,Cadets!$B9,nrES_Code,_xlpm.c,nrES_Final,"Yes",nrES_Rec,"&gt;=0")=0,"",SUMIFS(nrES_Rec,nrES_PID,Cadets!$B9,nrES_Code,_xlpm.c,nrES_Final,"Yes"))))</f>
        <v/>
      </c>
      <c r="H14" s="27">
        <f>IF(OR($C14="",$G14=""),"",IF($G14&gt;=IFERROR(INDEX(rngEPpass,MATCH(cfgGradeSheetExam,IFERROR(rngEPseq+0,-1),0)),cfgPassingScore),"Pass","FAIL"))</f>
        <v/>
      </c>
      <c r="I14" s="27">
        <f>IF($C14="","",_xlfn.LET(_xlpm.c,IFERROR(INDEX(rngEPcode,MATCH(cfgGradeSheetExam,IFERROR(rngEPseq+0,-1),0)),""),IF(COUNTIFS(nrES_PID,Cadets!$B9,nrES_Code,_xlpm.c,nrES_Att,2,nrES_Raw,"&gt;=0")&gt;0,"Retested","")))</f>
        <v/>
      </c>
      <c r="J14" s="27">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27">
        <f>IF(Cadets!$B10="","",ROW()-10)</f>
        <v/>
      </c>
      <c r="C15" s="26">
        <f>IF(Cadets!$B10="","",Cadets!$F10)</f>
        <v/>
      </c>
      <c r="D15" s="27">
        <f>IF($C15="","",Cadets!$B10)</f>
        <v/>
      </c>
      <c r="E15" s="27">
        <f>IF($C15="","",Cadets!$H10)</f>
        <v/>
      </c>
      <c r="F15" s="27">
        <f>IF($C15="","",_xlfn.LET(_xlpm.c,IFERROR(INDEX(rngEPcode,MATCH(cfgGradeSheetExam,IFERROR(rngEPseq+0,-1),0)),""),IF(COUNTIFS(nrES_PID,Cadets!$B10,nrES_Code,_xlpm.c,nrES_Att,1,nrES_Raw,"&gt;=0")=0,"",SUMIFS(nrES_Raw,nrES_PID,Cadets!$B10,nrES_Code,_xlpm.c,nrES_Att,1))))</f>
        <v/>
      </c>
      <c r="G15" s="27">
        <f>IF($C15="","",_xlfn.LET(_xlpm.c,IFERROR(INDEX(rngEPcode,MATCH(cfgGradeSheetExam,IFERROR(rngEPseq+0,-1),0)),""),IF(COUNTIFS(nrES_PID,Cadets!$B10,nrES_Code,_xlpm.c,nrES_Final,"Yes",nrES_Rec,"&gt;=0")=0,"",SUMIFS(nrES_Rec,nrES_PID,Cadets!$B10,nrES_Code,_xlpm.c,nrES_Final,"Yes"))))</f>
        <v/>
      </c>
      <c r="H15" s="27">
        <f>IF(OR($C15="",$G15=""),"",IF($G15&gt;=IFERROR(INDEX(rngEPpass,MATCH(cfgGradeSheetExam,IFERROR(rngEPseq+0,-1),0)),cfgPassingScore),"Pass","FAIL"))</f>
        <v/>
      </c>
      <c r="I15" s="27">
        <f>IF($C15="","",_xlfn.LET(_xlpm.c,IFERROR(INDEX(rngEPcode,MATCH(cfgGradeSheetExam,IFERROR(rngEPseq+0,-1),0)),""),IF(COUNTIFS(nrES_PID,Cadets!$B10,nrES_Code,_xlpm.c,nrES_Att,2,nrES_Raw,"&gt;=0")&gt;0,"Retested","")))</f>
        <v/>
      </c>
      <c r="J15" s="27">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27">
        <f>IF(Cadets!$B11="","",ROW()-10)</f>
        <v/>
      </c>
      <c r="C16" s="26">
        <f>IF(Cadets!$B11="","",Cadets!$F11)</f>
        <v/>
      </c>
      <c r="D16" s="27">
        <f>IF($C16="","",Cadets!$B11)</f>
        <v/>
      </c>
      <c r="E16" s="27">
        <f>IF($C16="","",Cadets!$H11)</f>
        <v/>
      </c>
      <c r="F16" s="27">
        <f>IF($C16="","",_xlfn.LET(_xlpm.c,IFERROR(INDEX(rngEPcode,MATCH(cfgGradeSheetExam,IFERROR(rngEPseq+0,-1),0)),""),IF(COUNTIFS(nrES_PID,Cadets!$B11,nrES_Code,_xlpm.c,nrES_Att,1,nrES_Raw,"&gt;=0")=0,"",SUMIFS(nrES_Raw,nrES_PID,Cadets!$B11,nrES_Code,_xlpm.c,nrES_Att,1))))</f>
        <v/>
      </c>
      <c r="G16" s="27">
        <f>IF($C16="","",_xlfn.LET(_xlpm.c,IFERROR(INDEX(rngEPcode,MATCH(cfgGradeSheetExam,IFERROR(rngEPseq+0,-1),0)),""),IF(COUNTIFS(nrES_PID,Cadets!$B11,nrES_Code,_xlpm.c,nrES_Final,"Yes",nrES_Rec,"&gt;=0")=0,"",SUMIFS(nrES_Rec,nrES_PID,Cadets!$B11,nrES_Code,_xlpm.c,nrES_Final,"Yes"))))</f>
        <v/>
      </c>
      <c r="H16" s="27">
        <f>IF(OR($C16="",$G16=""),"",IF($G16&gt;=IFERROR(INDEX(rngEPpass,MATCH(cfgGradeSheetExam,IFERROR(rngEPseq+0,-1),0)),cfgPassingScore),"Pass","FAIL"))</f>
        <v/>
      </c>
      <c r="I16" s="27">
        <f>IF($C16="","",_xlfn.LET(_xlpm.c,IFERROR(INDEX(rngEPcode,MATCH(cfgGradeSheetExam,IFERROR(rngEPseq+0,-1),0)),""),IF(COUNTIFS(nrES_PID,Cadets!$B11,nrES_Code,_xlpm.c,nrES_Att,2,nrES_Raw,"&gt;=0")&gt;0,"Retested","")))</f>
        <v/>
      </c>
      <c r="J16" s="27">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27">
        <f>IF(Cadets!$B12="","",ROW()-10)</f>
        <v/>
      </c>
      <c r="C17" s="26">
        <f>IF(Cadets!$B12="","",Cadets!$F12)</f>
        <v/>
      </c>
      <c r="D17" s="27">
        <f>IF($C17="","",Cadets!$B12)</f>
        <v/>
      </c>
      <c r="E17" s="27">
        <f>IF($C17="","",Cadets!$H12)</f>
        <v/>
      </c>
      <c r="F17" s="27">
        <f>IF($C17="","",_xlfn.LET(_xlpm.c,IFERROR(INDEX(rngEPcode,MATCH(cfgGradeSheetExam,IFERROR(rngEPseq+0,-1),0)),""),IF(COUNTIFS(nrES_PID,Cadets!$B12,nrES_Code,_xlpm.c,nrES_Att,1,nrES_Raw,"&gt;=0")=0,"",SUMIFS(nrES_Raw,nrES_PID,Cadets!$B12,nrES_Code,_xlpm.c,nrES_Att,1))))</f>
        <v/>
      </c>
      <c r="G17" s="27">
        <f>IF($C17="","",_xlfn.LET(_xlpm.c,IFERROR(INDEX(rngEPcode,MATCH(cfgGradeSheetExam,IFERROR(rngEPseq+0,-1),0)),""),IF(COUNTIFS(nrES_PID,Cadets!$B12,nrES_Code,_xlpm.c,nrES_Final,"Yes",nrES_Rec,"&gt;=0")=0,"",SUMIFS(nrES_Rec,nrES_PID,Cadets!$B12,nrES_Code,_xlpm.c,nrES_Final,"Yes"))))</f>
        <v/>
      </c>
      <c r="H17" s="27">
        <f>IF(OR($C17="",$G17=""),"",IF($G17&gt;=IFERROR(INDEX(rngEPpass,MATCH(cfgGradeSheetExam,IFERROR(rngEPseq+0,-1),0)),cfgPassingScore),"Pass","FAIL"))</f>
        <v/>
      </c>
      <c r="I17" s="27">
        <f>IF($C17="","",_xlfn.LET(_xlpm.c,IFERROR(INDEX(rngEPcode,MATCH(cfgGradeSheetExam,IFERROR(rngEPseq+0,-1),0)),""),IF(COUNTIFS(nrES_PID,Cadets!$B12,nrES_Code,_xlpm.c,nrES_Att,2,nrES_Raw,"&gt;=0")&gt;0,"Retested","")))</f>
        <v/>
      </c>
      <c r="J17" s="27">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27">
        <f>IF(Cadets!$B13="","",ROW()-10)</f>
        <v/>
      </c>
      <c r="C18" s="26">
        <f>IF(Cadets!$B13="","",Cadets!$F13)</f>
        <v/>
      </c>
      <c r="D18" s="27">
        <f>IF($C18="","",Cadets!$B13)</f>
        <v/>
      </c>
      <c r="E18" s="27">
        <f>IF($C18="","",Cadets!$H13)</f>
        <v/>
      </c>
      <c r="F18" s="27">
        <f>IF($C18="","",_xlfn.LET(_xlpm.c,IFERROR(INDEX(rngEPcode,MATCH(cfgGradeSheetExam,IFERROR(rngEPseq+0,-1),0)),""),IF(COUNTIFS(nrES_PID,Cadets!$B13,nrES_Code,_xlpm.c,nrES_Att,1,nrES_Raw,"&gt;=0")=0,"",SUMIFS(nrES_Raw,nrES_PID,Cadets!$B13,nrES_Code,_xlpm.c,nrES_Att,1))))</f>
        <v/>
      </c>
      <c r="G18" s="27">
        <f>IF($C18="","",_xlfn.LET(_xlpm.c,IFERROR(INDEX(rngEPcode,MATCH(cfgGradeSheetExam,IFERROR(rngEPseq+0,-1),0)),""),IF(COUNTIFS(nrES_PID,Cadets!$B13,nrES_Code,_xlpm.c,nrES_Final,"Yes",nrES_Rec,"&gt;=0")=0,"",SUMIFS(nrES_Rec,nrES_PID,Cadets!$B13,nrES_Code,_xlpm.c,nrES_Final,"Yes"))))</f>
        <v/>
      </c>
      <c r="H18" s="27">
        <f>IF(OR($C18="",$G18=""),"",IF($G18&gt;=IFERROR(INDEX(rngEPpass,MATCH(cfgGradeSheetExam,IFERROR(rngEPseq+0,-1),0)),cfgPassingScore),"Pass","FAIL"))</f>
        <v/>
      </c>
      <c r="I18" s="27">
        <f>IF($C18="","",_xlfn.LET(_xlpm.c,IFERROR(INDEX(rngEPcode,MATCH(cfgGradeSheetExam,IFERROR(rngEPseq+0,-1),0)),""),IF(COUNTIFS(nrES_PID,Cadets!$B13,nrES_Code,_xlpm.c,nrES_Att,2,nrES_Raw,"&gt;=0")&gt;0,"Retested","")))</f>
        <v/>
      </c>
      <c r="J18" s="27">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27">
        <f>IF(Cadets!$B14="","",ROW()-10)</f>
        <v/>
      </c>
      <c r="C19" s="26">
        <f>IF(Cadets!$B14="","",Cadets!$F14)</f>
        <v/>
      </c>
      <c r="D19" s="27">
        <f>IF($C19="","",Cadets!$B14)</f>
        <v/>
      </c>
      <c r="E19" s="27">
        <f>IF($C19="","",Cadets!$H14)</f>
        <v/>
      </c>
      <c r="F19" s="27">
        <f>IF($C19="","",_xlfn.LET(_xlpm.c,IFERROR(INDEX(rngEPcode,MATCH(cfgGradeSheetExam,IFERROR(rngEPseq+0,-1),0)),""),IF(COUNTIFS(nrES_PID,Cadets!$B14,nrES_Code,_xlpm.c,nrES_Att,1,nrES_Raw,"&gt;=0")=0,"",SUMIFS(nrES_Raw,nrES_PID,Cadets!$B14,nrES_Code,_xlpm.c,nrES_Att,1))))</f>
        <v/>
      </c>
      <c r="G19" s="27">
        <f>IF($C19="","",_xlfn.LET(_xlpm.c,IFERROR(INDEX(rngEPcode,MATCH(cfgGradeSheetExam,IFERROR(rngEPseq+0,-1),0)),""),IF(COUNTIFS(nrES_PID,Cadets!$B14,nrES_Code,_xlpm.c,nrES_Final,"Yes",nrES_Rec,"&gt;=0")=0,"",SUMIFS(nrES_Rec,nrES_PID,Cadets!$B14,nrES_Code,_xlpm.c,nrES_Final,"Yes"))))</f>
        <v/>
      </c>
      <c r="H19" s="27">
        <f>IF(OR($C19="",$G19=""),"",IF($G19&gt;=IFERROR(INDEX(rngEPpass,MATCH(cfgGradeSheetExam,IFERROR(rngEPseq+0,-1),0)),cfgPassingScore),"Pass","FAIL"))</f>
        <v/>
      </c>
      <c r="I19" s="27">
        <f>IF($C19="","",_xlfn.LET(_xlpm.c,IFERROR(INDEX(rngEPcode,MATCH(cfgGradeSheetExam,IFERROR(rngEPseq+0,-1),0)),""),IF(COUNTIFS(nrES_PID,Cadets!$B14,nrES_Code,_xlpm.c,nrES_Att,2,nrES_Raw,"&gt;=0")&gt;0,"Retested","")))</f>
        <v/>
      </c>
      <c r="J19" s="27">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27">
        <f>IF(Cadets!$B15="","",ROW()-10)</f>
        <v/>
      </c>
      <c r="C20" s="26">
        <f>IF(Cadets!$B15="","",Cadets!$F15)</f>
        <v/>
      </c>
      <c r="D20" s="27">
        <f>IF($C20="","",Cadets!$B15)</f>
        <v/>
      </c>
      <c r="E20" s="27">
        <f>IF($C20="","",Cadets!$H15)</f>
        <v/>
      </c>
      <c r="F20" s="27">
        <f>IF($C20="","",_xlfn.LET(_xlpm.c,IFERROR(INDEX(rngEPcode,MATCH(cfgGradeSheetExam,IFERROR(rngEPseq+0,-1),0)),""),IF(COUNTIFS(nrES_PID,Cadets!$B15,nrES_Code,_xlpm.c,nrES_Att,1,nrES_Raw,"&gt;=0")=0,"",SUMIFS(nrES_Raw,nrES_PID,Cadets!$B15,nrES_Code,_xlpm.c,nrES_Att,1))))</f>
        <v/>
      </c>
      <c r="G20" s="27">
        <f>IF($C20="","",_xlfn.LET(_xlpm.c,IFERROR(INDEX(rngEPcode,MATCH(cfgGradeSheetExam,IFERROR(rngEPseq+0,-1),0)),""),IF(COUNTIFS(nrES_PID,Cadets!$B15,nrES_Code,_xlpm.c,nrES_Final,"Yes",nrES_Rec,"&gt;=0")=0,"",SUMIFS(nrES_Rec,nrES_PID,Cadets!$B15,nrES_Code,_xlpm.c,nrES_Final,"Yes"))))</f>
        <v/>
      </c>
      <c r="H20" s="27">
        <f>IF(OR($C20="",$G20=""),"",IF($G20&gt;=IFERROR(INDEX(rngEPpass,MATCH(cfgGradeSheetExam,IFERROR(rngEPseq+0,-1),0)),cfgPassingScore),"Pass","FAIL"))</f>
        <v/>
      </c>
      <c r="I20" s="27">
        <f>IF($C20="","",_xlfn.LET(_xlpm.c,IFERROR(INDEX(rngEPcode,MATCH(cfgGradeSheetExam,IFERROR(rngEPseq+0,-1),0)),""),IF(COUNTIFS(nrES_PID,Cadets!$B15,nrES_Code,_xlpm.c,nrES_Att,2,nrES_Raw,"&gt;=0")&gt;0,"Retested","")))</f>
        <v/>
      </c>
      <c r="J20" s="27">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27">
        <f>IF(Cadets!$B16="","",ROW()-10)</f>
        <v/>
      </c>
      <c r="C21" s="26">
        <f>IF(Cadets!$B16="","",Cadets!$F16)</f>
        <v/>
      </c>
      <c r="D21" s="27">
        <f>IF($C21="","",Cadets!$B16)</f>
        <v/>
      </c>
      <c r="E21" s="27">
        <f>IF($C21="","",Cadets!$H16)</f>
        <v/>
      </c>
      <c r="F21" s="27">
        <f>IF($C21="","",_xlfn.LET(_xlpm.c,IFERROR(INDEX(rngEPcode,MATCH(cfgGradeSheetExam,IFERROR(rngEPseq+0,-1),0)),""),IF(COUNTIFS(nrES_PID,Cadets!$B16,nrES_Code,_xlpm.c,nrES_Att,1,nrES_Raw,"&gt;=0")=0,"",SUMIFS(nrES_Raw,nrES_PID,Cadets!$B16,nrES_Code,_xlpm.c,nrES_Att,1))))</f>
        <v/>
      </c>
      <c r="G21" s="27">
        <f>IF($C21="","",_xlfn.LET(_xlpm.c,IFERROR(INDEX(rngEPcode,MATCH(cfgGradeSheetExam,IFERROR(rngEPseq+0,-1),0)),""),IF(COUNTIFS(nrES_PID,Cadets!$B16,nrES_Code,_xlpm.c,nrES_Final,"Yes",nrES_Rec,"&gt;=0")=0,"",SUMIFS(nrES_Rec,nrES_PID,Cadets!$B16,nrES_Code,_xlpm.c,nrES_Final,"Yes"))))</f>
        <v/>
      </c>
      <c r="H21" s="27">
        <f>IF(OR($C21="",$G21=""),"",IF($G21&gt;=IFERROR(INDEX(rngEPpass,MATCH(cfgGradeSheetExam,IFERROR(rngEPseq+0,-1),0)),cfgPassingScore),"Pass","FAIL"))</f>
        <v/>
      </c>
      <c r="I21" s="27">
        <f>IF($C21="","",_xlfn.LET(_xlpm.c,IFERROR(INDEX(rngEPcode,MATCH(cfgGradeSheetExam,IFERROR(rngEPseq+0,-1),0)),""),IF(COUNTIFS(nrES_PID,Cadets!$B16,nrES_Code,_xlpm.c,nrES_Att,2,nrES_Raw,"&gt;=0")&gt;0,"Retested","")))</f>
        <v/>
      </c>
      <c r="J21" s="27">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27">
        <f>IF(Cadets!$B17="","",ROW()-10)</f>
        <v/>
      </c>
      <c r="C22" s="26">
        <f>IF(Cadets!$B17="","",Cadets!$F17)</f>
        <v/>
      </c>
      <c r="D22" s="27">
        <f>IF($C22="","",Cadets!$B17)</f>
        <v/>
      </c>
      <c r="E22" s="27">
        <f>IF($C22="","",Cadets!$H17)</f>
        <v/>
      </c>
      <c r="F22" s="27">
        <f>IF($C22="","",_xlfn.LET(_xlpm.c,IFERROR(INDEX(rngEPcode,MATCH(cfgGradeSheetExam,IFERROR(rngEPseq+0,-1),0)),""),IF(COUNTIFS(nrES_PID,Cadets!$B17,nrES_Code,_xlpm.c,nrES_Att,1,nrES_Raw,"&gt;=0")=0,"",SUMIFS(nrES_Raw,nrES_PID,Cadets!$B17,nrES_Code,_xlpm.c,nrES_Att,1))))</f>
        <v/>
      </c>
      <c r="G22" s="27">
        <f>IF($C22="","",_xlfn.LET(_xlpm.c,IFERROR(INDEX(rngEPcode,MATCH(cfgGradeSheetExam,IFERROR(rngEPseq+0,-1),0)),""),IF(COUNTIFS(nrES_PID,Cadets!$B17,nrES_Code,_xlpm.c,nrES_Final,"Yes",nrES_Rec,"&gt;=0")=0,"",SUMIFS(nrES_Rec,nrES_PID,Cadets!$B17,nrES_Code,_xlpm.c,nrES_Final,"Yes"))))</f>
        <v/>
      </c>
      <c r="H22" s="27">
        <f>IF(OR($C22="",$G22=""),"",IF($G22&gt;=IFERROR(INDEX(rngEPpass,MATCH(cfgGradeSheetExam,IFERROR(rngEPseq+0,-1),0)),cfgPassingScore),"Pass","FAIL"))</f>
        <v/>
      </c>
      <c r="I22" s="27">
        <f>IF($C22="","",_xlfn.LET(_xlpm.c,IFERROR(INDEX(rngEPcode,MATCH(cfgGradeSheetExam,IFERROR(rngEPseq+0,-1),0)),""),IF(COUNTIFS(nrES_PID,Cadets!$B17,nrES_Code,_xlpm.c,nrES_Att,2,nrES_Raw,"&gt;=0")&gt;0,"Retested","")))</f>
        <v/>
      </c>
      <c r="J22" s="27">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27">
        <f>IF(Cadets!$B18="","",ROW()-10)</f>
        <v/>
      </c>
      <c r="C23" s="26">
        <f>IF(Cadets!$B18="","",Cadets!$F18)</f>
        <v/>
      </c>
      <c r="D23" s="27">
        <f>IF($C23="","",Cadets!$B18)</f>
        <v/>
      </c>
      <c r="E23" s="27">
        <f>IF($C23="","",Cadets!$H18)</f>
        <v/>
      </c>
      <c r="F23" s="27">
        <f>IF($C23="","",_xlfn.LET(_xlpm.c,IFERROR(INDEX(rngEPcode,MATCH(cfgGradeSheetExam,IFERROR(rngEPseq+0,-1),0)),""),IF(COUNTIFS(nrES_PID,Cadets!$B18,nrES_Code,_xlpm.c,nrES_Att,1,nrES_Raw,"&gt;=0")=0,"",SUMIFS(nrES_Raw,nrES_PID,Cadets!$B18,nrES_Code,_xlpm.c,nrES_Att,1))))</f>
        <v/>
      </c>
      <c r="G23" s="27">
        <f>IF($C23="","",_xlfn.LET(_xlpm.c,IFERROR(INDEX(rngEPcode,MATCH(cfgGradeSheetExam,IFERROR(rngEPseq+0,-1),0)),""),IF(COUNTIFS(nrES_PID,Cadets!$B18,nrES_Code,_xlpm.c,nrES_Final,"Yes",nrES_Rec,"&gt;=0")=0,"",SUMIFS(nrES_Rec,nrES_PID,Cadets!$B18,nrES_Code,_xlpm.c,nrES_Final,"Yes"))))</f>
        <v/>
      </c>
      <c r="H23" s="27">
        <f>IF(OR($C23="",$G23=""),"",IF($G23&gt;=IFERROR(INDEX(rngEPpass,MATCH(cfgGradeSheetExam,IFERROR(rngEPseq+0,-1),0)),cfgPassingScore),"Pass","FAIL"))</f>
        <v/>
      </c>
      <c r="I23" s="27">
        <f>IF($C23="","",_xlfn.LET(_xlpm.c,IFERROR(INDEX(rngEPcode,MATCH(cfgGradeSheetExam,IFERROR(rngEPseq+0,-1),0)),""),IF(COUNTIFS(nrES_PID,Cadets!$B18,nrES_Code,_xlpm.c,nrES_Att,2,nrES_Raw,"&gt;=0")&gt;0,"Retested","")))</f>
        <v/>
      </c>
      <c r="J23" s="27">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27">
        <f>IF(Cadets!$B19="","",ROW()-10)</f>
        <v/>
      </c>
      <c r="C24" s="26">
        <f>IF(Cadets!$B19="","",Cadets!$F19)</f>
        <v/>
      </c>
      <c r="D24" s="27">
        <f>IF($C24="","",Cadets!$B19)</f>
        <v/>
      </c>
      <c r="E24" s="27">
        <f>IF($C24="","",Cadets!$H19)</f>
        <v/>
      </c>
      <c r="F24" s="27">
        <f>IF($C24="","",_xlfn.LET(_xlpm.c,IFERROR(INDEX(rngEPcode,MATCH(cfgGradeSheetExam,IFERROR(rngEPseq+0,-1),0)),""),IF(COUNTIFS(nrES_PID,Cadets!$B19,nrES_Code,_xlpm.c,nrES_Att,1,nrES_Raw,"&gt;=0")=0,"",SUMIFS(nrES_Raw,nrES_PID,Cadets!$B19,nrES_Code,_xlpm.c,nrES_Att,1))))</f>
        <v/>
      </c>
      <c r="G24" s="27">
        <f>IF($C24="","",_xlfn.LET(_xlpm.c,IFERROR(INDEX(rngEPcode,MATCH(cfgGradeSheetExam,IFERROR(rngEPseq+0,-1),0)),""),IF(COUNTIFS(nrES_PID,Cadets!$B19,nrES_Code,_xlpm.c,nrES_Final,"Yes",nrES_Rec,"&gt;=0")=0,"",SUMIFS(nrES_Rec,nrES_PID,Cadets!$B19,nrES_Code,_xlpm.c,nrES_Final,"Yes"))))</f>
        <v/>
      </c>
      <c r="H24" s="27">
        <f>IF(OR($C24="",$G24=""),"",IF($G24&gt;=IFERROR(INDEX(rngEPpass,MATCH(cfgGradeSheetExam,IFERROR(rngEPseq+0,-1),0)),cfgPassingScore),"Pass","FAIL"))</f>
        <v/>
      </c>
      <c r="I24" s="27">
        <f>IF($C24="","",_xlfn.LET(_xlpm.c,IFERROR(INDEX(rngEPcode,MATCH(cfgGradeSheetExam,IFERROR(rngEPseq+0,-1),0)),""),IF(COUNTIFS(nrES_PID,Cadets!$B19,nrES_Code,_xlpm.c,nrES_Att,2,nrES_Raw,"&gt;=0")&gt;0,"Retested","")))</f>
        <v/>
      </c>
      <c r="J24" s="27">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27">
        <f>IF(Cadets!$B20="","",ROW()-10)</f>
        <v/>
      </c>
      <c r="C25" s="26">
        <f>IF(Cadets!$B20="","",Cadets!$F20)</f>
        <v/>
      </c>
      <c r="D25" s="27">
        <f>IF($C25="","",Cadets!$B20)</f>
        <v/>
      </c>
      <c r="E25" s="27">
        <f>IF($C25="","",Cadets!$H20)</f>
        <v/>
      </c>
      <c r="F25" s="27">
        <f>IF($C25="","",_xlfn.LET(_xlpm.c,IFERROR(INDEX(rngEPcode,MATCH(cfgGradeSheetExam,IFERROR(rngEPseq+0,-1),0)),""),IF(COUNTIFS(nrES_PID,Cadets!$B20,nrES_Code,_xlpm.c,nrES_Att,1,nrES_Raw,"&gt;=0")=0,"",SUMIFS(nrES_Raw,nrES_PID,Cadets!$B20,nrES_Code,_xlpm.c,nrES_Att,1))))</f>
        <v/>
      </c>
      <c r="G25" s="27">
        <f>IF($C25="","",_xlfn.LET(_xlpm.c,IFERROR(INDEX(rngEPcode,MATCH(cfgGradeSheetExam,IFERROR(rngEPseq+0,-1),0)),""),IF(COUNTIFS(nrES_PID,Cadets!$B20,nrES_Code,_xlpm.c,nrES_Final,"Yes",nrES_Rec,"&gt;=0")=0,"",SUMIFS(nrES_Rec,nrES_PID,Cadets!$B20,nrES_Code,_xlpm.c,nrES_Final,"Yes"))))</f>
        <v/>
      </c>
      <c r="H25" s="27">
        <f>IF(OR($C25="",$G25=""),"",IF($G25&gt;=IFERROR(INDEX(rngEPpass,MATCH(cfgGradeSheetExam,IFERROR(rngEPseq+0,-1),0)),cfgPassingScore),"Pass","FAIL"))</f>
        <v/>
      </c>
      <c r="I25" s="27">
        <f>IF($C25="","",_xlfn.LET(_xlpm.c,IFERROR(INDEX(rngEPcode,MATCH(cfgGradeSheetExam,IFERROR(rngEPseq+0,-1),0)),""),IF(COUNTIFS(nrES_PID,Cadets!$B20,nrES_Code,_xlpm.c,nrES_Att,2,nrES_Raw,"&gt;=0")&gt;0,"Retested","")))</f>
        <v/>
      </c>
      <c r="J25" s="27">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27">
        <f>IF(Cadets!$B21="","",ROW()-10)</f>
        <v/>
      </c>
      <c r="C26" s="26">
        <f>IF(Cadets!$B21="","",Cadets!$F21)</f>
        <v/>
      </c>
      <c r="D26" s="27">
        <f>IF($C26="","",Cadets!$B21)</f>
        <v/>
      </c>
      <c r="E26" s="27">
        <f>IF($C26="","",Cadets!$H21)</f>
        <v/>
      </c>
      <c r="F26" s="27">
        <f>IF($C26="","",_xlfn.LET(_xlpm.c,IFERROR(INDEX(rngEPcode,MATCH(cfgGradeSheetExam,IFERROR(rngEPseq+0,-1),0)),""),IF(COUNTIFS(nrES_PID,Cadets!$B21,nrES_Code,_xlpm.c,nrES_Att,1,nrES_Raw,"&gt;=0")=0,"",SUMIFS(nrES_Raw,nrES_PID,Cadets!$B21,nrES_Code,_xlpm.c,nrES_Att,1))))</f>
        <v/>
      </c>
      <c r="G26" s="27">
        <f>IF($C26="","",_xlfn.LET(_xlpm.c,IFERROR(INDEX(rngEPcode,MATCH(cfgGradeSheetExam,IFERROR(rngEPseq+0,-1),0)),""),IF(COUNTIFS(nrES_PID,Cadets!$B21,nrES_Code,_xlpm.c,nrES_Final,"Yes",nrES_Rec,"&gt;=0")=0,"",SUMIFS(nrES_Rec,nrES_PID,Cadets!$B21,nrES_Code,_xlpm.c,nrES_Final,"Yes"))))</f>
        <v/>
      </c>
      <c r="H26" s="27">
        <f>IF(OR($C26="",$G26=""),"",IF($G26&gt;=IFERROR(INDEX(rngEPpass,MATCH(cfgGradeSheetExam,IFERROR(rngEPseq+0,-1),0)),cfgPassingScore),"Pass","FAIL"))</f>
        <v/>
      </c>
      <c r="I26" s="27">
        <f>IF($C26="","",_xlfn.LET(_xlpm.c,IFERROR(INDEX(rngEPcode,MATCH(cfgGradeSheetExam,IFERROR(rngEPseq+0,-1),0)),""),IF(COUNTIFS(nrES_PID,Cadets!$B21,nrES_Code,_xlpm.c,nrES_Att,2,nrES_Raw,"&gt;=0")&gt;0,"Retested","")))</f>
        <v/>
      </c>
      <c r="J26" s="27">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27">
        <f>IF(Cadets!$B22="","",ROW()-10)</f>
        <v/>
      </c>
      <c r="C27" s="26">
        <f>IF(Cadets!$B22="","",Cadets!$F22)</f>
        <v/>
      </c>
      <c r="D27" s="27">
        <f>IF($C27="","",Cadets!$B22)</f>
        <v/>
      </c>
      <c r="E27" s="27">
        <f>IF($C27="","",Cadets!$H22)</f>
        <v/>
      </c>
      <c r="F27" s="27">
        <f>IF($C27="","",_xlfn.LET(_xlpm.c,IFERROR(INDEX(rngEPcode,MATCH(cfgGradeSheetExam,IFERROR(rngEPseq+0,-1),0)),""),IF(COUNTIFS(nrES_PID,Cadets!$B22,nrES_Code,_xlpm.c,nrES_Att,1,nrES_Raw,"&gt;=0")=0,"",SUMIFS(nrES_Raw,nrES_PID,Cadets!$B22,nrES_Code,_xlpm.c,nrES_Att,1))))</f>
        <v/>
      </c>
      <c r="G27" s="27">
        <f>IF($C27="","",_xlfn.LET(_xlpm.c,IFERROR(INDEX(rngEPcode,MATCH(cfgGradeSheetExam,IFERROR(rngEPseq+0,-1),0)),""),IF(COUNTIFS(nrES_PID,Cadets!$B22,nrES_Code,_xlpm.c,nrES_Final,"Yes",nrES_Rec,"&gt;=0")=0,"",SUMIFS(nrES_Rec,nrES_PID,Cadets!$B22,nrES_Code,_xlpm.c,nrES_Final,"Yes"))))</f>
        <v/>
      </c>
      <c r="H27" s="27">
        <f>IF(OR($C27="",$G27=""),"",IF($G27&gt;=IFERROR(INDEX(rngEPpass,MATCH(cfgGradeSheetExam,IFERROR(rngEPseq+0,-1),0)),cfgPassingScore),"Pass","FAIL"))</f>
        <v/>
      </c>
      <c r="I27" s="27">
        <f>IF($C27="","",_xlfn.LET(_xlpm.c,IFERROR(INDEX(rngEPcode,MATCH(cfgGradeSheetExam,IFERROR(rngEPseq+0,-1),0)),""),IF(COUNTIFS(nrES_PID,Cadets!$B22,nrES_Code,_xlpm.c,nrES_Att,2,nrES_Raw,"&gt;=0")&gt;0,"Retested","")))</f>
        <v/>
      </c>
      <c r="J27" s="27">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27">
        <f>IF(Cadets!$B23="","",ROW()-10)</f>
        <v/>
      </c>
      <c r="C28" s="26">
        <f>IF(Cadets!$B23="","",Cadets!$F23)</f>
        <v/>
      </c>
      <c r="D28" s="27">
        <f>IF($C28="","",Cadets!$B23)</f>
        <v/>
      </c>
      <c r="E28" s="27">
        <f>IF($C28="","",Cadets!$H23)</f>
        <v/>
      </c>
      <c r="F28" s="27">
        <f>IF($C28="","",_xlfn.LET(_xlpm.c,IFERROR(INDEX(rngEPcode,MATCH(cfgGradeSheetExam,IFERROR(rngEPseq+0,-1),0)),""),IF(COUNTIFS(nrES_PID,Cadets!$B23,nrES_Code,_xlpm.c,nrES_Att,1,nrES_Raw,"&gt;=0")=0,"",SUMIFS(nrES_Raw,nrES_PID,Cadets!$B23,nrES_Code,_xlpm.c,nrES_Att,1))))</f>
        <v/>
      </c>
      <c r="G28" s="27">
        <f>IF($C28="","",_xlfn.LET(_xlpm.c,IFERROR(INDEX(rngEPcode,MATCH(cfgGradeSheetExam,IFERROR(rngEPseq+0,-1),0)),""),IF(COUNTIFS(nrES_PID,Cadets!$B23,nrES_Code,_xlpm.c,nrES_Final,"Yes",nrES_Rec,"&gt;=0")=0,"",SUMIFS(nrES_Rec,nrES_PID,Cadets!$B23,nrES_Code,_xlpm.c,nrES_Final,"Yes"))))</f>
        <v/>
      </c>
      <c r="H28" s="27">
        <f>IF(OR($C28="",$G28=""),"",IF($G28&gt;=IFERROR(INDEX(rngEPpass,MATCH(cfgGradeSheetExam,IFERROR(rngEPseq+0,-1),0)),cfgPassingScore),"Pass","FAIL"))</f>
        <v/>
      </c>
      <c r="I28" s="27">
        <f>IF($C28="","",_xlfn.LET(_xlpm.c,IFERROR(INDEX(rngEPcode,MATCH(cfgGradeSheetExam,IFERROR(rngEPseq+0,-1),0)),""),IF(COUNTIFS(nrES_PID,Cadets!$B23,nrES_Code,_xlpm.c,nrES_Att,2,nrES_Raw,"&gt;=0")&gt;0,"Retested","")))</f>
        <v/>
      </c>
      <c r="J28" s="27">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27">
        <f>IF(Cadets!$B24="","",ROW()-10)</f>
        <v/>
      </c>
      <c r="C29" s="26">
        <f>IF(Cadets!$B24="","",Cadets!$F24)</f>
        <v/>
      </c>
      <c r="D29" s="27">
        <f>IF($C29="","",Cadets!$B24)</f>
        <v/>
      </c>
      <c r="E29" s="27">
        <f>IF($C29="","",Cadets!$H24)</f>
        <v/>
      </c>
      <c r="F29" s="27">
        <f>IF($C29="","",_xlfn.LET(_xlpm.c,IFERROR(INDEX(rngEPcode,MATCH(cfgGradeSheetExam,IFERROR(rngEPseq+0,-1),0)),""),IF(COUNTIFS(nrES_PID,Cadets!$B24,nrES_Code,_xlpm.c,nrES_Att,1,nrES_Raw,"&gt;=0")=0,"",SUMIFS(nrES_Raw,nrES_PID,Cadets!$B24,nrES_Code,_xlpm.c,nrES_Att,1))))</f>
        <v/>
      </c>
      <c r="G29" s="27">
        <f>IF($C29="","",_xlfn.LET(_xlpm.c,IFERROR(INDEX(rngEPcode,MATCH(cfgGradeSheetExam,IFERROR(rngEPseq+0,-1),0)),""),IF(COUNTIFS(nrES_PID,Cadets!$B24,nrES_Code,_xlpm.c,nrES_Final,"Yes",nrES_Rec,"&gt;=0")=0,"",SUMIFS(nrES_Rec,nrES_PID,Cadets!$B24,nrES_Code,_xlpm.c,nrES_Final,"Yes"))))</f>
        <v/>
      </c>
      <c r="H29" s="27">
        <f>IF(OR($C29="",$G29=""),"",IF($G29&gt;=IFERROR(INDEX(rngEPpass,MATCH(cfgGradeSheetExam,IFERROR(rngEPseq+0,-1),0)),cfgPassingScore),"Pass","FAIL"))</f>
        <v/>
      </c>
      <c r="I29" s="27">
        <f>IF($C29="","",_xlfn.LET(_xlpm.c,IFERROR(INDEX(rngEPcode,MATCH(cfgGradeSheetExam,IFERROR(rngEPseq+0,-1),0)),""),IF(COUNTIFS(nrES_PID,Cadets!$B24,nrES_Code,_xlpm.c,nrES_Att,2,nrES_Raw,"&gt;=0")&gt;0,"Retested","")))</f>
        <v/>
      </c>
      <c r="J29" s="27">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27">
        <f>IF(Cadets!$B25="","",ROW()-10)</f>
        <v/>
      </c>
      <c r="C30" s="26">
        <f>IF(Cadets!$B25="","",Cadets!$F25)</f>
        <v/>
      </c>
      <c r="D30" s="27">
        <f>IF($C30="","",Cadets!$B25)</f>
        <v/>
      </c>
      <c r="E30" s="27">
        <f>IF($C30="","",Cadets!$H25)</f>
        <v/>
      </c>
      <c r="F30" s="27">
        <f>IF($C30="","",_xlfn.LET(_xlpm.c,IFERROR(INDEX(rngEPcode,MATCH(cfgGradeSheetExam,IFERROR(rngEPseq+0,-1),0)),""),IF(COUNTIFS(nrES_PID,Cadets!$B25,nrES_Code,_xlpm.c,nrES_Att,1,nrES_Raw,"&gt;=0")=0,"",SUMIFS(nrES_Raw,nrES_PID,Cadets!$B25,nrES_Code,_xlpm.c,nrES_Att,1))))</f>
        <v/>
      </c>
      <c r="G30" s="27">
        <f>IF($C30="","",_xlfn.LET(_xlpm.c,IFERROR(INDEX(rngEPcode,MATCH(cfgGradeSheetExam,IFERROR(rngEPseq+0,-1),0)),""),IF(COUNTIFS(nrES_PID,Cadets!$B25,nrES_Code,_xlpm.c,nrES_Final,"Yes",nrES_Rec,"&gt;=0")=0,"",SUMIFS(nrES_Rec,nrES_PID,Cadets!$B25,nrES_Code,_xlpm.c,nrES_Final,"Yes"))))</f>
        <v/>
      </c>
      <c r="H30" s="27">
        <f>IF(OR($C30="",$G30=""),"",IF($G30&gt;=IFERROR(INDEX(rngEPpass,MATCH(cfgGradeSheetExam,IFERROR(rngEPseq+0,-1),0)),cfgPassingScore),"Pass","FAIL"))</f>
        <v/>
      </c>
      <c r="I30" s="27">
        <f>IF($C30="","",_xlfn.LET(_xlpm.c,IFERROR(INDEX(rngEPcode,MATCH(cfgGradeSheetExam,IFERROR(rngEPseq+0,-1),0)),""),IF(COUNTIFS(nrES_PID,Cadets!$B25,nrES_Code,_xlpm.c,nrES_Att,2,nrES_Raw,"&gt;=0")&gt;0,"Retested","")))</f>
        <v/>
      </c>
      <c r="J30" s="27">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27">
        <f>IF(Cadets!$B26="","",ROW()-10)</f>
        <v/>
      </c>
      <c r="C31" s="26">
        <f>IF(Cadets!$B26="","",Cadets!$F26)</f>
        <v/>
      </c>
      <c r="D31" s="27">
        <f>IF($C31="","",Cadets!$B26)</f>
        <v/>
      </c>
      <c r="E31" s="27">
        <f>IF($C31="","",Cadets!$H26)</f>
        <v/>
      </c>
      <c r="F31" s="27">
        <f>IF($C31="","",_xlfn.LET(_xlpm.c,IFERROR(INDEX(rngEPcode,MATCH(cfgGradeSheetExam,IFERROR(rngEPseq+0,-1),0)),""),IF(COUNTIFS(nrES_PID,Cadets!$B26,nrES_Code,_xlpm.c,nrES_Att,1,nrES_Raw,"&gt;=0")=0,"",SUMIFS(nrES_Raw,nrES_PID,Cadets!$B26,nrES_Code,_xlpm.c,nrES_Att,1))))</f>
        <v/>
      </c>
      <c r="G31" s="27">
        <f>IF($C31="","",_xlfn.LET(_xlpm.c,IFERROR(INDEX(rngEPcode,MATCH(cfgGradeSheetExam,IFERROR(rngEPseq+0,-1),0)),""),IF(COUNTIFS(nrES_PID,Cadets!$B26,nrES_Code,_xlpm.c,nrES_Final,"Yes",nrES_Rec,"&gt;=0")=0,"",SUMIFS(nrES_Rec,nrES_PID,Cadets!$B26,nrES_Code,_xlpm.c,nrES_Final,"Yes"))))</f>
        <v/>
      </c>
      <c r="H31" s="27">
        <f>IF(OR($C31="",$G31=""),"",IF($G31&gt;=IFERROR(INDEX(rngEPpass,MATCH(cfgGradeSheetExam,IFERROR(rngEPseq+0,-1),0)),cfgPassingScore),"Pass","FAIL"))</f>
        <v/>
      </c>
      <c r="I31" s="27">
        <f>IF($C31="","",_xlfn.LET(_xlpm.c,IFERROR(INDEX(rngEPcode,MATCH(cfgGradeSheetExam,IFERROR(rngEPseq+0,-1),0)),""),IF(COUNTIFS(nrES_PID,Cadets!$B26,nrES_Code,_xlpm.c,nrES_Att,2,nrES_Raw,"&gt;=0")&gt;0,"Retested","")))</f>
        <v/>
      </c>
      <c r="J31" s="27">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27">
        <f>IF(Cadets!$B27="","",ROW()-10)</f>
        <v/>
      </c>
      <c r="C32" s="26">
        <f>IF(Cadets!$B27="","",Cadets!$F27)</f>
        <v/>
      </c>
      <c r="D32" s="27">
        <f>IF($C32="","",Cadets!$B27)</f>
        <v/>
      </c>
      <c r="E32" s="27">
        <f>IF($C32="","",Cadets!$H27)</f>
        <v/>
      </c>
      <c r="F32" s="27">
        <f>IF($C32="","",_xlfn.LET(_xlpm.c,IFERROR(INDEX(rngEPcode,MATCH(cfgGradeSheetExam,IFERROR(rngEPseq+0,-1),0)),""),IF(COUNTIFS(nrES_PID,Cadets!$B27,nrES_Code,_xlpm.c,nrES_Att,1,nrES_Raw,"&gt;=0")=0,"",SUMIFS(nrES_Raw,nrES_PID,Cadets!$B27,nrES_Code,_xlpm.c,nrES_Att,1))))</f>
        <v/>
      </c>
      <c r="G32" s="27">
        <f>IF($C32="","",_xlfn.LET(_xlpm.c,IFERROR(INDEX(rngEPcode,MATCH(cfgGradeSheetExam,IFERROR(rngEPseq+0,-1),0)),""),IF(COUNTIFS(nrES_PID,Cadets!$B27,nrES_Code,_xlpm.c,nrES_Final,"Yes",nrES_Rec,"&gt;=0")=0,"",SUMIFS(nrES_Rec,nrES_PID,Cadets!$B27,nrES_Code,_xlpm.c,nrES_Final,"Yes"))))</f>
        <v/>
      </c>
      <c r="H32" s="27">
        <f>IF(OR($C32="",$G32=""),"",IF($G32&gt;=IFERROR(INDEX(rngEPpass,MATCH(cfgGradeSheetExam,IFERROR(rngEPseq+0,-1),0)),cfgPassingScore),"Pass","FAIL"))</f>
        <v/>
      </c>
      <c r="I32" s="27">
        <f>IF($C32="","",_xlfn.LET(_xlpm.c,IFERROR(INDEX(rngEPcode,MATCH(cfgGradeSheetExam,IFERROR(rngEPseq+0,-1),0)),""),IF(COUNTIFS(nrES_PID,Cadets!$B27,nrES_Code,_xlpm.c,nrES_Att,2,nrES_Raw,"&gt;=0")&gt;0,"Retested","")))</f>
        <v/>
      </c>
      <c r="J32" s="27">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27">
        <f>IF(Cadets!$B28="","",ROW()-10)</f>
        <v/>
      </c>
      <c r="C33" s="26">
        <f>IF(Cadets!$B28="","",Cadets!$F28)</f>
        <v/>
      </c>
      <c r="D33" s="27">
        <f>IF($C33="","",Cadets!$B28)</f>
        <v/>
      </c>
      <c r="E33" s="27">
        <f>IF($C33="","",Cadets!$H28)</f>
        <v/>
      </c>
      <c r="F33" s="27">
        <f>IF($C33="","",_xlfn.LET(_xlpm.c,IFERROR(INDEX(rngEPcode,MATCH(cfgGradeSheetExam,IFERROR(rngEPseq+0,-1),0)),""),IF(COUNTIFS(nrES_PID,Cadets!$B28,nrES_Code,_xlpm.c,nrES_Att,1,nrES_Raw,"&gt;=0")=0,"",SUMIFS(nrES_Raw,nrES_PID,Cadets!$B28,nrES_Code,_xlpm.c,nrES_Att,1))))</f>
        <v/>
      </c>
      <c r="G33" s="27">
        <f>IF($C33="","",_xlfn.LET(_xlpm.c,IFERROR(INDEX(rngEPcode,MATCH(cfgGradeSheetExam,IFERROR(rngEPseq+0,-1),0)),""),IF(COUNTIFS(nrES_PID,Cadets!$B28,nrES_Code,_xlpm.c,nrES_Final,"Yes",nrES_Rec,"&gt;=0")=0,"",SUMIFS(nrES_Rec,nrES_PID,Cadets!$B28,nrES_Code,_xlpm.c,nrES_Final,"Yes"))))</f>
        <v/>
      </c>
      <c r="H33" s="27">
        <f>IF(OR($C33="",$G33=""),"",IF($G33&gt;=IFERROR(INDEX(rngEPpass,MATCH(cfgGradeSheetExam,IFERROR(rngEPseq+0,-1),0)),cfgPassingScore),"Pass","FAIL"))</f>
        <v/>
      </c>
      <c r="I33" s="27">
        <f>IF($C33="","",_xlfn.LET(_xlpm.c,IFERROR(INDEX(rngEPcode,MATCH(cfgGradeSheetExam,IFERROR(rngEPseq+0,-1),0)),""),IF(COUNTIFS(nrES_PID,Cadets!$B28,nrES_Code,_xlpm.c,nrES_Att,2,nrES_Raw,"&gt;=0")&gt;0,"Retested","")))</f>
        <v/>
      </c>
      <c r="J33" s="27">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27">
        <f>IF(Cadets!$B29="","",ROW()-10)</f>
        <v/>
      </c>
      <c r="C34" s="26">
        <f>IF(Cadets!$B29="","",Cadets!$F29)</f>
        <v/>
      </c>
      <c r="D34" s="27">
        <f>IF($C34="","",Cadets!$B29)</f>
        <v/>
      </c>
      <c r="E34" s="27">
        <f>IF($C34="","",Cadets!$H29)</f>
        <v/>
      </c>
      <c r="F34" s="27">
        <f>IF($C34="","",_xlfn.LET(_xlpm.c,IFERROR(INDEX(rngEPcode,MATCH(cfgGradeSheetExam,IFERROR(rngEPseq+0,-1),0)),""),IF(COUNTIFS(nrES_PID,Cadets!$B29,nrES_Code,_xlpm.c,nrES_Att,1,nrES_Raw,"&gt;=0")=0,"",SUMIFS(nrES_Raw,nrES_PID,Cadets!$B29,nrES_Code,_xlpm.c,nrES_Att,1))))</f>
        <v/>
      </c>
      <c r="G34" s="27">
        <f>IF($C34="","",_xlfn.LET(_xlpm.c,IFERROR(INDEX(rngEPcode,MATCH(cfgGradeSheetExam,IFERROR(rngEPseq+0,-1),0)),""),IF(COUNTIFS(nrES_PID,Cadets!$B29,nrES_Code,_xlpm.c,nrES_Final,"Yes",nrES_Rec,"&gt;=0")=0,"",SUMIFS(nrES_Rec,nrES_PID,Cadets!$B29,nrES_Code,_xlpm.c,nrES_Final,"Yes"))))</f>
        <v/>
      </c>
      <c r="H34" s="27">
        <f>IF(OR($C34="",$G34=""),"",IF($G34&gt;=IFERROR(INDEX(rngEPpass,MATCH(cfgGradeSheetExam,IFERROR(rngEPseq+0,-1),0)),cfgPassingScore),"Pass","FAIL"))</f>
        <v/>
      </c>
      <c r="I34" s="27">
        <f>IF($C34="","",_xlfn.LET(_xlpm.c,IFERROR(INDEX(rngEPcode,MATCH(cfgGradeSheetExam,IFERROR(rngEPseq+0,-1),0)),""),IF(COUNTIFS(nrES_PID,Cadets!$B29,nrES_Code,_xlpm.c,nrES_Att,2,nrES_Raw,"&gt;=0")&gt;0,"Retested","")))</f>
        <v/>
      </c>
      <c r="J34" s="27">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27">
        <f>IF(Cadets!$B30="","",ROW()-10)</f>
        <v/>
      </c>
      <c r="C35" s="26">
        <f>IF(Cadets!$B30="","",Cadets!$F30)</f>
        <v/>
      </c>
      <c r="D35" s="27">
        <f>IF($C35="","",Cadets!$B30)</f>
        <v/>
      </c>
      <c r="E35" s="27">
        <f>IF($C35="","",Cadets!$H30)</f>
        <v/>
      </c>
      <c r="F35" s="27">
        <f>IF($C35="","",_xlfn.LET(_xlpm.c,IFERROR(INDEX(rngEPcode,MATCH(cfgGradeSheetExam,IFERROR(rngEPseq+0,-1),0)),""),IF(COUNTIFS(nrES_PID,Cadets!$B30,nrES_Code,_xlpm.c,nrES_Att,1,nrES_Raw,"&gt;=0")=0,"",SUMIFS(nrES_Raw,nrES_PID,Cadets!$B30,nrES_Code,_xlpm.c,nrES_Att,1))))</f>
        <v/>
      </c>
      <c r="G35" s="27">
        <f>IF($C35="","",_xlfn.LET(_xlpm.c,IFERROR(INDEX(rngEPcode,MATCH(cfgGradeSheetExam,IFERROR(rngEPseq+0,-1),0)),""),IF(COUNTIFS(nrES_PID,Cadets!$B30,nrES_Code,_xlpm.c,nrES_Final,"Yes",nrES_Rec,"&gt;=0")=0,"",SUMIFS(nrES_Rec,nrES_PID,Cadets!$B30,nrES_Code,_xlpm.c,nrES_Final,"Yes"))))</f>
        <v/>
      </c>
      <c r="H35" s="27">
        <f>IF(OR($C35="",$G35=""),"",IF($G35&gt;=IFERROR(INDEX(rngEPpass,MATCH(cfgGradeSheetExam,IFERROR(rngEPseq+0,-1),0)),cfgPassingScore),"Pass","FAIL"))</f>
        <v/>
      </c>
      <c r="I35" s="27">
        <f>IF($C35="","",_xlfn.LET(_xlpm.c,IFERROR(INDEX(rngEPcode,MATCH(cfgGradeSheetExam,IFERROR(rngEPseq+0,-1),0)),""),IF(COUNTIFS(nrES_PID,Cadets!$B30,nrES_Code,_xlpm.c,nrES_Att,2,nrES_Raw,"&gt;=0")&gt;0,"Retested","")))</f>
        <v/>
      </c>
      <c r="J35" s="27">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27">
        <f>IF(Cadets!$B31="","",ROW()-10)</f>
        <v/>
      </c>
      <c r="C36" s="26">
        <f>IF(Cadets!$B31="","",Cadets!$F31)</f>
        <v/>
      </c>
      <c r="D36" s="27">
        <f>IF($C36="","",Cadets!$B31)</f>
        <v/>
      </c>
      <c r="E36" s="27">
        <f>IF($C36="","",Cadets!$H31)</f>
        <v/>
      </c>
      <c r="F36" s="27">
        <f>IF($C36="","",_xlfn.LET(_xlpm.c,IFERROR(INDEX(rngEPcode,MATCH(cfgGradeSheetExam,IFERROR(rngEPseq+0,-1),0)),""),IF(COUNTIFS(nrES_PID,Cadets!$B31,nrES_Code,_xlpm.c,nrES_Att,1,nrES_Raw,"&gt;=0")=0,"",SUMIFS(nrES_Raw,nrES_PID,Cadets!$B31,nrES_Code,_xlpm.c,nrES_Att,1))))</f>
        <v/>
      </c>
      <c r="G36" s="27">
        <f>IF($C36="","",_xlfn.LET(_xlpm.c,IFERROR(INDEX(rngEPcode,MATCH(cfgGradeSheetExam,IFERROR(rngEPseq+0,-1),0)),""),IF(COUNTIFS(nrES_PID,Cadets!$B31,nrES_Code,_xlpm.c,nrES_Final,"Yes",nrES_Rec,"&gt;=0")=0,"",SUMIFS(nrES_Rec,nrES_PID,Cadets!$B31,nrES_Code,_xlpm.c,nrES_Final,"Yes"))))</f>
        <v/>
      </c>
      <c r="H36" s="27">
        <f>IF(OR($C36="",$G36=""),"",IF($G36&gt;=IFERROR(INDEX(rngEPpass,MATCH(cfgGradeSheetExam,IFERROR(rngEPseq+0,-1),0)),cfgPassingScore),"Pass","FAIL"))</f>
        <v/>
      </c>
      <c r="I36" s="27">
        <f>IF($C36="","",_xlfn.LET(_xlpm.c,IFERROR(INDEX(rngEPcode,MATCH(cfgGradeSheetExam,IFERROR(rngEPseq+0,-1),0)),""),IF(COUNTIFS(nrES_PID,Cadets!$B31,nrES_Code,_xlpm.c,nrES_Att,2,nrES_Raw,"&gt;=0")&gt;0,"Retested","")))</f>
        <v/>
      </c>
      <c r="J36" s="27">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27">
        <f>IF(Cadets!$B32="","",ROW()-10)</f>
        <v/>
      </c>
      <c r="C37" s="26">
        <f>IF(Cadets!$B32="","",Cadets!$F32)</f>
        <v/>
      </c>
      <c r="D37" s="27">
        <f>IF($C37="","",Cadets!$B32)</f>
        <v/>
      </c>
      <c r="E37" s="27">
        <f>IF($C37="","",Cadets!$H32)</f>
        <v/>
      </c>
      <c r="F37" s="27">
        <f>IF($C37="","",_xlfn.LET(_xlpm.c,IFERROR(INDEX(rngEPcode,MATCH(cfgGradeSheetExam,IFERROR(rngEPseq+0,-1),0)),""),IF(COUNTIFS(nrES_PID,Cadets!$B32,nrES_Code,_xlpm.c,nrES_Att,1,nrES_Raw,"&gt;=0")=0,"",SUMIFS(nrES_Raw,nrES_PID,Cadets!$B32,nrES_Code,_xlpm.c,nrES_Att,1))))</f>
        <v/>
      </c>
      <c r="G37" s="27">
        <f>IF($C37="","",_xlfn.LET(_xlpm.c,IFERROR(INDEX(rngEPcode,MATCH(cfgGradeSheetExam,IFERROR(rngEPseq+0,-1),0)),""),IF(COUNTIFS(nrES_PID,Cadets!$B32,nrES_Code,_xlpm.c,nrES_Final,"Yes",nrES_Rec,"&gt;=0")=0,"",SUMIFS(nrES_Rec,nrES_PID,Cadets!$B32,nrES_Code,_xlpm.c,nrES_Final,"Yes"))))</f>
        <v/>
      </c>
      <c r="H37" s="27">
        <f>IF(OR($C37="",$G37=""),"",IF($G37&gt;=IFERROR(INDEX(rngEPpass,MATCH(cfgGradeSheetExam,IFERROR(rngEPseq+0,-1),0)),cfgPassingScore),"Pass","FAIL"))</f>
        <v/>
      </c>
      <c r="I37" s="27">
        <f>IF($C37="","",_xlfn.LET(_xlpm.c,IFERROR(INDEX(rngEPcode,MATCH(cfgGradeSheetExam,IFERROR(rngEPseq+0,-1),0)),""),IF(COUNTIFS(nrES_PID,Cadets!$B32,nrES_Code,_xlpm.c,nrES_Att,2,nrES_Raw,"&gt;=0")&gt;0,"Retested","")))</f>
        <v/>
      </c>
      <c r="J37" s="27">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27">
        <f>IF(Cadets!$B33="","",ROW()-10)</f>
        <v/>
      </c>
      <c r="C38" s="26">
        <f>IF(Cadets!$B33="","",Cadets!$F33)</f>
        <v/>
      </c>
      <c r="D38" s="27">
        <f>IF($C38="","",Cadets!$B33)</f>
        <v/>
      </c>
      <c r="E38" s="27">
        <f>IF($C38="","",Cadets!$H33)</f>
        <v/>
      </c>
      <c r="F38" s="27">
        <f>IF($C38="","",_xlfn.LET(_xlpm.c,IFERROR(INDEX(rngEPcode,MATCH(cfgGradeSheetExam,IFERROR(rngEPseq+0,-1),0)),""),IF(COUNTIFS(nrES_PID,Cadets!$B33,nrES_Code,_xlpm.c,nrES_Att,1,nrES_Raw,"&gt;=0")=0,"",SUMIFS(nrES_Raw,nrES_PID,Cadets!$B33,nrES_Code,_xlpm.c,nrES_Att,1))))</f>
        <v/>
      </c>
      <c r="G38" s="27">
        <f>IF($C38="","",_xlfn.LET(_xlpm.c,IFERROR(INDEX(rngEPcode,MATCH(cfgGradeSheetExam,IFERROR(rngEPseq+0,-1),0)),""),IF(COUNTIFS(nrES_PID,Cadets!$B33,nrES_Code,_xlpm.c,nrES_Final,"Yes",nrES_Rec,"&gt;=0")=0,"",SUMIFS(nrES_Rec,nrES_PID,Cadets!$B33,nrES_Code,_xlpm.c,nrES_Final,"Yes"))))</f>
        <v/>
      </c>
      <c r="H38" s="27">
        <f>IF(OR($C38="",$G38=""),"",IF($G38&gt;=IFERROR(INDEX(rngEPpass,MATCH(cfgGradeSheetExam,IFERROR(rngEPseq+0,-1),0)),cfgPassingScore),"Pass","FAIL"))</f>
        <v/>
      </c>
      <c r="I38" s="27">
        <f>IF($C38="","",_xlfn.LET(_xlpm.c,IFERROR(INDEX(rngEPcode,MATCH(cfgGradeSheetExam,IFERROR(rngEPseq+0,-1),0)),""),IF(COUNTIFS(nrES_PID,Cadets!$B33,nrES_Code,_xlpm.c,nrES_Att,2,nrES_Raw,"&gt;=0")&gt;0,"Retested","")))</f>
        <v/>
      </c>
      <c r="J38" s="27">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27">
        <f>IF(Cadets!$B34="","",ROW()-10)</f>
        <v/>
      </c>
      <c r="C39" s="26">
        <f>IF(Cadets!$B34="","",Cadets!$F34)</f>
        <v/>
      </c>
      <c r="D39" s="27">
        <f>IF($C39="","",Cadets!$B34)</f>
        <v/>
      </c>
      <c r="E39" s="27">
        <f>IF($C39="","",Cadets!$H34)</f>
        <v/>
      </c>
      <c r="F39" s="27">
        <f>IF($C39="","",_xlfn.LET(_xlpm.c,IFERROR(INDEX(rngEPcode,MATCH(cfgGradeSheetExam,IFERROR(rngEPseq+0,-1),0)),""),IF(COUNTIFS(nrES_PID,Cadets!$B34,nrES_Code,_xlpm.c,nrES_Att,1,nrES_Raw,"&gt;=0")=0,"",SUMIFS(nrES_Raw,nrES_PID,Cadets!$B34,nrES_Code,_xlpm.c,nrES_Att,1))))</f>
        <v/>
      </c>
      <c r="G39" s="27">
        <f>IF($C39="","",_xlfn.LET(_xlpm.c,IFERROR(INDEX(rngEPcode,MATCH(cfgGradeSheetExam,IFERROR(rngEPseq+0,-1),0)),""),IF(COUNTIFS(nrES_PID,Cadets!$B34,nrES_Code,_xlpm.c,nrES_Final,"Yes",nrES_Rec,"&gt;=0")=0,"",SUMIFS(nrES_Rec,nrES_PID,Cadets!$B34,nrES_Code,_xlpm.c,nrES_Final,"Yes"))))</f>
        <v/>
      </c>
      <c r="H39" s="27">
        <f>IF(OR($C39="",$G39=""),"",IF($G39&gt;=IFERROR(INDEX(rngEPpass,MATCH(cfgGradeSheetExam,IFERROR(rngEPseq+0,-1),0)),cfgPassingScore),"Pass","FAIL"))</f>
        <v/>
      </c>
      <c r="I39" s="27">
        <f>IF($C39="","",_xlfn.LET(_xlpm.c,IFERROR(INDEX(rngEPcode,MATCH(cfgGradeSheetExam,IFERROR(rngEPseq+0,-1),0)),""),IF(COUNTIFS(nrES_PID,Cadets!$B34,nrES_Code,_xlpm.c,nrES_Att,2,nrES_Raw,"&gt;=0")&gt;0,"Retested","")))</f>
        <v/>
      </c>
      <c r="J39" s="27">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27">
        <f>IF(Cadets!$B35="","",ROW()-10)</f>
        <v/>
      </c>
      <c r="C40" s="26">
        <f>IF(Cadets!$B35="","",Cadets!$F35)</f>
        <v/>
      </c>
      <c r="D40" s="27">
        <f>IF($C40="","",Cadets!$B35)</f>
        <v/>
      </c>
      <c r="E40" s="27">
        <f>IF($C40="","",Cadets!$H35)</f>
        <v/>
      </c>
      <c r="F40" s="27">
        <f>IF($C40="","",_xlfn.LET(_xlpm.c,IFERROR(INDEX(rngEPcode,MATCH(cfgGradeSheetExam,IFERROR(rngEPseq+0,-1),0)),""),IF(COUNTIFS(nrES_PID,Cadets!$B35,nrES_Code,_xlpm.c,nrES_Att,1,nrES_Raw,"&gt;=0")=0,"",SUMIFS(nrES_Raw,nrES_PID,Cadets!$B35,nrES_Code,_xlpm.c,nrES_Att,1))))</f>
        <v/>
      </c>
      <c r="G40" s="27">
        <f>IF($C40="","",_xlfn.LET(_xlpm.c,IFERROR(INDEX(rngEPcode,MATCH(cfgGradeSheetExam,IFERROR(rngEPseq+0,-1),0)),""),IF(COUNTIFS(nrES_PID,Cadets!$B35,nrES_Code,_xlpm.c,nrES_Final,"Yes",nrES_Rec,"&gt;=0")=0,"",SUMIFS(nrES_Rec,nrES_PID,Cadets!$B35,nrES_Code,_xlpm.c,nrES_Final,"Yes"))))</f>
        <v/>
      </c>
      <c r="H40" s="27">
        <f>IF(OR($C40="",$G40=""),"",IF($G40&gt;=IFERROR(INDEX(rngEPpass,MATCH(cfgGradeSheetExam,IFERROR(rngEPseq+0,-1),0)),cfgPassingScore),"Pass","FAIL"))</f>
        <v/>
      </c>
      <c r="I40" s="27">
        <f>IF($C40="","",_xlfn.LET(_xlpm.c,IFERROR(INDEX(rngEPcode,MATCH(cfgGradeSheetExam,IFERROR(rngEPseq+0,-1),0)),""),IF(COUNTIFS(nrES_PID,Cadets!$B35,nrES_Code,_xlpm.c,nrES_Att,2,nrES_Raw,"&gt;=0")&gt;0,"Retested","")))</f>
        <v/>
      </c>
      <c r="J40" s="27">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27">
        <f>IF(Cadets!$B36="","",ROW()-10)</f>
        <v/>
      </c>
      <c r="C41" s="26">
        <f>IF(Cadets!$B36="","",Cadets!$F36)</f>
        <v/>
      </c>
      <c r="D41" s="27">
        <f>IF($C41="","",Cadets!$B36)</f>
        <v/>
      </c>
      <c r="E41" s="27">
        <f>IF($C41="","",Cadets!$H36)</f>
        <v/>
      </c>
      <c r="F41" s="27">
        <f>IF($C41="","",_xlfn.LET(_xlpm.c,IFERROR(INDEX(rngEPcode,MATCH(cfgGradeSheetExam,IFERROR(rngEPseq+0,-1),0)),""),IF(COUNTIFS(nrES_PID,Cadets!$B36,nrES_Code,_xlpm.c,nrES_Att,1,nrES_Raw,"&gt;=0")=0,"",SUMIFS(nrES_Raw,nrES_PID,Cadets!$B36,nrES_Code,_xlpm.c,nrES_Att,1))))</f>
        <v/>
      </c>
      <c r="G41" s="27">
        <f>IF($C41="","",_xlfn.LET(_xlpm.c,IFERROR(INDEX(rngEPcode,MATCH(cfgGradeSheetExam,IFERROR(rngEPseq+0,-1),0)),""),IF(COUNTIFS(nrES_PID,Cadets!$B36,nrES_Code,_xlpm.c,nrES_Final,"Yes",nrES_Rec,"&gt;=0")=0,"",SUMIFS(nrES_Rec,nrES_PID,Cadets!$B36,nrES_Code,_xlpm.c,nrES_Final,"Yes"))))</f>
        <v/>
      </c>
      <c r="H41" s="27">
        <f>IF(OR($C41="",$G41=""),"",IF($G41&gt;=IFERROR(INDEX(rngEPpass,MATCH(cfgGradeSheetExam,IFERROR(rngEPseq+0,-1),0)),cfgPassingScore),"Pass","FAIL"))</f>
        <v/>
      </c>
      <c r="I41" s="27">
        <f>IF($C41="","",_xlfn.LET(_xlpm.c,IFERROR(INDEX(rngEPcode,MATCH(cfgGradeSheetExam,IFERROR(rngEPseq+0,-1),0)),""),IF(COUNTIFS(nrES_PID,Cadets!$B36,nrES_Code,_xlpm.c,nrES_Att,2,nrES_Raw,"&gt;=0")&gt;0,"Retested","")))</f>
        <v/>
      </c>
      <c r="J41" s="27">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27">
        <f>IF(Cadets!$B37="","",ROW()-10)</f>
        <v/>
      </c>
      <c r="C42" s="26">
        <f>IF(Cadets!$B37="","",Cadets!$F37)</f>
        <v/>
      </c>
      <c r="D42" s="27">
        <f>IF($C42="","",Cadets!$B37)</f>
        <v/>
      </c>
      <c r="E42" s="27">
        <f>IF($C42="","",Cadets!$H37)</f>
        <v/>
      </c>
      <c r="F42" s="27">
        <f>IF($C42="","",_xlfn.LET(_xlpm.c,IFERROR(INDEX(rngEPcode,MATCH(cfgGradeSheetExam,IFERROR(rngEPseq+0,-1),0)),""),IF(COUNTIFS(nrES_PID,Cadets!$B37,nrES_Code,_xlpm.c,nrES_Att,1,nrES_Raw,"&gt;=0")=0,"",SUMIFS(nrES_Raw,nrES_PID,Cadets!$B37,nrES_Code,_xlpm.c,nrES_Att,1))))</f>
        <v/>
      </c>
      <c r="G42" s="27">
        <f>IF($C42="","",_xlfn.LET(_xlpm.c,IFERROR(INDEX(rngEPcode,MATCH(cfgGradeSheetExam,IFERROR(rngEPseq+0,-1),0)),""),IF(COUNTIFS(nrES_PID,Cadets!$B37,nrES_Code,_xlpm.c,nrES_Final,"Yes",nrES_Rec,"&gt;=0")=0,"",SUMIFS(nrES_Rec,nrES_PID,Cadets!$B37,nrES_Code,_xlpm.c,nrES_Final,"Yes"))))</f>
        <v/>
      </c>
      <c r="H42" s="27">
        <f>IF(OR($C42="",$G42=""),"",IF($G42&gt;=IFERROR(INDEX(rngEPpass,MATCH(cfgGradeSheetExam,IFERROR(rngEPseq+0,-1),0)),cfgPassingScore),"Pass","FAIL"))</f>
        <v/>
      </c>
      <c r="I42" s="27">
        <f>IF($C42="","",_xlfn.LET(_xlpm.c,IFERROR(INDEX(rngEPcode,MATCH(cfgGradeSheetExam,IFERROR(rngEPseq+0,-1),0)),""),IF(COUNTIFS(nrES_PID,Cadets!$B37,nrES_Code,_xlpm.c,nrES_Att,2,nrES_Raw,"&gt;=0")&gt;0,"Retested","")))</f>
        <v/>
      </c>
      <c r="J42" s="27">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27">
        <f>IF(Cadets!$B38="","",ROW()-10)</f>
        <v/>
      </c>
      <c r="C43" s="26">
        <f>IF(Cadets!$B38="","",Cadets!$F38)</f>
        <v/>
      </c>
      <c r="D43" s="27">
        <f>IF($C43="","",Cadets!$B38)</f>
        <v/>
      </c>
      <c r="E43" s="27">
        <f>IF($C43="","",Cadets!$H38)</f>
        <v/>
      </c>
      <c r="F43" s="27">
        <f>IF($C43="","",_xlfn.LET(_xlpm.c,IFERROR(INDEX(rngEPcode,MATCH(cfgGradeSheetExam,IFERROR(rngEPseq+0,-1),0)),""),IF(COUNTIFS(nrES_PID,Cadets!$B38,nrES_Code,_xlpm.c,nrES_Att,1,nrES_Raw,"&gt;=0")=0,"",SUMIFS(nrES_Raw,nrES_PID,Cadets!$B38,nrES_Code,_xlpm.c,nrES_Att,1))))</f>
        <v/>
      </c>
      <c r="G43" s="27">
        <f>IF($C43="","",_xlfn.LET(_xlpm.c,IFERROR(INDEX(rngEPcode,MATCH(cfgGradeSheetExam,IFERROR(rngEPseq+0,-1),0)),""),IF(COUNTIFS(nrES_PID,Cadets!$B38,nrES_Code,_xlpm.c,nrES_Final,"Yes",nrES_Rec,"&gt;=0")=0,"",SUMIFS(nrES_Rec,nrES_PID,Cadets!$B38,nrES_Code,_xlpm.c,nrES_Final,"Yes"))))</f>
        <v/>
      </c>
      <c r="H43" s="27">
        <f>IF(OR($C43="",$G43=""),"",IF($G43&gt;=IFERROR(INDEX(rngEPpass,MATCH(cfgGradeSheetExam,IFERROR(rngEPseq+0,-1),0)),cfgPassingScore),"Pass","FAIL"))</f>
        <v/>
      </c>
      <c r="I43" s="27">
        <f>IF($C43="","",_xlfn.LET(_xlpm.c,IFERROR(INDEX(rngEPcode,MATCH(cfgGradeSheetExam,IFERROR(rngEPseq+0,-1),0)),""),IF(COUNTIFS(nrES_PID,Cadets!$B38,nrES_Code,_xlpm.c,nrES_Att,2,nrES_Raw,"&gt;=0")&gt;0,"Retested","")))</f>
        <v/>
      </c>
      <c r="J43" s="27">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27">
        <f>IF(Cadets!$B39="","",ROW()-10)</f>
        <v/>
      </c>
      <c r="C44" s="26">
        <f>IF(Cadets!$B39="","",Cadets!$F39)</f>
        <v/>
      </c>
      <c r="D44" s="27">
        <f>IF($C44="","",Cadets!$B39)</f>
        <v/>
      </c>
      <c r="E44" s="27">
        <f>IF($C44="","",Cadets!$H39)</f>
        <v/>
      </c>
      <c r="F44" s="27">
        <f>IF($C44="","",_xlfn.LET(_xlpm.c,IFERROR(INDEX(rngEPcode,MATCH(cfgGradeSheetExam,IFERROR(rngEPseq+0,-1),0)),""),IF(COUNTIFS(nrES_PID,Cadets!$B39,nrES_Code,_xlpm.c,nrES_Att,1,nrES_Raw,"&gt;=0")=0,"",SUMIFS(nrES_Raw,nrES_PID,Cadets!$B39,nrES_Code,_xlpm.c,nrES_Att,1))))</f>
        <v/>
      </c>
      <c r="G44" s="27">
        <f>IF($C44="","",_xlfn.LET(_xlpm.c,IFERROR(INDEX(rngEPcode,MATCH(cfgGradeSheetExam,IFERROR(rngEPseq+0,-1),0)),""),IF(COUNTIFS(nrES_PID,Cadets!$B39,nrES_Code,_xlpm.c,nrES_Final,"Yes",nrES_Rec,"&gt;=0")=0,"",SUMIFS(nrES_Rec,nrES_PID,Cadets!$B39,nrES_Code,_xlpm.c,nrES_Final,"Yes"))))</f>
        <v/>
      </c>
      <c r="H44" s="27">
        <f>IF(OR($C44="",$G44=""),"",IF($G44&gt;=IFERROR(INDEX(rngEPpass,MATCH(cfgGradeSheetExam,IFERROR(rngEPseq+0,-1),0)),cfgPassingScore),"Pass","FAIL"))</f>
        <v/>
      </c>
      <c r="I44" s="27">
        <f>IF($C44="","",_xlfn.LET(_xlpm.c,IFERROR(INDEX(rngEPcode,MATCH(cfgGradeSheetExam,IFERROR(rngEPseq+0,-1),0)),""),IF(COUNTIFS(nrES_PID,Cadets!$B39,nrES_Code,_xlpm.c,nrES_Att,2,nrES_Raw,"&gt;=0")&gt;0,"Retested","")))</f>
        <v/>
      </c>
      <c r="J44" s="27">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27">
        <f>IF(Cadets!$B40="","",ROW()-10)</f>
        <v/>
      </c>
      <c r="C45" s="26">
        <f>IF(Cadets!$B40="","",Cadets!$F40)</f>
        <v/>
      </c>
      <c r="D45" s="27">
        <f>IF($C45="","",Cadets!$B40)</f>
        <v/>
      </c>
      <c r="E45" s="27">
        <f>IF($C45="","",Cadets!$H40)</f>
        <v/>
      </c>
      <c r="F45" s="27">
        <f>IF($C45="","",_xlfn.LET(_xlpm.c,IFERROR(INDEX(rngEPcode,MATCH(cfgGradeSheetExam,IFERROR(rngEPseq+0,-1),0)),""),IF(COUNTIFS(nrES_PID,Cadets!$B40,nrES_Code,_xlpm.c,nrES_Att,1,nrES_Raw,"&gt;=0")=0,"",SUMIFS(nrES_Raw,nrES_PID,Cadets!$B40,nrES_Code,_xlpm.c,nrES_Att,1))))</f>
        <v/>
      </c>
      <c r="G45" s="27">
        <f>IF($C45="","",_xlfn.LET(_xlpm.c,IFERROR(INDEX(rngEPcode,MATCH(cfgGradeSheetExam,IFERROR(rngEPseq+0,-1),0)),""),IF(COUNTIFS(nrES_PID,Cadets!$B40,nrES_Code,_xlpm.c,nrES_Final,"Yes",nrES_Rec,"&gt;=0")=0,"",SUMIFS(nrES_Rec,nrES_PID,Cadets!$B40,nrES_Code,_xlpm.c,nrES_Final,"Yes"))))</f>
        <v/>
      </c>
      <c r="H45" s="27">
        <f>IF(OR($C45="",$G45=""),"",IF($G45&gt;=IFERROR(INDEX(rngEPpass,MATCH(cfgGradeSheetExam,IFERROR(rngEPseq+0,-1),0)),cfgPassingScore),"Pass","FAIL"))</f>
        <v/>
      </c>
      <c r="I45" s="27">
        <f>IF($C45="","",_xlfn.LET(_xlpm.c,IFERROR(INDEX(rngEPcode,MATCH(cfgGradeSheetExam,IFERROR(rngEPseq+0,-1),0)),""),IF(COUNTIFS(nrES_PID,Cadets!$B40,nrES_Code,_xlpm.c,nrES_Att,2,nrES_Raw,"&gt;=0")&gt;0,"Retested","")))</f>
        <v/>
      </c>
      <c r="J45" s="27">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27">
        <f>IF(Cadets!$B41="","",ROW()-10)</f>
        <v/>
      </c>
      <c r="C46" s="26">
        <f>IF(Cadets!$B41="","",Cadets!$F41)</f>
        <v/>
      </c>
      <c r="D46" s="27">
        <f>IF($C46="","",Cadets!$B41)</f>
        <v/>
      </c>
      <c r="E46" s="27">
        <f>IF($C46="","",Cadets!$H41)</f>
        <v/>
      </c>
      <c r="F46" s="27">
        <f>IF($C46="","",_xlfn.LET(_xlpm.c,IFERROR(INDEX(rngEPcode,MATCH(cfgGradeSheetExam,IFERROR(rngEPseq+0,-1),0)),""),IF(COUNTIFS(nrES_PID,Cadets!$B41,nrES_Code,_xlpm.c,nrES_Att,1,nrES_Raw,"&gt;=0")=0,"",SUMIFS(nrES_Raw,nrES_PID,Cadets!$B41,nrES_Code,_xlpm.c,nrES_Att,1))))</f>
        <v/>
      </c>
      <c r="G46" s="27">
        <f>IF($C46="","",_xlfn.LET(_xlpm.c,IFERROR(INDEX(rngEPcode,MATCH(cfgGradeSheetExam,IFERROR(rngEPseq+0,-1),0)),""),IF(COUNTIFS(nrES_PID,Cadets!$B41,nrES_Code,_xlpm.c,nrES_Final,"Yes",nrES_Rec,"&gt;=0")=0,"",SUMIFS(nrES_Rec,nrES_PID,Cadets!$B41,nrES_Code,_xlpm.c,nrES_Final,"Yes"))))</f>
        <v/>
      </c>
      <c r="H46" s="27">
        <f>IF(OR($C46="",$G46=""),"",IF($G46&gt;=IFERROR(INDEX(rngEPpass,MATCH(cfgGradeSheetExam,IFERROR(rngEPseq+0,-1),0)),cfgPassingScore),"Pass","FAIL"))</f>
        <v/>
      </c>
      <c r="I46" s="27">
        <f>IF($C46="","",_xlfn.LET(_xlpm.c,IFERROR(INDEX(rngEPcode,MATCH(cfgGradeSheetExam,IFERROR(rngEPseq+0,-1),0)),""),IF(COUNTIFS(nrES_PID,Cadets!$B41,nrES_Code,_xlpm.c,nrES_Att,2,nrES_Raw,"&gt;=0")&gt;0,"Retested","")))</f>
        <v/>
      </c>
      <c r="J46" s="27">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27">
        <f>IF(Cadets!$B42="","",ROW()-10)</f>
        <v/>
      </c>
      <c r="C47" s="26">
        <f>IF(Cadets!$B42="","",Cadets!$F42)</f>
        <v/>
      </c>
      <c r="D47" s="27">
        <f>IF($C47="","",Cadets!$B42)</f>
        <v/>
      </c>
      <c r="E47" s="27">
        <f>IF($C47="","",Cadets!$H42)</f>
        <v/>
      </c>
      <c r="F47" s="27">
        <f>IF($C47="","",_xlfn.LET(_xlpm.c,IFERROR(INDEX(rngEPcode,MATCH(cfgGradeSheetExam,IFERROR(rngEPseq+0,-1),0)),""),IF(COUNTIFS(nrES_PID,Cadets!$B42,nrES_Code,_xlpm.c,nrES_Att,1,nrES_Raw,"&gt;=0")=0,"",SUMIFS(nrES_Raw,nrES_PID,Cadets!$B42,nrES_Code,_xlpm.c,nrES_Att,1))))</f>
        <v/>
      </c>
      <c r="G47" s="27">
        <f>IF($C47="","",_xlfn.LET(_xlpm.c,IFERROR(INDEX(rngEPcode,MATCH(cfgGradeSheetExam,IFERROR(rngEPseq+0,-1),0)),""),IF(COUNTIFS(nrES_PID,Cadets!$B42,nrES_Code,_xlpm.c,nrES_Final,"Yes",nrES_Rec,"&gt;=0")=0,"",SUMIFS(nrES_Rec,nrES_PID,Cadets!$B42,nrES_Code,_xlpm.c,nrES_Final,"Yes"))))</f>
        <v/>
      </c>
      <c r="H47" s="27">
        <f>IF(OR($C47="",$G47=""),"",IF($G47&gt;=IFERROR(INDEX(rngEPpass,MATCH(cfgGradeSheetExam,IFERROR(rngEPseq+0,-1),0)),cfgPassingScore),"Pass","FAIL"))</f>
        <v/>
      </c>
      <c r="I47" s="27">
        <f>IF($C47="","",_xlfn.LET(_xlpm.c,IFERROR(INDEX(rngEPcode,MATCH(cfgGradeSheetExam,IFERROR(rngEPseq+0,-1),0)),""),IF(COUNTIFS(nrES_PID,Cadets!$B42,nrES_Code,_xlpm.c,nrES_Att,2,nrES_Raw,"&gt;=0")&gt;0,"Retested","")))</f>
        <v/>
      </c>
      <c r="J47" s="27">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27">
        <f>IF(Cadets!$B43="","",ROW()-10)</f>
        <v/>
      </c>
      <c r="C48" s="26">
        <f>IF(Cadets!$B43="","",Cadets!$F43)</f>
        <v/>
      </c>
      <c r="D48" s="27">
        <f>IF($C48="","",Cadets!$B43)</f>
        <v/>
      </c>
      <c r="E48" s="27">
        <f>IF($C48="","",Cadets!$H43)</f>
        <v/>
      </c>
      <c r="F48" s="27">
        <f>IF($C48="","",_xlfn.LET(_xlpm.c,IFERROR(INDEX(rngEPcode,MATCH(cfgGradeSheetExam,IFERROR(rngEPseq+0,-1),0)),""),IF(COUNTIFS(nrES_PID,Cadets!$B43,nrES_Code,_xlpm.c,nrES_Att,1,nrES_Raw,"&gt;=0")=0,"",SUMIFS(nrES_Raw,nrES_PID,Cadets!$B43,nrES_Code,_xlpm.c,nrES_Att,1))))</f>
        <v/>
      </c>
      <c r="G48" s="27">
        <f>IF($C48="","",_xlfn.LET(_xlpm.c,IFERROR(INDEX(rngEPcode,MATCH(cfgGradeSheetExam,IFERROR(rngEPseq+0,-1),0)),""),IF(COUNTIFS(nrES_PID,Cadets!$B43,nrES_Code,_xlpm.c,nrES_Final,"Yes",nrES_Rec,"&gt;=0")=0,"",SUMIFS(nrES_Rec,nrES_PID,Cadets!$B43,nrES_Code,_xlpm.c,nrES_Final,"Yes"))))</f>
        <v/>
      </c>
      <c r="H48" s="27">
        <f>IF(OR($C48="",$G48=""),"",IF($G48&gt;=IFERROR(INDEX(rngEPpass,MATCH(cfgGradeSheetExam,IFERROR(rngEPseq+0,-1),0)),cfgPassingScore),"Pass","FAIL"))</f>
        <v/>
      </c>
      <c r="I48" s="27">
        <f>IF($C48="","",_xlfn.LET(_xlpm.c,IFERROR(INDEX(rngEPcode,MATCH(cfgGradeSheetExam,IFERROR(rngEPseq+0,-1),0)),""),IF(COUNTIFS(nrES_PID,Cadets!$B43,nrES_Code,_xlpm.c,nrES_Att,2,nrES_Raw,"&gt;=0")&gt;0,"Retested","")))</f>
        <v/>
      </c>
      <c r="J48" s="27">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27">
        <f>IF(Cadets!$B44="","",ROW()-10)</f>
        <v/>
      </c>
      <c r="C49" s="26">
        <f>IF(Cadets!$B44="","",Cadets!$F44)</f>
        <v/>
      </c>
      <c r="D49" s="27">
        <f>IF($C49="","",Cadets!$B44)</f>
        <v/>
      </c>
      <c r="E49" s="27">
        <f>IF($C49="","",Cadets!$H44)</f>
        <v/>
      </c>
      <c r="F49" s="27">
        <f>IF($C49="","",_xlfn.LET(_xlpm.c,IFERROR(INDEX(rngEPcode,MATCH(cfgGradeSheetExam,IFERROR(rngEPseq+0,-1),0)),""),IF(COUNTIFS(nrES_PID,Cadets!$B44,nrES_Code,_xlpm.c,nrES_Att,1,nrES_Raw,"&gt;=0")=0,"",SUMIFS(nrES_Raw,nrES_PID,Cadets!$B44,nrES_Code,_xlpm.c,nrES_Att,1))))</f>
        <v/>
      </c>
      <c r="G49" s="27">
        <f>IF($C49="","",_xlfn.LET(_xlpm.c,IFERROR(INDEX(rngEPcode,MATCH(cfgGradeSheetExam,IFERROR(rngEPseq+0,-1),0)),""),IF(COUNTIFS(nrES_PID,Cadets!$B44,nrES_Code,_xlpm.c,nrES_Final,"Yes",nrES_Rec,"&gt;=0")=0,"",SUMIFS(nrES_Rec,nrES_PID,Cadets!$B44,nrES_Code,_xlpm.c,nrES_Final,"Yes"))))</f>
        <v/>
      </c>
      <c r="H49" s="27">
        <f>IF(OR($C49="",$G49=""),"",IF($G49&gt;=IFERROR(INDEX(rngEPpass,MATCH(cfgGradeSheetExam,IFERROR(rngEPseq+0,-1),0)),cfgPassingScore),"Pass","FAIL"))</f>
        <v/>
      </c>
      <c r="I49" s="27">
        <f>IF($C49="","",_xlfn.LET(_xlpm.c,IFERROR(INDEX(rngEPcode,MATCH(cfgGradeSheetExam,IFERROR(rngEPseq+0,-1),0)),""),IF(COUNTIFS(nrES_PID,Cadets!$B44,nrES_Code,_xlpm.c,nrES_Att,2,nrES_Raw,"&gt;=0")&gt;0,"Retested","")))</f>
        <v/>
      </c>
      <c r="J49" s="27">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27">
        <f>IF(Cadets!$B45="","",ROW()-10)</f>
        <v/>
      </c>
      <c r="C50" s="26">
        <f>IF(Cadets!$B45="","",Cadets!$F45)</f>
        <v/>
      </c>
      <c r="D50" s="27">
        <f>IF($C50="","",Cadets!$B45)</f>
        <v/>
      </c>
      <c r="E50" s="27">
        <f>IF($C50="","",Cadets!$H45)</f>
        <v/>
      </c>
      <c r="F50" s="27">
        <f>IF($C50="","",_xlfn.LET(_xlpm.c,IFERROR(INDEX(rngEPcode,MATCH(cfgGradeSheetExam,IFERROR(rngEPseq+0,-1),0)),""),IF(COUNTIFS(nrES_PID,Cadets!$B45,nrES_Code,_xlpm.c,nrES_Att,1,nrES_Raw,"&gt;=0")=0,"",SUMIFS(nrES_Raw,nrES_PID,Cadets!$B45,nrES_Code,_xlpm.c,nrES_Att,1))))</f>
        <v/>
      </c>
      <c r="G50" s="27">
        <f>IF($C50="","",_xlfn.LET(_xlpm.c,IFERROR(INDEX(rngEPcode,MATCH(cfgGradeSheetExam,IFERROR(rngEPseq+0,-1),0)),""),IF(COUNTIFS(nrES_PID,Cadets!$B45,nrES_Code,_xlpm.c,nrES_Final,"Yes",nrES_Rec,"&gt;=0")=0,"",SUMIFS(nrES_Rec,nrES_PID,Cadets!$B45,nrES_Code,_xlpm.c,nrES_Final,"Yes"))))</f>
        <v/>
      </c>
      <c r="H50" s="27">
        <f>IF(OR($C50="",$G50=""),"",IF($G50&gt;=IFERROR(INDEX(rngEPpass,MATCH(cfgGradeSheetExam,IFERROR(rngEPseq+0,-1),0)),cfgPassingScore),"Pass","FAIL"))</f>
        <v/>
      </c>
      <c r="I50" s="27">
        <f>IF($C50="","",_xlfn.LET(_xlpm.c,IFERROR(INDEX(rngEPcode,MATCH(cfgGradeSheetExam,IFERROR(rngEPseq+0,-1),0)),""),IF(COUNTIFS(nrES_PID,Cadets!$B45,nrES_Code,_xlpm.c,nrES_Att,2,nrES_Raw,"&gt;=0")&gt;0,"Retested","")))</f>
        <v/>
      </c>
      <c r="J50" s="27">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27">
        <f>IF(Cadets!$B46="","",ROW()-10)</f>
        <v/>
      </c>
      <c r="C51" s="26">
        <f>IF(Cadets!$B46="","",Cadets!$F46)</f>
        <v/>
      </c>
      <c r="D51" s="27">
        <f>IF($C51="","",Cadets!$B46)</f>
        <v/>
      </c>
      <c r="E51" s="27">
        <f>IF($C51="","",Cadets!$H46)</f>
        <v/>
      </c>
      <c r="F51" s="27">
        <f>IF($C51="","",_xlfn.LET(_xlpm.c,IFERROR(INDEX(rngEPcode,MATCH(cfgGradeSheetExam,IFERROR(rngEPseq+0,-1),0)),""),IF(COUNTIFS(nrES_PID,Cadets!$B46,nrES_Code,_xlpm.c,nrES_Att,1,nrES_Raw,"&gt;=0")=0,"",SUMIFS(nrES_Raw,nrES_PID,Cadets!$B46,nrES_Code,_xlpm.c,nrES_Att,1))))</f>
        <v/>
      </c>
      <c r="G51" s="27">
        <f>IF($C51="","",_xlfn.LET(_xlpm.c,IFERROR(INDEX(rngEPcode,MATCH(cfgGradeSheetExam,IFERROR(rngEPseq+0,-1),0)),""),IF(COUNTIFS(nrES_PID,Cadets!$B46,nrES_Code,_xlpm.c,nrES_Final,"Yes",nrES_Rec,"&gt;=0")=0,"",SUMIFS(nrES_Rec,nrES_PID,Cadets!$B46,nrES_Code,_xlpm.c,nrES_Final,"Yes"))))</f>
        <v/>
      </c>
      <c r="H51" s="27">
        <f>IF(OR($C51="",$G51=""),"",IF($G51&gt;=IFERROR(INDEX(rngEPpass,MATCH(cfgGradeSheetExam,IFERROR(rngEPseq+0,-1),0)),cfgPassingScore),"Pass","FAIL"))</f>
        <v/>
      </c>
      <c r="I51" s="27">
        <f>IF($C51="","",_xlfn.LET(_xlpm.c,IFERROR(INDEX(rngEPcode,MATCH(cfgGradeSheetExam,IFERROR(rngEPseq+0,-1),0)),""),IF(COUNTIFS(nrES_PID,Cadets!$B46,nrES_Code,_xlpm.c,nrES_Att,2,nrES_Raw,"&gt;=0")&gt;0,"Retested","")))</f>
        <v/>
      </c>
      <c r="J51" s="27">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27">
        <f>IF(Cadets!$B47="","",ROW()-10)</f>
        <v/>
      </c>
      <c r="C52" s="26">
        <f>IF(Cadets!$B47="","",Cadets!$F47)</f>
        <v/>
      </c>
      <c r="D52" s="27">
        <f>IF($C52="","",Cadets!$B47)</f>
        <v/>
      </c>
      <c r="E52" s="27">
        <f>IF($C52="","",Cadets!$H47)</f>
        <v/>
      </c>
      <c r="F52" s="27">
        <f>IF($C52="","",_xlfn.LET(_xlpm.c,IFERROR(INDEX(rngEPcode,MATCH(cfgGradeSheetExam,IFERROR(rngEPseq+0,-1),0)),""),IF(COUNTIFS(nrES_PID,Cadets!$B47,nrES_Code,_xlpm.c,nrES_Att,1,nrES_Raw,"&gt;=0")=0,"",SUMIFS(nrES_Raw,nrES_PID,Cadets!$B47,nrES_Code,_xlpm.c,nrES_Att,1))))</f>
        <v/>
      </c>
      <c r="G52" s="27">
        <f>IF($C52="","",_xlfn.LET(_xlpm.c,IFERROR(INDEX(rngEPcode,MATCH(cfgGradeSheetExam,IFERROR(rngEPseq+0,-1),0)),""),IF(COUNTIFS(nrES_PID,Cadets!$B47,nrES_Code,_xlpm.c,nrES_Final,"Yes",nrES_Rec,"&gt;=0")=0,"",SUMIFS(nrES_Rec,nrES_PID,Cadets!$B47,nrES_Code,_xlpm.c,nrES_Final,"Yes"))))</f>
        <v/>
      </c>
      <c r="H52" s="27">
        <f>IF(OR($C52="",$G52=""),"",IF($G52&gt;=IFERROR(INDEX(rngEPpass,MATCH(cfgGradeSheetExam,IFERROR(rngEPseq+0,-1),0)),cfgPassingScore),"Pass","FAIL"))</f>
        <v/>
      </c>
      <c r="I52" s="27">
        <f>IF($C52="","",_xlfn.LET(_xlpm.c,IFERROR(INDEX(rngEPcode,MATCH(cfgGradeSheetExam,IFERROR(rngEPseq+0,-1),0)),""),IF(COUNTIFS(nrES_PID,Cadets!$B47,nrES_Code,_xlpm.c,nrES_Att,2,nrES_Raw,"&gt;=0")&gt;0,"Retested","")))</f>
        <v/>
      </c>
      <c r="J52" s="27">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27">
        <f>IF(Cadets!$B48="","",ROW()-10)</f>
        <v/>
      </c>
      <c r="C53" s="26">
        <f>IF(Cadets!$B48="","",Cadets!$F48)</f>
        <v/>
      </c>
      <c r="D53" s="27">
        <f>IF($C53="","",Cadets!$B48)</f>
        <v/>
      </c>
      <c r="E53" s="27">
        <f>IF($C53="","",Cadets!$H48)</f>
        <v/>
      </c>
      <c r="F53" s="27">
        <f>IF($C53="","",_xlfn.LET(_xlpm.c,IFERROR(INDEX(rngEPcode,MATCH(cfgGradeSheetExam,IFERROR(rngEPseq+0,-1),0)),""),IF(COUNTIFS(nrES_PID,Cadets!$B48,nrES_Code,_xlpm.c,nrES_Att,1,nrES_Raw,"&gt;=0")=0,"",SUMIFS(nrES_Raw,nrES_PID,Cadets!$B48,nrES_Code,_xlpm.c,nrES_Att,1))))</f>
        <v/>
      </c>
      <c r="G53" s="27">
        <f>IF($C53="","",_xlfn.LET(_xlpm.c,IFERROR(INDEX(rngEPcode,MATCH(cfgGradeSheetExam,IFERROR(rngEPseq+0,-1),0)),""),IF(COUNTIFS(nrES_PID,Cadets!$B48,nrES_Code,_xlpm.c,nrES_Final,"Yes",nrES_Rec,"&gt;=0")=0,"",SUMIFS(nrES_Rec,nrES_PID,Cadets!$B48,nrES_Code,_xlpm.c,nrES_Final,"Yes"))))</f>
        <v/>
      </c>
      <c r="H53" s="27">
        <f>IF(OR($C53="",$G53=""),"",IF($G53&gt;=IFERROR(INDEX(rngEPpass,MATCH(cfgGradeSheetExam,IFERROR(rngEPseq+0,-1),0)),cfgPassingScore),"Pass","FAIL"))</f>
        <v/>
      </c>
      <c r="I53" s="27">
        <f>IF($C53="","",_xlfn.LET(_xlpm.c,IFERROR(INDEX(rngEPcode,MATCH(cfgGradeSheetExam,IFERROR(rngEPseq+0,-1),0)),""),IF(COUNTIFS(nrES_PID,Cadets!$B48,nrES_Code,_xlpm.c,nrES_Att,2,nrES_Raw,"&gt;=0")&gt;0,"Retested","")))</f>
        <v/>
      </c>
      <c r="J53" s="27">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27">
        <f>IF(Cadets!$B49="","",ROW()-10)</f>
        <v/>
      </c>
      <c r="C54" s="26">
        <f>IF(Cadets!$B49="","",Cadets!$F49)</f>
        <v/>
      </c>
      <c r="D54" s="27">
        <f>IF($C54="","",Cadets!$B49)</f>
        <v/>
      </c>
      <c r="E54" s="27">
        <f>IF($C54="","",Cadets!$H49)</f>
        <v/>
      </c>
      <c r="F54" s="27">
        <f>IF($C54="","",_xlfn.LET(_xlpm.c,IFERROR(INDEX(rngEPcode,MATCH(cfgGradeSheetExam,IFERROR(rngEPseq+0,-1),0)),""),IF(COUNTIFS(nrES_PID,Cadets!$B49,nrES_Code,_xlpm.c,nrES_Att,1,nrES_Raw,"&gt;=0")=0,"",SUMIFS(nrES_Raw,nrES_PID,Cadets!$B49,nrES_Code,_xlpm.c,nrES_Att,1))))</f>
        <v/>
      </c>
      <c r="G54" s="27">
        <f>IF($C54="","",_xlfn.LET(_xlpm.c,IFERROR(INDEX(rngEPcode,MATCH(cfgGradeSheetExam,IFERROR(rngEPseq+0,-1),0)),""),IF(COUNTIFS(nrES_PID,Cadets!$B49,nrES_Code,_xlpm.c,nrES_Final,"Yes",nrES_Rec,"&gt;=0")=0,"",SUMIFS(nrES_Rec,nrES_PID,Cadets!$B49,nrES_Code,_xlpm.c,nrES_Final,"Yes"))))</f>
        <v/>
      </c>
      <c r="H54" s="27">
        <f>IF(OR($C54="",$G54=""),"",IF($G54&gt;=IFERROR(INDEX(rngEPpass,MATCH(cfgGradeSheetExam,IFERROR(rngEPseq+0,-1),0)),cfgPassingScore),"Pass","FAIL"))</f>
        <v/>
      </c>
      <c r="I54" s="27">
        <f>IF($C54="","",_xlfn.LET(_xlpm.c,IFERROR(INDEX(rngEPcode,MATCH(cfgGradeSheetExam,IFERROR(rngEPseq+0,-1),0)),""),IF(COUNTIFS(nrES_PID,Cadets!$B49,nrES_Code,_xlpm.c,nrES_Att,2,nrES_Raw,"&gt;=0")&gt;0,"Retested","")))</f>
        <v/>
      </c>
      <c r="J54" s="27">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27">
        <f>IF(Cadets!$B50="","",ROW()-10)</f>
        <v/>
      </c>
      <c r="C55" s="26">
        <f>IF(Cadets!$B50="","",Cadets!$F50)</f>
        <v/>
      </c>
      <c r="D55" s="27">
        <f>IF($C55="","",Cadets!$B50)</f>
        <v/>
      </c>
      <c r="E55" s="27">
        <f>IF($C55="","",Cadets!$H50)</f>
        <v/>
      </c>
      <c r="F55" s="27">
        <f>IF($C55="","",_xlfn.LET(_xlpm.c,IFERROR(INDEX(rngEPcode,MATCH(cfgGradeSheetExam,IFERROR(rngEPseq+0,-1),0)),""),IF(COUNTIFS(nrES_PID,Cadets!$B50,nrES_Code,_xlpm.c,nrES_Att,1,nrES_Raw,"&gt;=0")=0,"",SUMIFS(nrES_Raw,nrES_PID,Cadets!$B50,nrES_Code,_xlpm.c,nrES_Att,1))))</f>
        <v/>
      </c>
      <c r="G55" s="27">
        <f>IF($C55="","",_xlfn.LET(_xlpm.c,IFERROR(INDEX(rngEPcode,MATCH(cfgGradeSheetExam,IFERROR(rngEPseq+0,-1),0)),""),IF(COUNTIFS(nrES_PID,Cadets!$B50,nrES_Code,_xlpm.c,nrES_Final,"Yes",nrES_Rec,"&gt;=0")=0,"",SUMIFS(nrES_Rec,nrES_PID,Cadets!$B50,nrES_Code,_xlpm.c,nrES_Final,"Yes"))))</f>
        <v/>
      </c>
      <c r="H55" s="27">
        <f>IF(OR($C55="",$G55=""),"",IF($G55&gt;=IFERROR(INDEX(rngEPpass,MATCH(cfgGradeSheetExam,IFERROR(rngEPseq+0,-1),0)),cfgPassingScore),"Pass","FAIL"))</f>
        <v/>
      </c>
      <c r="I55" s="27">
        <f>IF($C55="","",_xlfn.LET(_xlpm.c,IFERROR(INDEX(rngEPcode,MATCH(cfgGradeSheetExam,IFERROR(rngEPseq+0,-1),0)),""),IF(COUNTIFS(nrES_PID,Cadets!$B50,nrES_Code,_xlpm.c,nrES_Att,2,nrES_Raw,"&gt;=0")&gt;0,"Retested","")))</f>
        <v/>
      </c>
      <c r="J55" s="27">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27">
        <f>IF(Cadets!$B51="","",ROW()-10)</f>
        <v/>
      </c>
      <c r="C56" s="26">
        <f>IF(Cadets!$B51="","",Cadets!$F51)</f>
        <v/>
      </c>
      <c r="D56" s="27">
        <f>IF($C56="","",Cadets!$B51)</f>
        <v/>
      </c>
      <c r="E56" s="27">
        <f>IF($C56="","",Cadets!$H51)</f>
        <v/>
      </c>
      <c r="F56" s="27">
        <f>IF($C56="","",_xlfn.LET(_xlpm.c,IFERROR(INDEX(rngEPcode,MATCH(cfgGradeSheetExam,IFERROR(rngEPseq+0,-1),0)),""),IF(COUNTIFS(nrES_PID,Cadets!$B51,nrES_Code,_xlpm.c,nrES_Att,1,nrES_Raw,"&gt;=0")=0,"",SUMIFS(nrES_Raw,nrES_PID,Cadets!$B51,nrES_Code,_xlpm.c,nrES_Att,1))))</f>
        <v/>
      </c>
      <c r="G56" s="27">
        <f>IF($C56="","",_xlfn.LET(_xlpm.c,IFERROR(INDEX(rngEPcode,MATCH(cfgGradeSheetExam,IFERROR(rngEPseq+0,-1),0)),""),IF(COUNTIFS(nrES_PID,Cadets!$B51,nrES_Code,_xlpm.c,nrES_Final,"Yes",nrES_Rec,"&gt;=0")=0,"",SUMIFS(nrES_Rec,nrES_PID,Cadets!$B51,nrES_Code,_xlpm.c,nrES_Final,"Yes"))))</f>
        <v/>
      </c>
      <c r="H56" s="27">
        <f>IF(OR($C56="",$G56=""),"",IF($G56&gt;=IFERROR(INDEX(rngEPpass,MATCH(cfgGradeSheetExam,IFERROR(rngEPseq+0,-1),0)),cfgPassingScore),"Pass","FAIL"))</f>
        <v/>
      </c>
      <c r="I56" s="27">
        <f>IF($C56="","",_xlfn.LET(_xlpm.c,IFERROR(INDEX(rngEPcode,MATCH(cfgGradeSheetExam,IFERROR(rngEPseq+0,-1),0)),""),IF(COUNTIFS(nrES_PID,Cadets!$B51,nrES_Code,_xlpm.c,nrES_Att,2,nrES_Raw,"&gt;=0")&gt;0,"Retested","")))</f>
        <v/>
      </c>
      <c r="J56" s="27">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27">
        <f>IF(Cadets!$B52="","",ROW()-10)</f>
        <v/>
      </c>
      <c r="C57" s="26">
        <f>IF(Cadets!$B52="","",Cadets!$F52)</f>
        <v/>
      </c>
      <c r="D57" s="27">
        <f>IF($C57="","",Cadets!$B52)</f>
        <v/>
      </c>
      <c r="E57" s="27">
        <f>IF($C57="","",Cadets!$H52)</f>
        <v/>
      </c>
      <c r="F57" s="27">
        <f>IF($C57="","",_xlfn.LET(_xlpm.c,IFERROR(INDEX(rngEPcode,MATCH(cfgGradeSheetExam,IFERROR(rngEPseq+0,-1),0)),""),IF(COUNTIFS(nrES_PID,Cadets!$B52,nrES_Code,_xlpm.c,nrES_Att,1,nrES_Raw,"&gt;=0")=0,"",SUMIFS(nrES_Raw,nrES_PID,Cadets!$B52,nrES_Code,_xlpm.c,nrES_Att,1))))</f>
        <v/>
      </c>
      <c r="G57" s="27">
        <f>IF($C57="","",_xlfn.LET(_xlpm.c,IFERROR(INDEX(rngEPcode,MATCH(cfgGradeSheetExam,IFERROR(rngEPseq+0,-1),0)),""),IF(COUNTIFS(nrES_PID,Cadets!$B52,nrES_Code,_xlpm.c,nrES_Final,"Yes",nrES_Rec,"&gt;=0")=0,"",SUMIFS(nrES_Rec,nrES_PID,Cadets!$B52,nrES_Code,_xlpm.c,nrES_Final,"Yes"))))</f>
        <v/>
      </c>
      <c r="H57" s="27">
        <f>IF(OR($C57="",$G57=""),"",IF($G57&gt;=IFERROR(INDEX(rngEPpass,MATCH(cfgGradeSheetExam,IFERROR(rngEPseq+0,-1),0)),cfgPassingScore),"Pass","FAIL"))</f>
        <v/>
      </c>
      <c r="I57" s="27">
        <f>IF($C57="","",_xlfn.LET(_xlpm.c,IFERROR(INDEX(rngEPcode,MATCH(cfgGradeSheetExam,IFERROR(rngEPseq+0,-1),0)),""),IF(COUNTIFS(nrES_PID,Cadets!$B52,nrES_Code,_xlpm.c,nrES_Att,2,nrES_Raw,"&gt;=0")&gt;0,"Retested","")))</f>
        <v/>
      </c>
      <c r="J57" s="27">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27">
        <f>IF(Cadets!$B53="","",ROW()-10)</f>
        <v/>
      </c>
      <c r="C58" s="26">
        <f>IF(Cadets!$B53="","",Cadets!$F53)</f>
        <v/>
      </c>
      <c r="D58" s="27">
        <f>IF($C58="","",Cadets!$B53)</f>
        <v/>
      </c>
      <c r="E58" s="27">
        <f>IF($C58="","",Cadets!$H53)</f>
        <v/>
      </c>
      <c r="F58" s="27">
        <f>IF($C58="","",_xlfn.LET(_xlpm.c,IFERROR(INDEX(rngEPcode,MATCH(cfgGradeSheetExam,IFERROR(rngEPseq+0,-1),0)),""),IF(COUNTIFS(nrES_PID,Cadets!$B53,nrES_Code,_xlpm.c,nrES_Att,1,nrES_Raw,"&gt;=0")=0,"",SUMIFS(nrES_Raw,nrES_PID,Cadets!$B53,nrES_Code,_xlpm.c,nrES_Att,1))))</f>
        <v/>
      </c>
      <c r="G58" s="27">
        <f>IF($C58="","",_xlfn.LET(_xlpm.c,IFERROR(INDEX(rngEPcode,MATCH(cfgGradeSheetExam,IFERROR(rngEPseq+0,-1),0)),""),IF(COUNTIFS(nrES_PID,Cadets!$B53,nrES_Code,_xlpm.c,nrES_Final,"Yes",nrES_Rec,"&gt;=0")=0,"",SUMIFS(nrES_Rec,nrES_PID,Cadets!$B53,nrES_Code,_xlpm.c,nrES_Final,"Yes"))))</f>
        <v/>
      </c>
      <c r="H58" s="27">
        <f>IF(OR($C58="",$G58=""),"",IF($G58&gt;=IFERROR(INDEX(rngEPpass,MATCH(cfgGradeSheetExam,IFERROR(rngEPseq+0,-1),0)),cfgPassingScore),"Pass","FAIL"))</f>
        <v/>
      </c>
      <c r="I58" s="27">
        <f>IF($C58="","",_xlfn.LET(_xlpm.c,IFERROR(INDEX(rngEPcode,MATCH(cfgGradeSheetExam,IFERROR(rngEPseq+0,-1),0)),""),IF(COUNTIFS(nrES_PID,Cadets!$B53,nrES_Code,_xlpm.c,nrES_Att,2,nrES_Raw,"&gt;=0")&gt;0,"Retested","")))</f>
        <v/>
      </c>
      <c r="J58" s="27">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27">
        <f>IF(Cadets!$B54="","",ROW()-10)</f>
        <v/>
      </c>
      <c r="C59" s="26">
        <f>IF(Cadets!$B54="","",Cadets!$F54)</f>
        <v/>
      </c>
      <c r="D59" s="27">
        <f>IF($C59="","",Cadets!$B54)</f>
        <v/>
      </c>
      <c r="E59" s="27">
        <f>IF($C59="","",Cadets!$H54)</f>
        <v/>
      </c>
      <c r="F59" s="27">
        <f>IF($C59="","",_xlfn.LET(_xlpm.c,IFERROR(INDEX(rngEPcode,MATCH(cfgGradeSheetExam,IFERROR(rngEPseq+0,-1),0)),""),IF(COUNTIFS(nrES_PID,Cadets!$B54,nrES_Code,_xlpm.c,nrES_Att,1,nrES_Raw,"&gt;=0")=0,"",SUMIFS(nrES_Raw,nrES_PID,Cadets!$B54,nrES_Code,_xlpm.c,nrES_Att,1))))</f>
        <v/>
      </c>
      <c r="G59" s="27">
        <f>IF($C59="","",_xlfn.LET(_xlpm.c,IFERROR(INDEX(rngEPcode,MATCH(cfgGradeSheetExam,IFERROR(rngEPseq+0,-1),0)),""),IF(COUNTIFS(nrES_PID,Cadets!$B54,nrES_Code,_xlpm.c,nrES_Final,"Yes",nrES_Rec,"&gt;=0")=0,"",SUMIFS(nrES_Rec,nrES_PID,Cadets!$B54,nrES_Code,_xlpm.c,nrES_Final,"Yes"))))</f>
        <v/>
      </c>
      <c r="H59" s="27">
        <f>IF(OR($C59="",$G59=""),"",IF($G59&gt;=IFERROR(INDEX(rngEPpass,MATCH(cfgGradeSheetExam,IFERROR(rngEPseq+0,-1),0)),cfgPassingScore),"Pass","FAIL"))</f>
        <v/>
      </c>
      <c r="I59" s="27">
        <f>IF($C59="","",_xlfn.LET(_xlpm.c,IFERROR(INDEX(rngEPcode,MATCH(cfgGradeSheetExam,IFERROR(rngEPseq+0,-1),0)),""),IF(COUNTIFS(nrES_PID,Cadets!$B54,nrES_Code,_xlpm.c,nrES_Att,2,nrES_Raw,"&gt;=0")&gt;0,"Retested","")))</f>
        <v/>
      </c>
      <c r="J59" s="27">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27">
        <f>IF(Cadets!$B55="","",ROW()-10)</f>
        <v/>
      </c>
      <c r="C60" s="26">
        <f>IF(Cadets!$B55="","",Cadets!$F55)</f>
        <v/>
      </c>
      <c r="D60" s="27">
        <f>IF($C60="","",Cadets!$B55)</f>
        <v/>
      </c>
      <c r="E60" s="27">
        <f>IF($C60="","",Cadets!$H55)</f>
        <v/>
      </c>
      <c r="F60" s="27">
        <f>IF($C60="","",_xlfn.LET(_xlpm.c,IFERROR(INDEX(rngEPcode,MATCH(cfgGradeSheetExam,IFERROR(rngEPseq+0,-1),0)),""),IF(COUNTIFS(nrES_PID,Cadets!$B55,nrES_Code,_xlpm.c,nrES_Att,1,nrES_Raw,"&gt;=0")=0,"",SUMIFS(nrES_Raw,nrES_PID,Cadets!$B55,nrES_Code,_xlpm.c,nrES_Att,1))))</f>
        <v/>
      </c>
      <c r="G60" s="27">
        <f>IF($C60="","",_xlfn.LET(_xlpm.c,IFERROR(INDEX(rngEPcode,MATCH(cfgGradeSheetExam,IFERROR(rngEPseq+0,-1),0)),""),IF(COUNTIFS(nrES_PID,Cadets!$B55,nrES_Code,_xlpm.c,nrES_Final,"Yes",nrES_Rec,"&gt;=0")=0,"",SUMIFS(nrES_Rec,nrES_PID,Cadets!$B55,nrES_Code,_xlpm.c,nrES_Final,"Yes"))))</f>
        <v/>
      </c>
      <c r="H60" s="27">
        <f>IF(OR($C60="",$G60=""),"",IF($G60&gt;=IFERROR(INDEX(rngEPpass,MATCH(cfgGradeSheetExam,IFERROR(rngEPseq+0,-1),0)),cfgPassingScore),"Pass","FAIL"))</f>
        <v/>
      </c>
      <c r="I60" s="27">
        <f>IF($C60="","",_xlfn.LET(_xlpm.c,IFERROR(INDEX(rngEPcode,MATCH(cfgGradeSheetExam,IFERROR(rngEPseq+0,-1),0)),""),IF(COUNTIFS(nrES_PID,Cadets!$B55,nrES_Code,_xlpm.c,nrES_Att,2,nrES_Raw,"&gt;=0")&gt;0,"Retested","")))</f>
        <v/>
      </c>
      <c r="J60" s="27">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0">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30"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7">
        <f>IF(C24="","",COUNTIF($C$24:C24,"?*"))</f>
        <v/>
      </c>
      <c r="C24" s="26">
        <f>IF(Cadets!$B6="","",IF(Cadets!$I6&lt;&gt;"Active","",Cadets!$F6))</f>
        <v/>
      </c>
      <c r="D24" s="26">
        <f>IF(C24="","",Cadets!$B6)</f>
        <v/>
      </c>
      <c r="E24" s="26">
        <f>IF(C24="","",Cadets!$H6)</f>
        <v/>
      </c>
      <c r="F24" s="31" t="n"/>
      <c r="G24" s="31" t="n"/>
      <c r="H24" s="31" t="n"/>
    </row>
    <row r="25" ht="20" customHeight="1">
      <c r="B25" s="27">
        <f>IF(C25="","",COUNTIF($C$24:C25,"?*"))</f>
        <v/>
      </c>
      <c r="C25" s="26">
        <f>IF(Cadets!$B7="","",IF(Cadets!$I7&lt;&gt;"Active","",Cadets!$F7))</f>
        <v/>
      </c>
      <c r="D25" s="26">
        <f>IF(C25="","",Cadets!$B7)</f>
        <v/>
      </c>
      <c r="E25" s="26">
        <f>IF(C25="","",Cadets!$H7)</f>
        <v/>
      </c>
      <c r="F25" s="31" t="n"/>
      <c r="G25" s="31" t="n"/>
      <c r="H25" s="31" t="n"/>
    </row>
    <row r="26" ht="20" customHeight="1">
      <c r="B26" s="27">
        <f>IF(C26="","",COUNTIF($C$24:C26,"?*"))</f>
        <v/>
      </c>
      <c r="C26" s="26">
        <f>IF(Cadets!$B8="","",IF(Cadets!$I8&lt;&gt;"Active","",Cadets!$F8))</f>
        <v/>
      </c>
      <c r="D26" s="26">
        <f>IF(C26="","",Cadets!$B8)</f>
        <v/>
      </c>
      <c r="E26" s="26">
        <f>IF(C26="","",Cadets!$H8)</f>
        <v/>
      </c>
      <c r="F26" s="31" t="n"/>
      <c r="G26" s="31" t="n"/>
      <c r="H26" s="31" t="n"/>
    </row>
    <row r="27" ht="20" customHeight="1">
      <c r="B27" s="27">
        <f>IF(C27="","",COUNTIF($C$24:C27,"?*"))</f>
        <v/>
      </c>
      <c r="C27" s="26">
        <f>IF(Cadets!$B9="","",IF(Cadets!$I9&lt;&gt;"Active","",Cadets!$F9))</f>
        <v/>
      </c>
      <c r="D27" s="26">
        <f>IF(C27="","",Cadets!$B9)</f>
        <v/>
      </c>
      <c r="E27" s="26">
        <f>IF(C27="","",Cadets!$H9)</f>
        <v/>
      </c>
      <c r="F27" s="31" t="n"/>
      <c r="G27" s="31" t="n"/>
      <c r="H27" s="31" t="n"/>
    </row>
    <row r="28" ht="20" customHeight="1">
      <c r="B28" s="27">
        <f>IF(C28="","",COUNTIF($C$24:C28,"?*"))</f>
        <v/>
      </c>
      <c r="C28" s="26">
        <f>IF(Cadets!$B10="","",IF(Cadets!$I10&lt;&gt;"Active","",Cadets!$F10))</f>
        <v/>
      </c>
      <c r="D28" s="26">
        <f>IF(C28="","",Cadets!$B10)</f>
        <v/>
      </c>
      <c r="E28" s="26">
        <f>IF(C28="","",Cadets!$H10)</f>
        <v/>
      </c>
      <c r="F28" s="31" t="n"/>
      <c r="G28" s="31" t="n"/>
      <c r="H28" s="31" t="n"/>
    </row>
    <row r="29" ht="20" customHeight="1">
      <c r="B29" s="27">
        <f>IF(C29="","",COUNTIF($C$24:C29,"?*"))</f>
        <v/>
      </c>
      <c r="C29" s="26">
        <f>IF(Cadets!$B11="","",IF(Cadets!$I11&lt;&gt;"Active","",Cadets!$F11))</f>
        <v/>
      </c>
      <c r="D29" s="26">
        <f>IF(C29="","",Cadets!$B11)</f>
        <v/>
      </c>
      <c r="E29" s="26">
        <f>IF(C29="","",Cadets!$H11)</f>
        <v/>
      </c>
      <c r="F29" s="31" t="n"/>
      <c r="G29" s="31" t="n"/>
      <c r="H29" s="31" t="n"/>
    </row>
    <row r="30" ht="20" customHeight="1">
      <c r="B30" s="27">
        <f>IF(C30="","",COUNTIF($C$24:C30,"?*"))</f>
        <v/>
      </c>
      <c r="C30" s="26">
        <f>IF(Cadets!$B12="","",IF(Cadets!$I12&lt;&gt;"Active","",Cadets!$F12))</f>
        <v/>
      </c>
      <c r="D30" s="26">
        <f>IF(C30="","",Cadets!$B12)</f>
        <v/>
      </c>
      <c r="E30" s="26">
        <f>IF(C30="","",Cadets!$H12)</f>
        <v/>
      </c>
      <c r="F30" s="31" t="n"/>
      <c r="G30" s="31" t="n"/>
      <c r="H30" s="31" t="n"/>
    </row>
    <row r="31" ht="20" customHeight="1">
      <c r="B31" s="27">
        <f>IF(C31="","",COUNTIF($C$24:C31,"?*"))</f>
        <v/>
      </c>
      <c r="C31" s="26">
        <f>IF(Cadets!$B13="","",IF(Cadets!$I13&lt;&gt;"Active","",Cadets!$F13))</f>
        <v/>
      </c>
      <c r="D31" s="26">
        <f>IF(C31="","",Cadets!$B13)</f>
        <v/>
      </c>
      <c r="E31" s="26">
        <f>IF(C31="","",Cadets!$H13)</f>
        <v/>
      </c>
      <c r="F31" s="31" t="n"/>
      <c r="G31" s="31" t="n"/>
      <c r="H31" s="31" t="n"/>
    </row>
    <row r="32" ht="20" customHeight="1">
      <c r="B32" s="27">
        <f>IF(C32="","",COUNTIF($C$24:C32,"?*"))</f>
        <v/>
      </c>
      <c r="C32" s="26">
        <f>IF(Cadets!$B14="","",IF(Cadets!$I14&lt;&gt;"Active","",Cadets!$F14))</f>
        <v/>
      </c>
      <c r="D32" s="26">
        <f>IF(C32="","",Cadets!$B14)</f>
        <v/>
      </c>
      <c r="E32" s="26">
        <f>IF(C32="","",Cadets!$H14)</f>
        <v/>
      </c>
      <c r="F32" s="31" t="n"/>
      <c r="G32" s="31" t="n"/>
      <c r="H32" s="31" t="n"/>
    </row>
    <row r="33" ht="20" customHeight="1">
      <c r="B33" s="27">
        <f>IF(C33="","",COUNTIF($C$24:C33,"?*"))</f>
        <v/>
      </c>
      <c r="C33" s="26">
        <f>IF(Cadets!$B15="","",IF(Cadets!$I15&lt;&gt;"Active","",Cadets!$F15))</f>
        <v/>
      </c>
      <c r="D33" s="26">
        <f>IF(C33="","",Cadets!$B15)</f>
        <v/>
      </c>
      <c r="E33" s="26">
        <f>IF(C33="","",Cadets!$H15)</f>
        <v/>
      </c>
      <c r="F33" s="31" t="n"/>
      <c r="G33" s="31" t="n"/>
      <c r="H33" s="31" t="n"/>
    </row>
    <row r="34" ht="20" customHeight="1">
      <c r="B34" s="27">
        <f>IF(C34="","",COUNTIF($C$24:C34,"?*"))</f>
        <v/>
      </c>
      <c r="C34" s="26">
        <f>IF(Cadets!$B16="","",IF(Cadets!$I16&lt;&gt;"Active","",Cadets!$F16))</f>
        <v/>
      </c>
      <c r="D34" s="26">
        <f>IF(C34="","",Cadets!$B16)</f>
        <v/>
      </c>
      <c r="E34" s="26">
        <f>IF(C34="","",Cadets!$H16)</f>
        <v/>
      </c>
      <c r="F34" s="31" t="n"/>
      <c r="G34" s="31" t="n"/>
      <c r="H34" s="31" t="n"/>
    </row>
    <row r="35" ht="20" customHeight="1">
      <c r="B35" s="27">
        <f>IF(C35="","",COUNTIF($C$24:C35,"?*"))</f>
        <v/>
      </c>
      <c r="C35" s="26">
        <f>IF(Cadets!$B17="","",IF(Cadets!$I17&lt;&gt;"Active","",Cadets!$F17))</f>
        <v/>
      </c>
      <c r="D35" s="26">
        <f>IF(C35="","",Cadets!$B17)</f>
        <v/>
      </c>
      <c r="E35" s="26">
        <f>IF(C35="","",Cadets!$H17)</f>
        <v/>
      </c>
      <c r="F35" s="31" t="n"/>
      <c r="G35" s="31" t="n"/>
      <c r="H35" s="31" t="n"/>
    </row>
    <row r="36" ht="20" customHeight="1">
      <c r="B36" s="27">
        <f>IF(C36="","",COUNTIF($C$24:C36,"?*"))</f>
        <v/>
      </c>
      <c r="C36" s="26">
        <f>IF(Cadets!$B18="","",IF(Cadets!$I18&lt;&gt;"Active","",Cadets!$F18))</f>
        <v/>
      </c>
      <c r="D36" s="26">
        <f>IF(C36="","",Cadets!$B18)</f>
        <v/>
      </c>
      <c r="E36" s="26">
        <f>IF(C36="","",Cadets!$H18)</f>
        <v/>
      </c>
      <c r="F36" s="31" t="n"/>
      <c r="G36" s="31" t="n"/>
      <c r="H36" s="31" t="n"/>
    </row>
    <row r="37" ht="20" customHeight="1">
      <c r="B37" s="27">
        <f>IF(C37="","",COUNTIF($C$24:C37,"?*"))</f>
        <v/>
      </c>
      <c r="C37" s="26">
        <f>IF(Cadets!$B19="","",IF(Cadets!$I19&lt;&gt;"Active","",Cadets!$F19))</f>
        <v/>
      </c>
      <c r="D37" s="26">
        <f>IF(C37="","",Cadets!$B19)</f>
        <v/>
      </c>
      <c r="E37" s="26">
        <f>IF(C37="","",Cadets!$H19)</f>
        <v/>
      </c>
      <c r="F37" s="31" t="n"/>
      <c r="G37" s="31" t="n"/>
      <c r="H37" s="31" t="n"/>
    </row>
    <row r="38" ht="20" customHeight="1">
      <c r="B38" s="27">
        <f>IF(C38="","",COUNTIF($C$24:C38,"?*"))</f>
        <v/>
      </c>
      <c r="C38" s="26">
        <f>IF(Cadets!$B20="","",IF(Cadets!$I20&lt;&gt;"Active","",Cadets!$F20))</f>
        <v/>
      </c>
      <c r="D38" s="26">
        <f>IF(C38="","",Cadets!$B20)</f>
        <v/>
      </c>
      <c r="E38" s="26">
        <f>IF(C38="","",Cadets!$H20)</f>
        <v/>
      </c>
      <c r="F38" s="31" t="n"/>
      <c r="G38" s="31" t="n"/>
      <c r="H38" s="31" t="n"/>
    </row>
    <row r="39" ht="20" customHeight="1">
      <c r="B39" s="27">
        <f>IF(C39="","",COUNTIF($C$24:C39,"?*"))</f>
        <v/>
      </c>
      <c r="C39" s="26">
        <f>IF(Cadets!$B21="","",IF(Cadets!$I21&lt;&gt;"Active","",Cadets!$F21))</f>
        <v/>
      </c>
      <c r="D39" s="26">
        <f>IF(C39="","",Cadets!$B21)</f>
        <v/>
      </c>
      <c r="E39" s="26">
        <f>IF(C39="","",Cadets!$H21)</f>
        <v/>
      </c>
      <c r="F39" s="31" t="n"/>
      <c r="G39" s="31" t="n"/>
      <c r="H39" s="31" t="n"/>
    </row>
    <row r="40" ht="20" customHeight="1">
      <c r="B40" s="27">
        <f>IF(C40="","",COUNTIF($C$24:C40,"?*"))</f>
        <v/>
      </c>
      <c r="C40" s="26">
        <f>IF(Cadets!$B22="","",IF(Cadets!$I22&lt;&gt;"Active","",Cadets!$F22))</f>
        <v/>
      </c>
      <c r="D40" s="26">
        <f>IF(C40="","",Cadets!$B22)</f>
        <v/>
      </c>
      <c r="E40" s="26">
        <f>IF(C40="","",Cadets!$H22)</f>
        <v/>
      </c>
      <c r="F40" s="31" t="n"/>
      <c r="G40" s="31" t="n"/>
      <c r="H40" s="31" t="n"/>
    </row>
    <row r="41" ht="20" customHeight="1">
      <c r="B41" s="27">
        <f>IF(C41="","",COUNTIF($C$24:C41,"?*"))</f>
        <v/>
      </c>
      <c r="C41" s="26">
        <f>IF(Cadets!$B23="","",IF(Cadets!$I23&lt;&gt;"Active","",Cadets!$F23))</f>
        <v/>
      </c>
      <c r="D41" s="26">
        <f>IF(C41="","",Cadets!$B23)</f>
        <v/>
      </c>
      <c r="E41" s="26">
        <f>IF(C41="","",Cadets!$H23)</f>
        <v/>
      </c>
      <c r="F41" s="31" t="n"/>
      <c r="G41" s="31" t="n"/>
      <c r="H41" s="31" t="n"/>
    </row>
    <row r="42" ht="20" customHeight="1">
      <c r="B42" s="27">
        <f>IF(C42="","",COUNTIF($C$24:C42,"?*"))</f>
        <v/>
      </c>
      <c r="C42" s="26">
        <f>IF(Cadets!$B24="","",IF(Cadets!$I24&lt;&gt;"Active","",Cadets!$F24))</f>
        <v/>
      </c>
      <c r="D42" s="26">
        <f>IF(C42="","",Cadets!$B24)</f>
        <v/>
      </c>
      <c r="E42" s="26">
        <f>IF(C42="","",Cadets!$H24)</f>
        <v/>
      </c>
      <c r="F42" s="31" t="n"/>
      <c r="G42" s="31" t="n"/>
      <c r="H42" s="31" t="n"/>
    </row>
    <row r="43" ht="20" customHeight="1">
      <c r="B43" s="27">
        <f>IF(C43="","",COUNTIF($C$24:C43,"?*"))</f>
        <v/>
      </c>
      <c r="C43" s="26">
        <f>IF(Cadets!$B25="","",IF(Cadets!$I25&lt;&gt;"Active","",Cadets!$F25))</f>
        <v/>
      </c>
      <c r="D43" s="26">
        <f>IF(C43="","",Cadets!$B25)</f>
        <v/>
      </c>
      <c r="E43" s="26">
        <f>IF(C43="","",Cadets!$H25)</f>
        <v/>
      </c>
      <c r="F43" s="31" t="n"/>
      <c r="G43" s="31" t="n"/>
      <c r="H43" s="31" t="n"/>
    </row>
    <row r="44" ht="20" customHeight="1">
      <c r="B44" s="27">
        <f>IF(C44="","",COUNTIF($C$24:C44,"?*"))</f>
        <v/>
      </c>
      <c r="C44" s="26">
        <f>IF(Cadets!$B26="","",IF(Cadets!$I26&lt;&gt;"Active","",Cadets!$F26))</f>
        <v/>
      </c>
      <c r="D44" s="26">
        <f>IF(C44="","",Cadets!$B26)</f>
        <v/>
      </c>
      <c r="E44" s="26">
        <f>IF(C44="","",Cadets!$H26)</f>
        <v/>
      </c>
      <c r="F44" s="31" t="n"/>
      <c r="G44" s="31" t="n"/>
      <c r="H44" s="31" t="n"/>
    </row>
    <row r="45" ht="20" customHeight="1">
      <c r="B45" s="27">
        <f>IF(C45="","",COUNTIF($C$24:C45,"?*"))</f>
        <v/>
      </c>
      <c r="C45" s="26">
        <f>IF(Cadets!$B27="","",IF(Cadets!$I27&lt;&gt;"Active","",Cadets!$F27))</f>
        <v/>
      </c>
      <c r="D45" s="26">
        <f>IF(C45="","",Cadets!$B27)</f>
        <v/>
      </c>
      <c r="E45" s="26">
        <f>IF(C45="","",Cadets!$H27)</f>
        <v/>
      </c>
      <c r="F45" s="31" t="n"/>
      <c r="G45" s="31" t="n"/>
      <c r="H45" s="31" t="n"/>
    </row>
    <row r="46" ht="20" customHeight="1">
      <c r="B46" s="27">
        <f>IF(C46="","",COUNTIF($C$24:C46,"?*"))</f>
        <v/>
      </c>
      <c r="C46" s="26">
        <f>IF(Cadets!$B28="","",IF(Cadets!$I28&lt;&gt;"Active","",Cadets!$F28))</f>
        <v/>
      </c>
      <c r="D46" s="26">
        <f>IF(C46="","",Cadets!$B28)</f>
        <v/>
      </c>
      <c r="E46" s="26">
        <f>IF(C46="","",Cadets!$H28)</f>
        <v/>
      </c>
      <c r="F46" s="31" t="n"/>
      <c r="G46" s="31" t="n"/>
      <c r="H46" s="31" t="n"/>
    </row>
    <row r="47" ht="20" customHeight="1">
      <c r="B47" s="27">
        <f>IF(C47="","",COUNTIF($C$24:C47,"?*"))</f>
        <v/>
      </c>
      <c r="C47" s="26">
        <f>IF(Cadets!$B29="","",IF(Cadets!$I29&lt;&gt;"Active","",Cadets!$F29))</f>
        <v/>
      </c>
      <c r="D47" s="26">
        <f>IF(C47="","",Cadets!$B29)</f>
        <v/>
      </c>
      <c r="E47" s="26">
        <f>IF(C47="","",Cadets!$H29)</f>
        <v/>
      </c>
      <c r="F47" s="31" t="n"/>
      <c r="G47" s="31" t="n"/>
      <c r="H47" s="31" t="n"/>
    </row>
    <row r="48" ht="20" customHeight="1">
      <c r="B48" s="27">
        <f>IF(C48="","",COUNTIF($C$24:C48,"?*"))</f>
        <v/>
      </c>
      <c r="C48" s="26">
        <f>IF(Cadets!$B30="","",IF(Cadets!$I30&lt;&gt;"Active","",Cadets!$F30))</f>
        <v/>
      </c>
      <c r="D48" s="26">
        <f>IF(C48="","",Cadets!$B30)</f>
        <v/>
      </c>
      <c r="E48" s="26">
        <f>IF(C48="","",Cadets!$H30)</f>
        <v/>
      </c>
      <c r="F48" s="31" t="n"/>
      <c r="G48" s="31" t="n"/>
      <c r="H48" s="31" t="n"/>
    </row>
    <row r="49" ht="20" customHeight="1">
      <c r="B49" s="27">
        <f>IF(C49="","",COUNTIF($C$24:C49,"?*"))</f>
        <v/>
      </c>
      <c r="C49" s="26">
        <f>IF(Cadets!$B31="","",IF(Cadets!$I31&lt;&gt;"Active","",Cadets!$F31))</f>
        <v/>
      </c>
      <c r="D49" s="26">
        <f>IF(C49="","",Cadets!$B31)</f>
        <v/>
      </c>
      <c r="E49" s="26">
        <f>IF(C49="","",Cadets!$H31)</f>
        <v/>
      </c>
      <c r="F49" s="31" t="n"/>
      <c r="G49" s="31" t="n"/>
      <c r="H49" s="31" t="n"/>
    </row>
    <row r="50" ht="20" customHeight="1">
      <c r="B50" s="27">
        <f>IF(C50="","",COUNTIF($C$24:C50,"?*"))</f>
        <v/>
      </c>
      <c r="C50" s="26">
        <f>IF(Cadets!$B32="","",IF(Cadets!$I32&lt;&gt;"Active","",Cadets!$F32))</f>
        <v/>
      </c>
      <c r="D50" s="26">
        <f>IF(C50="","",Cadets!$B32)</f>
        <v/>
      </c>
      <c r="E50" s="26">
        <f>IF(C50="","",Cadets!$H32)</f>
        <v/>
      </c>
      <c r="F50" s="31" t="n"/>
      <c r="G50" s="31" t="n"/>
      <c r="H50" s="31" t="n"/>
    </row>
    <row r="51" ht="20" customHeight="1">
      <c r="B51" s="27">
        <f>IF(C51="","",COUNTIF($C$24:C51,"?*"))</f>
        <v/>
      </c>
      <c r="C51" s="26">
        <f>IF(Cadets!$B33="","",IF(Cadets!$I33&lt;&gt;"Active","",Cadets!$F33))</f>
        <v/>
      </c>
      <c r="D51" s="26">
        <f>IF(C51="","",Cadets!$B33)</f>
        <v/>
      </c>
      <c r="E51" s="26">
        <f>IF(C51="","",Cadets!$H33)</f>
        <v/>
      </c>
      <c r="F51" s="31" t="n"/>
      <c r="G51" s="31" t="n"/>
      <c r="H51" s="31" t="n"/>
    </row>
    <row r="52" ht="20" customHeight="1">
      <c r="B52" s="27">
        <f>IF(C52="","",COUNTIF($C$24:C52,"?*"))</f>
        <v/>
      </c>
      <c r="C52" s="26">
        <f>IF(Cadets!$B34="","",IF(Cadets!$I34&lt;&gt;"Active","",Cadets!$F34))</f>
        <v/>
      </c>
      <c r="D52" s="26">
        <f>IF(C52="","",Cadets!$B34)</f>
        <v/>
      </c>
      <c r="E52" s="26">
        <f>IF(C52="","",Cadets!$H34)</f>
        <v/>
      </c>
      <c r="F52" s="31" t="n"/>
      <c r="G52" s="31" t="n"/>
      <c r="H52" s="31" t="n"/>
    </row>
    <row r="53" ht="20" customHeight="1">
      <c r="B53" s="27">
        <f>IF(C53="","",COUNTIF($C$24:C53,"?*"))</f>
        <v/>
      </c>
      <c r="C53" s="26">
        <f>IF(Cadets!$B35="","",IF(Cadets!$I35&lt;&gt;"Active","",Cadets!$F35))</f>
        <v/>
      </c>
      <c r="D53" s="26">
        <f>IF(C53="","",Cadets!$B35)</f>
        <v/>
      </c>
      <c r="E53" s="26">
        <f>IF(C53="","",Cadets!$H35)</f>
        <v/>
      </c>
      <c r="F53" s="31" t="n"/>
      <c r="G53" s="31" t="n"/>
      <c r="H53" s="31" t="n"/>
    </row>
    <row r="54" ht="20" customHeight="1">
      <c r="B54" s="27">
        <f>IF(C54="","",COUNTIF($C$24:C54,"?*"))</f>
        <v/>
      </c>
      <c r="C54" s="26">
        <f>IF(Cadets!$B36="","",IF(Cadets!$I36&lt;&gt;"Active","",Cadets!$F36))</f>
        <v/>
      </c>
      <c r="D54" s="26">
        <f>IF(C54="","",Cadets!$B36)</f>
        <v/>
      </c>
      <c r="E54" s="26">
        <f>IF(C54="","",Cadets!$H36)</f>
        <v/>
      </c>
      <c r="F54" s="31" t="n"/>
      <c r="G54" s="31" t="n"/>
      <c r="H54" s="31" t="n"/>
    </row>
    <row r="55" ht="20" customHeight="1">
      <c r="B55" s="27">
        <f>IF(C55="","",COUNTIF($C$24:C55,"?*"))</f>
        <v/>
      </c>
      <c r="C55" s="26">
        <f>IF(Cadets!$B37="","",IF(Cadets!$I37&lt;&gt;"Active","",Cadets!$F37))</f>
        <v/>
      </c>
      <c r="D55" s="26">
        <f>IF(C55="","",Cadets!$B37)</f>
        <v/>
      </c>
      <c r="E55" s="26">
        <f>IF(C55="","",Cadets!$H37)</f>
        <v/>
      </c>
      <c r="F55" s="31" t="n"/>
      <c r="G55" s="31" t="n"/>
      <c r="H55" s="31" t="n"/>
    </row>
    <row r="56" ht="20" customHeight="1">
      <c r="B56" s="27">
        <f>IF(C56="","",COUNTIF($C$24:C56,"?*"))</f>
        <v/>
      </c>
      <c r="C56" s="26">
        <f>IF(Cadets!$B38="","",IF(Cadets!$I38&lt;&gt;"Active","",Cadets!$F38))</f>
        <v/>
      </c>
      <c r="D56" s="26">
        <f>IF(C56="","",Cadets!$B38)</f>
        <v/>
      </c>
      <c r="E56" s="26">
        <f>IF(C56="","",Cadets!$H38)</f>
        <v/>
      </c>
      <c r="F56" s="31" t="n"/>
      <c r="G56" s="31" t="n"/>
      <c r="H56" s="31" t="n"/>
    </row>
    <row r="57" ht="20" customHeight="1">
      <c r="B57" s="27">
        <f>IF(C57="","",COUNTIF($C$24:C57,"?*"))</f>
        <v/>
      </c>
      <c r="C57" s="26">
        <f>IF(Cadets!$B39="","",IF(Cadets!$I39&lt;&gt;"Active","",Cadets!$F39))</f>
        <v/>
      </c>
      <c r="D57" s="26">
        <f>IF(C57="","",Cadets!$B39)</f>
        <v/>
      </c>
      <c r="E57" s="26">
        <f>IF(C57="","",Cadets!$H39)</f>
        <v/>
      </c>
      <c r="F57" s="31" t="n"/>
      <c r="G57" s="31" t="n"/>
      <c r="H57" s="31" t="n"/>
    </row>
    <row r="58" ht="20" customHeight="1">
      <c r="B58" s="27">
        <f>IF(C58="","",COUNTIF($C$24:C58,"?*"))</f>
        <v/>
      </c>
      <c r="C58" s="26">
        <f>IF(Cadets!$B40="","",IF(Cadets!$I40&lt;&gt;"Active","",Cadets!$F40))</f>
        <v/>
      </c>
      <c r="D58" s="26">
        <f>IF(C58="","",Cadets!$B40)</f>
        <v/>
      </c>
      <c r="E58" s="26">
        <f>IF(C58="","",Cadets!$H40)</f>
        <v/>
      </c>
      <c r="F58" s="31" t="n"/>
      <c r="G58" s="31" t="n"/>
      <c r="H58" s="31" t="n"/>
    </row>
    <row r="59" ht="20" customHeight="1">
      <c r="B59" s="27">
        <f>IF(C59="","",COUNTIF($C$24:C59,"?*"))</f>
        <v/>
      </c>
      <c r="C59" s="26">
        <f>IF(Cadets!$B41="","",IF(Cadets!$I41&lt;&gt;"Active","",Cadets!$F41))</f>
        <v/>
      </c>
      <c r="D59" s="26">
        <f>IF(C59="","",Cadets!$B41)</f>
        <v/>
      </c>
      <c r="E59" s="26">
        <f>IF(C59="","",Cadets!$H41)</f>
        <v/>
      </c>
      <c r="F59" s="31" t="n"/>
      <c r="G59" s="31" t="n"/>
      <c r="H59" s="31" t="n"/>
    </row>
    <row r="60" ht="20" customHeight="1">
      <c r="B60" s="27">
        <f>IF(C60="","",COUNTIF($C$24:C60,"?*"))</f>
        <v/>
      </c>
      <c r="C60" s="26">
        <f>IF(Cadets!$B42="","",IF(Cadets!$I42&lt;&gt;"Active","",Cadets!$F42))</f>
        <v/>
      </c>
      <c r="D60" s="26">
        <f>IF(C60="","",Cadets!$B42)</f>
        <v/>
      </c>
      <c r="E60" s="26">
        <f>IF(C60="","",Cadets!$H42)</f>
        <v/>
      </c>
      <c r="F60" s="31" t="n"/>
      <c r="G60" s="31" t="n"/>
      <c r="H60" s="31" t="n"/>
    </row>
    <row r="61" ht="20" customHeight="1">
      <c r="B61" s="27">
        <f>IF(C61="","",COUNTIF($C$24:C61,"?*"))</f>
        <v/>
      </c>
      <c r="C61" s="26">
        <f>IF(Cadets!$B43="","",IF(Cadets!$I43&lt;&gt;"Active","",Cadets!$F43))</f>
        <v/>
      </c>
      <c r="D61" s="26">
        <f>IF(C61="","",Cadets!$B43)</f>
        <v/>
      </c>
      <c r="E61" s="26">
        <f>IF(C61="","",Cadets!$H43)</f>
        <v/>
      </c>
      <c r="F61" s="31" t="n"/>
      <c r="G61" s="31" t="n"/>
      <c r="H61" s="31" t="n"/>
    </row>
    <row r="62" ht="20" customHeight="1">
      <c r="B62" s="27">
        <f>IF(C62="","",COUNTIF($C$24:C62,"?*"))</f>
        <v/>
      </c>
      <c r="C62" s="26">
        <f>IF(Cadets!$B44="","",IF(Cadets!$I44&lt;&gt;"Active","",Cadets!$F44))</f>
        <v/>
      </c>
      <c r="D62" s="26">
        <f>IF(C62="","",Cadets!$B44)</f>
        <v/>
      </c>
      <c r="E62" s="26">
        <f>IF(C62="","",Cadets!$H44)</f>
        <v/>
      </c>
      <c r="F62" s="31" t="n"/>
      <c r="G62" s="31" t="n"/>
      <c r="H62" s="31" t="n"/>
    </row>
    <row r="63" ht="20" customHeight="1">
      <c r="B63" s="27">
        <f>IF(C63="","",COUNTIF($C$24:C63,"?*"))</f>
        <v/>
      </c>
      <c r="C63" s="26">
        <f>IF(Cadets!$B45="","",IF(Cadets!$I45&lt;&gt;"Active","",Cadets!$F45))</f>
        <v/>
      </c>
      <c r="D63" s="26">
        <f>IF(C63="","",Cadets!$B45)</f>
        <v/>
      </c>
      <c r="E63" s="26">
        <f>IF(C63="","",Cadets!$H45)</f>
        <v/>
      </c>
      <c r="F63" s="31" t="n"/>
      <c r="G63" s="31" t="n"/>
      <c r="H63" s="31" t="n"/>
    </row>
    <row r="64" ht="20" customHeight="1">
      <c r="B64" s="27">
        <f>IF(C64="","",COUNTIF($C$24:C64,"?*"))</f>
        <v/>
      </c>
      <c r="C64" s="26">
        <f>IF(Cadets!$B46="","",IF(Cadets!$I46&lt;&gt;"Active","",Cadets!$F46))</f>
        <v/>
      </c>
      <c r="D64" s="26">
        <f>IF(C64="","",Cadets!$B46)</f>
        <v/>
      </c>
      <c r="E64" s="26">
        <f>IF(C64="","",Cadets!$H46)</f>
        <v/>
      </c>
      <c r="F64" s="31" t="n"/>
      <c r="G64" s="31" t="n"/>
      <c r="H64" s="31" t="n"/>
    </row>
    <row r="65" ht="20" customHeight="1">
      <c r="B65" s="27">
        <f>IF(C65="","",COUNTIF($C$24:C65,"?*"))</f>
        <v/>
      </c>
      <c r="C65" s="26">
        <f>IF(Cadets!$B47="","",IF(Cadets!$I47&lt;&gt;"Active","",Cadets!$F47))</f>
        <v/>
      </c>
      <c r="D65" s="26">
        <f>IF(C65="","",Cadets!$B47)</f>
        <v/>
      </c>
      <c r="E65" s="26">
        <f>IF(C65="","",Cadets!$H47)</f>
        <v/>
      </c>
      <c r="F65" s="31" t="n"/>
      <c r="G65" s="31" t="n"/>
      <c r="H65" s="31" t="n"/>
    </row>
    <row r="66" ht="20" customHeight="1">
      <c r="B66" s="27">
        <f>IF(C66="","",COUNTIF($C$24:C66,"?*"))</f>
        <v/>
      </c>
      <c r="C66" s="26">
        <f>IF(Cadets!$B48="","",IF(Cadets!$I48&lt;&gt;"Active","",Cadets!$F48))</f>
        <v/>
      </c>
      <c r="D66" s="26">
        <f>IF(C66="","",Cadets!$B48)</f>
        <v/>
      </c>
      <c r="E66" s="26">
        <f>IF(C66="","",Cadets!$H48)</f>
        <v/>
      </c>
      <c r="F66" s="31" t="n"/>
      <c r="G66" s="31" t="n"/>
      <c r="H66" s="31" t="n"/>
    </row>
    <row r="67" ht="20" customHeight="1">
      <c r="B67" s="27">
        <f>IF(C67="","",COUNTIF($C$24:C67,"?*"))</f>
        <v/>
      </c>
      <c r="C67" s="26">
        <f>IF(Cadets!$B49="","",IF(Cadets!$I49&lt;&gt;"Active","",Cadets!$F49))</f>
        <v/>
      </c>
      <c r="D67" s="26">
        <f>IF(C67="","",Cadets!$B49)</f>
        <v/>
      </c>
      <c r="E67" s="26">
        <f>IF(C67="","",Cadets!$H49)</f>
        <v/>
      </c>
      <c r="F67" s="31" t="n"/>
      <c r="G67" s="31" t="n"/>
      <c r="H67" s="31" t="n"/>
    </row>
    <row r="68" ht="20" customHeight="1">
      <c r="B68" s="27">
        <f>IF(C68="","",COUNTIF($C$24:C68,"?*"))</f>
        <v/>
      </c>
      <c r="C68" s="26">
        <f>IF(Cadets!$B50="","",IF(Cadets!$I50&lt;&gt;"Active","",Cadets!$F50))</f>
        <v/>
      </c>
      <c r="D68" s="26">
        <f>IF(C68="","",Cadets!$B50)</f>
        <v/>
      </c>
      <c r="E68" s="26">
        <f>IF(C68="","",Cadets!$H50)</f>
        <v/>
      </c>
      <c r="F68" s="31" t="n"/>
      <c r="G68" s="31" t="n"/>
      <c r="H68" s="31" t="n"/>
    </row>
    <row r="69" ht="20" customHeight="1">
      <c r="B69" s="27">
        <f>IF(C69="","",COUNTIF($C$24:C69,"?*"))</f>
        <v/>
      </c>
      <c r="C69" s="26">
        <f>IF(Cadets!$B51="","",IF(Cadets!$I51&lt;&gt;"Active","",Cadets!$F51))</f>
        <v/>
      </c>
      <c r="D69" s="26">
        <f>IF(C69="","",Cadets!$B51)</f>
        <v/>
      </c>
      <c r="E69" s="26">
        <f>IF(C69="","",Cadets!$H51)</f>
        <v/>
      </c>
      <c r="F69" s="31" t="n"/>
      <c r="G69" s="31" t="n"/>
      <c r="H69" s="31" t="n"/>
    </row>
    <row r="70" ht="20" customHeight="1">
      <c r="B70" s="27">
        <f>IF(C70="","",COUNTIF($C$24:C70,"?*"))</f>
        <v/>
      </c>
      <c r="C70" s="26">
        <f>IF(Cadets!$B52="","",IF(Cadets!$I52&lt;&gt;"Active","",Cadets!$F52))</f>
        <v/>
      </c>
      <c r="D70" s="26">
        <f>IF(C70="","",Cadets!$B52)</f>
        <v/>
      </c>
      <c r="E70" s="26">
        <f>IF(C70="","",Cadets!$H52)</f>
        <v/>
      </c>
      <c r="F70" s="31" t="n"/>
      <c r="G70" s="31" t="n"/>
      <c r="H70" s="31" t="n"/>
    </row>
    <row r="71" ht="20" customHeight="1">
      <c r="B71" s="27">
        <f>IF(C71="","",COUNTIF($C$24:C71,"?*"))</f>
        <v/>
      </c>
      <c r="C71" s="26">
        <f>IF(Cadets!$B53="","",IF(Cadets!$I53&lt;&gt;"Active","",Cadets!$F53))</f>
        <v/>
      </c>
      <c r="D71" s="26">
        <f>IF(C71="","",Cadets!$B53)</f>
        <v/>
      </c>
      <c r="E71" s="26">
        <f>IF(C71="","",Cadets!$H53)</f>
        <v/>
      </c>
      <c r="F71" s="31" t="n"/>
      <c r="G71" s="31" t="n"/>
      <c r="H71" s="31" t="n"/>
    </row>
    <row r="72" ht="20" customHeight="1">
      <c r="B72" s="27">
        <f>IF(C72="","",COUNTIF($C$24:C72,"?*"))</f>
        <v/>
      </c>
      <c r="C72" s="26">
        <f>IF(Cadets!$B54="","",IF(Cadets!$I54&lt;&gt;"Active","",Cadets!$F54))</f>
        <v/>
      </c>
      <c r="D72" s="26">
        <f>IF(C72="","",Cadets!$B54)</f>
        <v/>
      </c>
      <c r="E72" s="26">
        <f>IF(C72="","",Cadets!$H54)</f>
        <v/>
      </c>
      <c r="F72" s="31" t="n"/>
      <c r="G72" s="31" t="n"/>
      <c r="H72" s="31" t="n"/>
    </row>
    <row r="73" ht="20" customHeight="1">
      <c r="B73" s="27">
        <f>IF(C73="","",COUNTIF($C$24:C73,"?*"))</f>
        <v/>
      </c>
      <c r="C73" s="26">
        <f>IF(Cadets!$B55="","",IF(Cadets!$I55&lt;&gt;"Active","",Cadets!$F55))</f>
        <v/>
      </c>
      <c r="D73" s="26">
        <f>IF(C73="","",Cadets!$B55)</f>
        <v/>
      </c>
      <c r="E73" s="26">
        <f>IF(C73="","",Cadets!$H55)</f>
        <v/>
      </c>
      <c r="F73" s="31" t="n"/>
      <c r="G73" s="31" t="n"/>
      <c r="H73" s="31"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29"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APPROPRIATE BOX.  1 LOWEST TO 5 HIGHEST RATING FOR EACH OF THE BELOW LISTED QUESTIONS.</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6" t="n">
        <v>1</v>
      </c>
      <c r="C17" s="32" t="inlineStr">
        <is>
          <t>Were the goals and objectives for the course provided at the beginning of the class?</t>
        </is>
      </c>
      <c r="D17" s="31" t="n"/>
      <c r="E17" s="31" t="n"/>
      <c r="F17" s="31" t="n"/>
      <c r="G17" s="31" t="n"/>
      <c r="H17" s="31" t="n"/>
    </row>
    <row r="18" ht="26" customHeight="1">
      <c r="B18" s="26" t="n">
        <v>2</v>
      </c>
      <c r="C18" s="32" t="inlineStr">
        <is>
          <t>Was the material presented in a logical order?</t>
        </is>
      </c>
      <c r="D18" s="31" t="n"/>
      <c r="E18" s="31" t="n"/>
      <c r="F18" s="31" t="n"/>
      <c r="G18" s="31" t="n"/>
      <c r="H18" s="31" t="n"/>
    </row>
    <row r="19" ht="26" customHeight="1">
      <c r="B19" s="26" t="n">
        <v>3</v>
      </c>
      <c r="C19" s="32" t="inlineStr">
        <is>
          <t>Was the course related to my job needs?</t>
        </is>
      </c>
      <c r="D19" s="31" t="n"/>
      <c r="E19" s="31" t="n"/>
      <c r="F19" s="31" t="n"/>
      <c r="G19" s="31" t="n"/>
      <c r="H19" s="31" t="n"/>
    </row>
    <row r="20" ht="26" customHeight="1">
      <c r="B20" s="26" t="n">
        <v>4</v>
      </c>
      <c r="C20" s="32" t="inlineStr">
        <is>
          <t>Were real life examples or situations used to relate the materials?</t>
        </is>
      </c>
      <c r="D20" s="31" t="n"/>
      <c r="E20" s="31" t="n"/>
      <c r="F20" s="31" t="n"/>
      <c r="G20" s="31" t="n"/>
      <c r="H20" s="31" t="n"/>
    </row>
    <row r="21" ht="26" customHeight="1">
      <c r="B21" s="26" t="n">
        <v>5</v>
      </c>
      <c r="C21" s="32" t="inlineStr">
        <is>
          <t>Will this course improve your job performance?</t>
        </is>
      </c>
      <c r="D21" s="31" t="n"/>
      <c r="E21" s="31" t="n"/>
      <c r="F21" s="31" t="n"/>
      <c r="G21" s="31" t="n"/>
      <c r="H21" s="31" t="n"/>
    </row>
    <row r="22" ht="26" customHeight="1">
      <c r="B22" s="26" t="n">
        <v>6</v>
      </c>
      <c r="C22" s="32" t="inlineStr">
        <is>
          <t>Were the teaching aids (demonstrations) handout materials of adequate quality?</t>
        </is>
      </c>
      <c r="D22" s="31" t="n"/>
      <c r="E22" s="31" t="n"/>
      <c r="F22" s="31" t="n"/>
      <c r="G22" s="31" t="n"/>
      <c r="H22" s="31" t="n"/>
    </row>
    <row r="23" ht="26" customHeight="1">
      <c r="B23" s="26" t="n">
        <v>7</v>
      </c>
      <c r="C23" s="32" t="inlineStr">
        <is>
          <t>Was the instructor knowledgeable about the course material?</t>
        </is>
      </c>
      <c r="D23" s="31" t="n"/>
      <c r="E23" s="31" t="n"/>
      <c r="F23" s="31" t="n"/>
      <c r="G23" s="31" t="n"/>
      <c r="H23" s="31" t="n"/>
    </row>
    <row r="24" ht="26" customHeight="1">
      <c r="B24" s="26" t="n">
        <v>8</v>
      </c>
      <c r="C24" s="32" t="inlineStr">
        <is>
          <t>Did the instructor present the information a clear and understandable way?</t>
        </is>
      </c>
      <c r="D24" s="31" t="n"/>
      <c r="E24" s="31" t="n"/>
      <c r="F24" s="31" t="n"/>
      <c r="G24" s="31" t="n"/>
      <c r="H24" s="31" t="n"/>
    </row>
    <row r="25" ht="26" customHeight="1">
      <c r="B25" s="26" t="n">
        <v>9</v>
      </c>
      <c r="C25" s="32" t="inlineStr">
        <is>
          <t>Did the instructor give you an opportunity to interact with the class or ask questions?</t>
        </is>
      </c>
      <c r="D25" s="31" t="n"/>
      <c r="E25" s="31" t="n"/>
      <c r="F25" s="31" t="n"/>
      <c r="G25" s="31" t="n"/>
      <c r="H25" s="31" t="n"/>
    </row>
    <row r="26" ht="26" customHeight="1">
      <c r="B26" s="26" t="n">
        <v>10</v>
      </c>
      <c r="C26" s="32" t="inlineStr">
        <is>
          <t>Did you get satisfactory answers to your questions about the materials?</t>
        </is>
      </c>
      <c r="D26" s="31" t="n"/>
      <c r="E26" s="31" t="n"/>
      <c r="F26" s="31" t="n"/>
      <c r="G26" s="31" t="n"/>
      <c r="H26" s="31" t="n"/>
    </row>
    <row r="27" ht="26" customHeight="1">
      <c r="B27" s="26" t="n">
        <v>11</v>
      </c>
      <c r="C27" s="32" t="inlineStr">
        <is>
          <t>Would you recommend this course to others?</t>
        </is>
      </c>
      <c r="D27" s="31" t="n"/>
      <c r="E27" s="31" t="n"/>
      <c r="F27" s="31" t="n"/>
      <c r="G27" s="31" t="n"/>
      <c r="H27" s="31" t="n"/>
    </row>
    <row r="28"/>
    <row r="29">
      <c r="B29" s="3" t="inlineStr">
        <is>
          <t>ADDITIONAL COMMENTS</t>
        </is>
      </c>
    </row>
    <row r="30" ht="20" customHeight="1">
      <c r="B30" s="33" t="n"/>
    </row>
    <row r="31" ht="20" customHeight="1">
      <c r="B31" s="33" t="n"/>
    </row>
    <row r="32" ht="20" customHeight="1">
      <c r="B32" s="33" t="n"/>
    </row>
    <row r="33" ht="20" customHeight="1">
      <c r="B33" s="33" t="n"/>
    </row>
    <row r="34" ht="20" customHeight="1">
      <c r="B34" s="33" t="n"/>
    </row>
    <row r="35" ht="20" customHeight="1">
      <c r="B35" s="33" t="n"/>
    </row>
    <row r="36" ht="28" customHeight="1">
      <c r="B36" s="15" t="inlineStr">
        <is>
          <t>Please use the below listed space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4" t="n">
        <v>1</v>
      </c>
      <c r="D5" s="3" t="inlineStr">
        <is>
          <t>Mode:</t>
        </is>
      </c>
      <c r="E5" s="24" t="inlineStr">
        <is>
          <t>Test</t>
        </is>
      </c>
    </row>
    <row r="6"/>
    <row r="7">
      <c r="B7" s="1" t="inlineStr">
        <is>
          <t>TYLER POLICE DEPARTMENT ACADEMY</t>
        </is>
      </c>
    </row>
    <row r="8">
      <c r="B8" s="3">
        <f>IF(OR(N(cfgSpellPrintNum)&lt;1,N(cfgSpellPrintNum)&gt;12),"Pick a spelling test number 1-12 in C5","Spelling Test #"&amp;cfgSpellPrintNum&amp;IF(cfgSpellPrintMode="Key"," — KEY",""))</f>
        <v/>
      </c>
    </row>
    <row r="9"/>
    <row r="10">
      <c r="B10" s="14" t="inlineStr">
        <is>
          <t>Name: ______________________    Date: ____________    Score: ________</t>
        </is>
      </c>
    </row>
    <row r="11"/>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24"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34">
        <f>"Due ("&amp;IFERROR(TEXT(TIMEVALUE(LEFT(TEXT(cfgWritingDueTime,"0000"),2)&amp;":"&amp;RIGHT(TEXT(cfgWritingDueTime,"0000"),2)),"h:mm AM/PM"),cfgWritingDueTime)&amp;")"</f>
        <v/>
      </c>
      <c r="F10" s="12" t="inlineStr">
        <is>
          <t>Prompt</t>
        </is>
      </c>
    </row>
    <row r="11" ht="60" customHeight="1">
      <c r="B11" s="35">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5" t="n"/>
      <c r="D11" s="35" t="n"/>
      <c r="E11" s="35" t="n"/>
      <c r="F11" s="35" t="n"/>
      <c r="G11" s="35" t="n"/>
      <c r="H11" s="35" t="n"/>
    </row>
    <row r="12" ht="60" customHeight="1">
      <c r="B12" s="35" t="n"/>
      <c r="C12" s="35" t="n"/>
      <c r="D12" s="35" t="n"/>
      <c r="E12" s="35" t="n"/>
      <c r="F12" s="35" t="n"/>
      <c r="G12" s="35" t="n"/>
      <c r="H12" s="35" t="n"/>
    </row>
    <row r="13" ht="60" customHeight="1">
      <c r="B13" s="35" t="n"/>
      <c r="C13" s="35" t="n"/>
      <c r="D13" s="35" t="n"/>
      <c r="E13" s="35" t="n"/>
      <c r="F13" s="35" t="n"/>
      <c r="G13" s="35" t="n"/>
      <c r="H13" s="35" t="n"/>
    </row>
    <row r="14" ht="60" customHeight="1">
      <c r="B14" s="35" t="n"/>
      <c r="C14" s="35" t="n"/>
      <c r="D14" s="35" t="n"/>
      <c r="E14" s="35" t="n"/>
      <c r="F14" s="35" t="n"/>
      <c r="G14" s="35" t="n"/>
      <c r="H14" s="35" t="n"/>
    </row>
    <row r="15" ht="60" customHeight="1">
      <c r="B15" s="35" t="n"/>
      <c r="C15" s="35" t="n"/>
      <c r="D15" s="35" t="n"/>
      <c r="E15" s="35" t="n"/>
      <c r="F15" s="35" t="n"/>
      <c r="G15" s="35" t="n"/>
      <c r="H15" s="35" t="n"/>
    </row>
    <row r="16" ht="60" customHeight="1">
      <c r="B16" s="35" t="n"/>
      <c r="C16" s="35" t="n"/>
      <c r="D16" s="35" t="n"/>
      <c r="E16" s="35" t="n"/>
      <c r="F16" s="35" t="n"/>
      <c r="G16" s="35" t="n"/>
      <c r="H16" s="35" t="n"/>
    </row>
    <row r="17" ht="60" customHeight="1">
      <c r="B17" s="35" t="n"/>
      <c r="C17" s="35" t="n"/>
      <c r="D17" s="35" t="n"/>
      <c r="E17" s="35" t="n"/>
      <c r="F17" s="35" t="n"/>
      <c r="G17" s="35" t="n"/>
      <c r="H17" s="35" t="n"/>
    </row>
    <row r="18" ht="60" customHeight="1">
      <c r="B18" s="35" t="n"/>
      <c r="C18" s="35" t="n"/>
      <c r="D18" s="35" t="n"/>
      <c r="E18" s="35" t="n"/>
      <c r="F18" s="35" t="n"/>
      <c r="G18" s="35" t="n"/>
      <c r="H18" s="35"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7.xml><?xml version="1.0" encoding="utf-8"?>
<worksheet xmlns="http://schemas.openxmlformats.org/spreadsheetml/2006/main">
  <sheetPr>
    <tabColor rgb="001E7145"/>
    <outlinePr summaryBelow="1" summaryRight="1"/>
    <pageSetUpPr/>
  </sheetPr>
  <dimension ref="A1:L361"/>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24"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IF($B9="","",IF(COUNTIFS(nrES_PID,Cadets!$B6,nrES_Seq,cfgCurrentExamNum,nrES_Final,"Yes",nrES_Rec,"&gt;=0")=0,"",SUMIFS(nrES_Rec,nrES_PID,Cadets!$B6,nrES_Seq,cfgCurrentExamNum,nrES_Final,"Yes")))</f>
        <v/>
      </c>
      <c r="D9" s="20">
        <f>IF($B9="","",IFERROR(ROUND(AVERAGEIFS(nrES_Rec,nrES_Seq,cfgCurrentExamNum,nrES_Final,"Yes",nrES_Rec,"&gt;=0",nrES_Rec,"&lt;=100"),1),""))</f>
        <v/>
      </c>
      <c r="E9" s="20">
        <f>IF($B9="","",IF(COUNTIFS(nrES_PID,Cadets!$B6,nrES_Seq,cfgCurrentExamNum,nrES_Att,2,nrES_Raw,"&gt;=0",nrES_AttPass,"Yes")&gt;0,"RETEST (cap 70)",IF(COUNTIFS(nrES_PID,Cadets!$B6,nrES_Seq,cfgCurrentExamNum,nrES_Att,2,nrES_Raw,"&gt;=0",nrES_AttPass,"No")&gt;0,"RETEST FAILED (first-attempt score shown)","")))</f>
        <v/>
      </c>
      <c r="F9" s="20">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0">
        <f>IF($B9="","",IF(OR(cfgCurrentSpellingNum&lt;cfgCurrentExamNum,cfgCurrentSpellingNum&lt;=0,cfgCurrentSpellingNum&gt;12),"",IF(Spelling!$R6="INTERVENTION","BELOW "&amp;cfgSpellInterventionAvg&amp;" — intervention","")))</f>
        <v/>
      </c>
      <c r="H9" s="20">
        <f>IF($B9="","",sysAttendance!$J6&amp;" / PT "&amp;sysAttendance!$R6)</f>
        <v/>
      </c>
      <c r="I9" s="20">
        <f>IF($B9="","",Writing!$AT6&amp;" ("&amp;Writing!$AS6&amp;" overdue)")</f>
        <v/>
      </c>
      <c r="J9" s="20">
        <f>IF($B9="","",sysFlags!$T6)</f>
        <v/>
      </c>
    </row>
    <row r="10">
      <c r="B10" s="20">
        <f>IF(IF(OR(Cadets!$B7="",Cadets!$I7&lt;&gt;"Active"),FALSE,OR(cfgPreviewAgency=cfgHomeAgency,Cadets!$G7=cfgPreviewAgency)),Cadets!$F7,"")</f>
        <v/>
      </c>
      <c r="C10" s="20">
        <f>IF($B10="","",IF(COUNTIFS(nrES_PID,Cadets!$B7,nrES_Seq,cfgCurrentExamNum,nrES_Final,"Yes",nrES_Rec,"&gt;=0")=0,"",SUMIFS(nrES_Rec,nrES_PID,Cadets!$B7,nrES_Seq,cfgCurrentExamNum,nrES_Final,"Yes")))</f>
        <v/>
      </c>
      <c r="D10" s="20">
        <f>IF($B10="","",IFERROR(ROUND(AVERAGEIFS(nrES_Rec,nrES_Seq,cfgCurrentExamNum,nrES_Final,"Yes",nrES_Rec,"&gt;=0",nrES_Rec,"&lt;=100"),1),""))</f>
        <v/>
      </c>
      <c r="E10" s="20">
        <f>IF($B10="","",IF(COUNTIFS(nrES_PID,Cadets!$B7,nrES_Seq,cfgCurrentExamNum,nrES_Att,2,nrES_Raw,"&gt;=0",nrES_AttPass,"Yes")&gt;0,"RETEST (cap 70)",IF(COUNTIFS(nrES_PID,Cadets!$B7,nrES_Seq,cfgCurrentExamNum,nrES_Att,2,nrES_Raw,"&gt;=0",nrES_AttPass,"No")&gt;0,"RETEST FAILED (first-attempt score shown)","")))</f>
        <v/>
      </c>
      <c r="F10" s="20">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0">
        <f>IF($B10="","",IF(OR(cfgCurrentSpellingNum&lt;cfgCurrentExamNum,cfgCurrentSpellingNum&lt;=0,cfgCurrentSpellingNum&gt;12),"",IF(Spelling!$R7="INTERVENTION","BELOW "&amp;cfgSpellInterventionAvg&amp;" — intervention","")))</f>
        <v/>
      </c>
      <c r="H10" s="20">
        <f>IF($B10="","",sysAttendance!$J7&amp;" / PT "&amp;sysAttendance!$R7)</f>
        <v/>
      </c>
      <c r="I10" s="20">
        <f>IF($B10="","",Writing!$AT7&amp;" ("&amp;Writing!$AS7&amp;" overdue)")</f>
        <v/>
      </c>
      <c r="J10" s="20">
        <f>IF($B10="","",sysFlags!$T7)</f>
        <v/>
      </c>
    </row>
    <row r="11">
      <c r="B11" s="20">
        <f>IF(IF(OR(Cadets!$B8="",Cadets!$I8&lt;&gt;"Active"),FALSE,OR(cfgPreviewAgency=cfgHomeAgency,Cadets!$G8=cfgPreviewAgency)),Cadets!$F8,"")</f>
        <v/>
      </c>
      <c r="C11" s="20">
        <f>IF($B11="","",IF(COUNTIFS(nrES_PID,Cadets!$B8,nrES_Seq,cfgCurrentExamNum,nrES_Final,"Yes",nrES_Rec,"&gt;=0")=0,"",SUMIFS(nrES_Rec,nrES_PID,Cadets!$B8,nrES_Seq,cfgCurrentExamNum,nrES_Final,"Yes")))</f>
        <v/>
      </c>
      <c r="D11" s="20">
        <f>IF($B11="","",IFERROR(ROUND(AVERAGEIFS(nrES_Rec,nrES_Seq,cfgCurrentExamNum,nrES_Final,"Yes",nrES_Rec,"&gt;=0",nrES_Rec,"&lt;=100"),1),""))</f>
        <v/>
      </c>
      <c r="E11" s="20">
        <f>IF($B11="","",IF(COUNTIFS(nrES_PID,Cadets!$B8,nrES_Seq,cfgCurrentExamNum,nrES_Att,2,nrES_Raw,"&gt;=0",nrES_AttPass,"Yes")&gt;0,"RETEST (cap 70)",IF(COUNTIFS(nrES_PID,Cadets!$B8,nrES_Seq,cfgCurrentExamNum,nrES_Att,2,nrES_Raw,"&gt;=0",nrES_AttPass,"No")&gt;0,"RETEST FAILED (first-attempt score shown)","")))</f>
        <v/>
      </c>
      <c r="F11" s="20">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0">
        <f>IF($B11="","",IF(OR(cfgCurrentSpellingNum&lt;cfgCurrentExamNum,cfgCurrentSpellingNum&lt;=0,cfgCurrentSpellingNum&gt;12),"",IF(Spelling!$R8="INTERVENTION","BELOW "&amp;cfgSpellInterventionAvg&amp;" — intervention","")))</f>
        <v/>
      </c>
      <c r="H11" s="20">
        <f>IF($B11="","",sysAttendance!$J8&amp;" / PT "&amp;sysAttendance!$R8)</f>
        <v/>
      </c>
      <c r="I11" s="20">
        <f>IF($B11="","",Writing!$AT8&amp;" ("&amp;Writing!$AS8&amp;" overdue)")</f>
        <v/>
      </c>
      <c r="J11" s="20">
        <f>IF($B11="","",sysFlags!$T8)</f>
        <v/>
      </c>
    </row>
    <row r="12">
      <c r="B12" s="20">
        <f>IF(IF(OR(Cadets!$B9="",Cadets!$I9&lt;&gt;"Active"),FALSE,OR(cfgPreviewAgency=cfgHomeAgency,Cadets!$G9=cfgPreviewAgency)),Cadets!$F9,"")</f>
        <v/>
      </c>
      <c r="C12" s="20">
        <f>IF($B12="","",IF(COUNTIFS(nrES_PID,Cadets!$B9,nrES_Seq,cfgCurrentExamNum,nrES_Final,"Yes",nrES_Rec,"&gt;=0")=0,"",SUMIFS(nrES_Rec,nrES_PID,Cadets!$B9,nrES_Seq,cfgCurrentExamNum,nrES_Final,"Yes")))</f>
        <v/>
      </c>
      <c r="D12" s="20">
        <f>IF($B12="","",IFERROR(ROUND(AVERAGEIFS(nrES_Rec,nrES_Seq,cfgCurrentExamNum,nrES_Final,"Yes",nrES_Rec,"&gt;=0",nrES_Rec,"&lt;=100"),1),""))</f>
        <v/>
      </c>
      <c r="E12" s="20">
        <f>IF($B12="","",IF(COUNTIFS(nrES_PID,Cadets!$B9,nrES_Seq,cfgCurrentExamNum,nrES_Att,2,nrES_Raw,"&gt;=0",nrES_AttPass,"Yes")&gt;0,"RETEST (cap 70)",IF(COUNTIFS(nrES_PID,Cadets!$B9,nrES_Seq,cfgCurrentExamNum,nrES_Att,2,nrES_Raw,"&gt;=0",nrES_AttPass,"No")&gt;0,"RETEST FAILED (first-attempt score shown)","")))</f>
        <v/>
      </c>
      <c r="F12" s="20">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0">
        <f>IF($B12="","",IF(OR(cfgCurrentSpellingNum&lt;cfgCurrentExamNum,cfgCurrentSpellingNum&lt;=0,cfgCurrentSpellingNum&gt;12),"",IF(Spelling!$R9="INTERVENTION","BELOW "&amp;cfgSpellInterventionAvg&amp;" — intervention","")))</f>
        <v/>
      </c>
      <c r="H12" s="20">
        <f>IF($B12="","",sysAttendance!$J9&amp;" / PT "&amp;sysAttendance!$R9)</f>
        <v/>
      </c>
      <c r="I12" s="20">
        <f>IF($B12="","",Writing!$AT9&amp;" ("&amp;Writing!$AS9&amp;" overdue)")</f>
        <v/>
      </c>
      <c r="J12" s="20">
        <f>IF($B12="","",sysFlags!$T9)</f>
        <v/>
      </c>
    </row>
    <row r="13">
      <c r="B13" s="20">
        <f>IF(IF(OR(Cadets!$B10="",Cadets!$I10&lt;&gt;"Active"),FALSE,OR(cfgPreviewAgency=cfgHomeAgency,Cadets!$G10=cfgPreviewAgency)),Cadets!$F10,"")</f>
        <v/>
      </c>
      <c r="C13" s="20">
        <f>IF($B13="","",IF(COUNTIFS(nrES_PID,Cadets!$B10,nrES_Seq,cfgCurrentExamNum,nrES_Final,"Yes",nrES_Rec,"&gt;=0")=0,"",SUMIFS(nrES_Rec,nrES_PID,Cadets!$B10,nrES_Seq,cfgCurrentExamNum,nrES_Final,"Yes")))</f>
        <v/>
      </c>
      <c r="D13" s="20">
        <f>IF($B13="","",IFERROR(ROUND(AVERAGEIFS(nrES_Rec,nrES_Seq,cfgCurrentExamNum,nrES_Final,"Yes",nrES_Rec,"&gt;=0",nrES_Rec,"&lt;=100"),1),""))</f>
        <v/>
      </c>
      <c r="E13" s="20">
        <f>IF($B13="","",IF(COUNTIFS(nrES_PID,Cadets!$B10,nrES_Seq,cfgCurrentExamNum,nrES_Att,2,nrES_Raw,"&gt;=0",nrES_AttPass,"Yes")&gt;0,"RETEST (cap 70)",IF(COUNTIFS(nrES_PID,Cadets!$B10,nrES_Seq,cfgCurrentExamNum,nrES_Att,2,nrES_Raw,"&gt;=0",nrES_AttPass,"No")&gt;0,"RETEST FAILED (first-attempt score shown)","")))</f>
        <v/>
      </c>
      <c r="F13" s="20">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0">
        <f>IF($B13="","",IF(OR(cfgCurrentSpellingNum&lt;cfgCurrentExamNum,cfgCurrentSpellingNum&lt;=0,cfgCurrentSpellingNum&gt;12),"",IF(Spelling!$R10="INTERVENTION","BELOW "&amp;cfgSpellInterventionAvg&amp;" — intervention","")))</f>
        <v/>
      </c>
      <c r="H13" s="20">
        <f>IF($B13="","",sysAttendance!$J10&amp;" / PT "&amp;sysAttendance!$R10)</f>
        <v/>
      </c>
      <c r="I13" s="20">
        <f>IF($B13="","",Writing!$AT10&amp;" ("&amp;Writing!$AS10&amp;" overdue)")</f>
        <v/>
      </c>
      <c r="J13" s="20">
        <f>IF($B13="","",sysFlags!$T10)</f>
        <v/>
      </c>
    </row>
    <row r="14">
      <c r="B14" s="20">
        <f>IF(IF(OR(Cadets!$B11="",Cadets!$I11&lt;&gt;"Active"),FALSE,OR(cfgPreviewAgency=cfgHomeAgency,Cadets!$G11=cfgPreviewAgency)),Cadets!$F11,"")</f>
        <v/>
      </c>
      <c r="C14" s="20">
        <f>IF($B14="","",IF(COUNTIFS(nrES_PID,Cadets!$B11,nrES_Seq,cfgCurrentExamNum,nrES_Final,"Yes",nrES_Rec,"&gt;=0")=0,"",SUMIFS(nrES_Rec,nrES_PID,Cadets!$B11,nrES_Seq,cfgCurrentExamNum,nrES_Final,"Yes")))</f>
        <v/>
      </c>
      <c r="D14" s="20">
        <f>IF($B14="","",IFERROR(ROUND(AVERAGEIFS(nrES_Rec,nrES_Seq,cfgCurrentExamNum,nrES_Final,"Yes",nrES_Rec,"&gt;=0",nrES_Rec,"&lt;=100"),1),""))</f>
        <v/>
      </c>
      <c r="E14" s="20">
        <f>IF($B14="","",IF(COUNTIFS(nrES_PID,Cadets!$B11,nrES_Seq,cfgCurrentExamNum,nrES_Att,2,nrES_Raw,"&gt;=0",nrES_AttPass,"Yes")&gt;0,"RETEST (cap 70)",IF(COUNTIFS(nrES_PID,Cadets!$B11,nrES_Seq,cfgCurrentExamNum,nrES_Att,2,nrES_Raw,"&gt;=0",nrES_AttPass,"No")&gt;0,"RETEST FAILED (first-attempt score shown)","")))</f>
        <v/>
      </c>
      <c r="F14" s="20">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0">
        <f>IF($B14="","",IF(OR(cfgCurrentSpellingNum&lt;cfgCurrentExamNum,cfgCurrentSpellingNum&lt;=0,cfgCurrentSpellingNum&gt;12),"",IF(Spelling!$R11="INTERVENTION","BELOW "&amp;cfgSpellInterventionAvg&amp;" — intervention","")))</f>
        <v/>
      </c>
      <c r="H14" s="20">
        <f>IF($B14="","",sysAttendance!$J11&amp;" / PT "&amp;sysAttendance!$R11)</f>
        <v/>
      </c>
      <c r="I14" s="20">
        <f>IF($B14="","",Writing!$AT11&amp;" ("&amp;Writing!$AS11&amp;" overdue)")</f>
        <v/>
      </c>
      <c r="J14" s="20">
        <f>IF($B14="","",sysFlags!$T11)</f>
        <v/>
      </c>
    </row>
    <row r="15">
      <c r="B15" s="20">
        <f>IF(IF(OR(Cadets!$B12="",Cadets!$I12&lt;&gt;"Active"),FALSE,OR(cfgPreviewAgency=cfgHomeAgency,Cadets!$G12=cfgPreviewAgency)),Cadets!$F12,"")</f>
        <v/>
      </c>
      <c r="C15" s="20">
        <f>IF($B15="","",IF(COUNTIFS(nrES_PID,Cadets!$B12,nrES_Seq,cfgCurrentExamNum,nrES_Final,"Yes",nrES_Rec,"&gt;=0")=0,"",SUMIFS(nrES_Rec,nrES_PID,Cadets!$B12,nrES_Seq,cfgCurrentExamNum,nrES_Final,"Yes")))</f>
        <v/>
      </c>
      <c r="D15" s="20">
        <f>IF($B15="","",IFERROR(ROUND(AVERAGEIFS(nrES_Rec,nrES_Seq,cfgCurrentExamNum,nrES_Final,"Yes",nrES_Rec,"&gt;=0",nrES_Rec,"&lt;=100"),1),""))</f>
        <v/>
      </c>
      <c r="E15" s="20">
        <f>IF($B15="","",IF(COUNTIFS(nrES_PID,Cadets!$B12,nrES_Seq,cfgCurrentExamNum,nrES_Att,2,nrES_Raw,"&gt;=0",nrES_AttPass,"Yes")&gt;0,"RETEST (cap 70)",IF(COUNTIFS(nrES_PID,Cadets!$B12,nrES_Seq,cfgCurrentExamNum,nrES_Att,2,nrES_Raw,"&gt;=0",nrES_AttPass,"No")&gt;0,"RETEST FAILED (first-attempt score shown)","")))</f>
        <v/>
      </c>
      <c r="F15" s="20">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0">
        <f>IF($B15="","",IF(OR(cfgCurrentSpellingNum&lt;cfgCurrentExamNum,cfgCurrentSpellingNum&lt;=0,cfgCurrentSpellingNum&gt;12),"",IF(Spelling!$R12="INTERVENTION","BELOW "&amp;cfgSpellInterventionAvg&amp;" — intervention","")))</f>
        <v/>
      </c>
      <c r="H15" s="20">
        <f>IF($B15="","",sysAttendance!$J12&amp;" / PT "&amp;sysAttendance!$R12)</f>
        <v/>
      </c>
      <c r="I15" s="20">
        <f>IF($B15="","",Writing!$AT12&amp;" ("&amp;Writing!$AS12&amp;" overdue)")</f>
        <v/>
      </c>
      <c r="J15" s="20">
        <f>IF($B15="","",sysFlags!$T12)</f>
        <v/>
      </c>
    </row>
    <row r="16">
      <c r="B16" s="20">
        <f>IF(IF(OR(Cadets!$B13="",Cadets!$I13&lt;&gt;"Active"),FALSE,OR(cfgPreviewAgency=cfgHomeAgency,Cadets!$G13=cfgPreviewAgency)),Cadets!$F13,"")</f>
        <v/>
      </c>
      <c r="C16" s="20">
        <f>IF($B16="","",IF(COUNTIFS(nrES_PID,Cadets!$B13,nrES_Seq,cfgCurrentExamNum,nrES_Final,"Yes",nrES_Rec,"&gt;=0")=0,"",SUMIFS(nrES_Rec,nrES_PID,Cadets!$B13,nrES_Seq,cfgCurrentExamNum,nrES_Final,"Yes")))</f>
        <v/>
      </c>
      <c r="D16" s="20">
        <f>IF($B16="","",IFERROR(ROUND(AVERAGEIFS(nrES_Rec,nrES_Seq,cfgCurrentExamNum,nrES_Final,"Yes",nrES_Rec,"&gt;=0",nrES_Rec,"&lt;=100"),1),""))</f>
        <v/>
      </c>
      <c r="E16" s="20">
        <f>IF($B16="","",IF(COUNTIFS(nrES_PID,Cadets!$B13,nrES_Seq,cfgCurrentExamNum,nrES_Att,2,nrES_Raw,"&gt;=0",nrES_AttPass,"Yes")&gt;0,"RETEST (cap 70)",IF(COUNTIFS(nrES_PID,Cadets!$B13,nrES_Seq,cfgCurrentExamNum,nrES_Att,2,nrES_Raw,"&gt;=0",nrES_AttPass,"No")&gt;0,"RETEST FAILED (first-attempt score shown)","")))</f>
        <v/>
      </c>
      <c r="F16" s="20">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0">
        <f>IF($B16="","",IF(OR(cfgCurrentSpellingNum&lt;cfgCurrentExamNum,cfgCurrentSpellingNum&lt;=0,cfgCurrentSpellingNum&gt;12),"",IF(Spelling!$R13="INTERVENTION","BELOW "&amp;cfgSpellInterventionAvg&amp;" — intervention","")))</f>
        <v/>
      </c>
      <c r="H16" s="20">
        <f>IF($B16="","",sysAttendance!$J13&amp;" / PT "&amp;sysAttendance!$R13)</f>
        <v/>
      </c>
      <c r="I16" s="20">
        <f>IF($B16="","",Writing!$AT13&amp;" ("&amp;Writing!$AS13&amp;" overdue)")</f>
        <v/>
      </c>
      <c r="J16" s="20">
        <f>IF($B16="","",sysFlags!$T13)</f>
        <v/>
      </c>
    </row>
    <row r="17">
      <c r="B17" s="20">
        <f>IF(IF(OR(Cadets!$B14="",Cadets!$I14&lt;&gt;"Active"),FALSE,OR(cfgPreviewAgency=cfgHomeAgency,Cadets!$G14=cfgPreviewAgency)),Cadets!$F14,"")</f>
        <v/>
      </c>
      <c r="C17" s="20">
        <f>IF($B17="","",IF(COUNTIFS(nrES_PID,Cadets!$B14,nrES_Seq,cfgCurrentExamNum,nrES_Final,"Yes",nrES_Rec,"&gt;=0")=0,"",SUMIFS(nrES_Rec,nrES_PID,Cadets!$B14,nrES_Seq,cfgCurrentExamNum,nrES_Final,"Yes")))</f>
        <v/>
      </c>
      <c r="D17" s="20">
        <f>IF($B17="","",IFERROR(ROUND(AVERAGEIFS(nrES_Rec,nrES_Seq,cfgCurrentExamNum,nrES_Final,"Yes",nrES_Rec,"&gt;=0",nrES_Rec,"&lt;=100"),1),""))</f>
        <v/>
      </c>
      <c r="E17" s="20">
        <f>IF($B17="","",IF(COUNTIFS(nrES_PID,Cadets!$B14,nrES_Seq,cfgCurrentExamNum,nrES_Att,2,nrES_Raw,"&gt;=0",nrES_AttPass,"Yes")&gt;0,"RETEST (cap 70)",IF(COUNTIFS(nrES_PID,Cadets!$B14,nrES_Seq,cfgCurrentExamNum,nrES_Att,2,nrES_Raw,"&gt;=0",nrES_AttPass,"No")&gt;0,"RETEST FAILED (first-attempt score shown)","")))</f>
        <v/>
      </c>
      <c r="F17" s="20">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0">
        <f>IF($B17="","",IF(OR(cfgCurrentSpellingNum&lt;cfgCurrentExamNum,cfgCurrentSpellingNum&lt;=0,cfgCurrentSpellingNum&gt;12),"",IF(Spelling!$R14="INTERVENTION","BELOW "&amp;cfgSpellInterventionAvg&amp;" — intervention","")))</f>
        <v/>
      </c>
      <c r="H17" s="20">
        <f>IF($B17="","",sysAttendance!$J14&amp;" / PT "&amp;sysAttendance!$R14)</f>
        <v/>
      </c>
      <c r="I17" s="20">
        <f>IF($B17="","",Writing!$AT14&amp;" ("&amp;Writing!$AS14&amp;" overdue)")</f>
        <v/>
      </c>
      <c r="J17" s="20">
        <f>IF($B17="","",sysFlags!$T14)</f>
        <v/>
      </c>
    </row>
    <row r="18">
      <c r="B18" s="20">
        <f>IF(IF(OR(Cadets!$B15="",Cadets!$I15&lt;&gt;"Active"),FALSE,OR(cfgPreviewAgency=cfgHomeAgency,Cadets!$G15=cfgPreviewAgency)),Cadets!$F15,"")</f>
        <v/>
      </c>
      <c r="C18" s="20">
        <f>IF($B18="","",IF(COUNTIFS(nrES_PID,Cadets!$B15,nrES_Seq,cfgCurrentExamNum,nrES_Final,"Yes",nrES_Rec,"&gt;=0")=0,"",SUMIFS(nrES_Rec,nrES_PID,Cadets!$B15,nrES_Seq,cfgCurrentExamNum,nrES_Final,"Yes")))</f>
        <v/>
      </c>
      <c r="D18" s="20">
        <f>IF($B18="","",IFERROR(ROUND(AVERAGEIFS(nrES_Rec,nrES_Seq,cfgCurrentExamNum,nrES_Final,"Yes",nrES_Rec,"&gt;=0",nrES_Rec,"&lt;=100"),1),""))</f>
        <v/>
      </c>
      <c r="E18" s="20">
        <f>IF($B18="","",IF(COUNTIFS(nrES_PID,Cadets!$B15,nrES_Seq,cfgCurrentExamNum,nrES_Att,2,nrES_Raw,"&gt;=0",nrES_AttPass,"Yes")&gt;0,"RETEST (cap 70)",IF(COUNTIFS(nrES_PID,Cadets!$B15,nrES_Seq,cfgCurrentExamNum,nrES_Att,2,nrES_Raw,"&gt;=0",nrES_AttPass,"No")&gt;0,"RETEST FAILED (first-attempt score shown)","")))</f>
        <v/>
      </c>
      <c r="F18" s="20">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0">
        <f>IF($B18="","",IF(OR(cfgCurrentSpellingNum&lt;cfgCurrentExamNum,cfgCurrentSpellingNum&lt;=0,cfgCurrentSpellingNum&gt;12),"",IF(Spelling!$R15="INTERVENTION","BELOW "&amp;cfgSpellInterventionAvg&amp;" — intervention","")))</f>
        <v/>
      </c>
      <c r="H18" s="20">
        <f>IF($B18="","",sysAttendance!$J15&amp;" / PT "&amp;sysAttendance!$R15)</f>
        <v/>
      </c>
      <c r="I18" s="20">
        <f>IF($B18="","",Writing!$AT15&amp;" ("&amp;Writing!$AS15&amp;" overdue)")</f>
        <v/>
      </c>
      <c r="J18" s="20">
        <f>IF($B18="","",sysFlags!$T15)</f>
        <v/>
      </c>
    </row>
    <row r="19">
      <c r="B19" s="20">
        <f>IF(IF(OR(Cadets!$B16="",Cadets!$I16&lt;&gt;"Active"),FALSE,OR(cfgPreviewAgency=cfgHomeAgency,Cadets!$G16=cfgPreviewAgency)),Cadets!$F16,"")</f>
        <v/>
      </c>
      <c r="C19" s="20">
        <f>IF($B19="","",IF(COUNTIFS(nrES_PID,Cadets!$B16,nrES_Seq,cfgCurrentExamNum,nrES_Final,"Yes",nrES_Rec,"&gt;=0")=0,"",SUMIFS(nrES_Rec,nrES_PID,Cadets!$B16,nrES_Seq,cfgCurrentExamNum,nrES_Final,"Yes")))</f>
        <v/>
      </c>
      <c r="D19" s="20">
        <f>IF($B19="","",IFERROR(ROUND(AVERAGEIFS(nrES_Rec,nrES_Seq,cfgCurrentExamNum,nrES_Final,"Yes",nrES_Rec,"&gt;=0",nrES_Rec,"&lt;=100"),1),""))</f>
        <v/>
      </c>
      <c r="E19" s="20">
        <f>IF($B19="","",IF(COUNTIFS(nrES_PID,Cadets!$B16,nrES_Seq,cfgCurrentExamNum,nrES_Att,2,nrES_Raw,"&gt;=0",nrES_AttPass,"Yes")&gt;0,"RETEST (cap 70)",IF(COUNTIFS(nrES_PID,Cadets!$B16,nrES_Seq,cfgCurrentExamNum,nrES_Att,2,nrES_Raw,"&gt;=0",nrES_AttPass,"No")&gt;0,"RETEST FAILED (first-attempt score shown)","")))</f>
        <v/>
      </c>
      <c r="F19" s="20">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0">
        <f>IF($B19="","",IF(OR(cfgCurrentSpellingNum&lt;cfgCurrentExamNum,cfgCurrentSpellingNum&lt;=0,cfgCurrentSpellingNum&gt;12),"",IF(Spelling!$R16="INTERVENTION","BELOW "&amp;cfgSpellInterventionAvg&amp;" — intervention","")))</f>
        <v/>
      </c>
      <c r="H19" s="20">
        <f>IF($B19="","",sysAttendance!$J16&amp;" / PT "&amp;sysAttendance!$R16)</f>
        <v/>
      </c>
      <c r="I19" s="20">
        <f>IF($B19="","",Writing!$AT16&amp;" ("&amp;Writing!$AS16&amp;" overdue)")</f>
        <v/>
      </c>
      <c r="J19" s="20">
        <f>IF($B19="","",sysFlags!$T16)</f>
        <v/>
      </c>
    </row>
    <row r="20">
      <c r="B20" s="20">
        <f>IF(IF(OR(Cadets!$B17="",Cadets!$I17&lt;&gt;"Active"),FALSE,OR(cfgPreviewAgency=cfgHomeAgency,Cadets!$G17=cfgPreviewAgency)),Cadets!$F17,"")</f>
        <v/>
      </c>
      <c r="C20" s="20">
        <f>IF($B20="","",IF(COUNTIFS(nrES_PID,Cadets!$B17,nrES_Seq,cfgCurrentExamNum,nrES_Final,"Yes",nrES_Rec,"&gt;=0")=0,"",SUMIFS(nrES_Rec,nrES_PID,Cadets!$B17,nrES_Seq,cfgCurrentExamNum,nrES_Final,"Yes")))</f>
        <v/>
      </c>
      <c r="D20" s="20">
        <f>IF($B20="","",IFERROR(ROUND(AVERAGEIFS(nrES_Rec,nrES_Seq,cfgCurrentExamNum,nrES_Final,"Yes",nrES_Rec,"&gt;=0",nrES_Rec,"&lt;=100"),1),""))</f>
        <v/>
      </c>
      <c r="E20" s="20">
        <f>IF($B20="","",IF(COUNTIFS(nrES_PID,Cadets!$B17,nrES_Seq,cfgCurrentExamNum,nrES_Att,2,nrES_Raw,"&gt;=0",nrES_AttPass,"Yes")&gt;0,"RETEST (cap 70)",IF(COUNTIFS(nrES_PID,Cadets!$B17,nrES_Seq,cfgCurrentExamNum,nrES_Att,2,nrES_Raw,"&gt;=0",nrES_AttPass,"No")&gt;0,"RETEST FAILED (first-attempt score shown)","")))</f>
        <v/>
      </c>
      <c r="F20" s="20">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0">
        <f>IF($B20="","",IF(OR(cfgCurrentSpellingNum&lt;cfgCurrentExamNum,cfgCurrentSpellingNum&lt;=0,cfgCurrentSpellingNum&gt;12),"",IF(Spelling!$R17="INTERVENTION","BELOW "&amp;cfgSpellInterventionAvg&amp;" — intervention","")))</f>
        <v/>
      </c>
      <c r="H20" s="20">
        <f>IF($B20="","",sysAttendance!$J17&amp;" / PT "&amp;sysAttendance!$R17)</f>
        <v/>
      </c>
      <c r="I20" s="20">
        <f>IF($B20="","",Writing!$AT17&amp;" ("&amp;Writing!$AS17&amp;" overdue)")</f>
        <v/>
      </c>
      <c r="J20" s="20">
        <f>IF($B20="","",sysFlags!$T17)</f>
        <v/>
      </c>
    </row>
    <row r="21">
      <c r="B21" s="20">
        <f>IF(IF(OR(Cadets!$B18="",Cadets!$I18&lt;&gt;"Active"),FALSE,OR(cfgPreviewAgency=cfgHomeAgency,Cadets!$G18=cfgPreviewAgency)),Cadets!$F18,"")</f>
        <v/>
      </c>
      <c r="C21" s="20">
        <f>IF($B21="","",IF(COUNTIFS(nrES_PID,Cadets!$B18,nrES_Seq,cfgCurrentExamNum,nrES_Final,"Yes",nrES_Rec,"&gt;=0")=0,"",SUMIFS(nrES_Rec,nrES_PID,Cadets!$B18,nrES_Seq,cfgCurrentExamNum,nrES_Final,"Yes")))</f>
        <v/>
      </c>
      <c r="D21" s="20">
        <f>IF($B21="","",IFERROR(ROUND(AVERAGEIFS(nrES_Rec,nrES_Seq,cfgCurrentExamNum,nrES_Final,"Yes",nrES_Rec,"&gt;=0",nrES_Rec,"&lt;=100"),1),""))</f>
        <v/>
      </c>
      <c r="E21" s="20">
        <f>IF($B21="","",IF(COUNTIFS(nrES_PID,Cadets!$B18,nrES_Seq,cfgCurrentExamNum,nrES_Att,2,nrES_Raw,"&gt;=0",nrES_AttPass,"Yes")&gt;0,"RETEST (cap 70)",IF(COUNTIFS(nrES_PID,Cadets!$B18,nrES_Seq,cfgCurrentExamNum,nrES_Att,2,nrES_Raw,"&gt;=0",nrES_AttPass,"No")&gt;0,"RETEST FAILED (first-attempt score shown)","")))</f>
        <v/>
      </c>
      <c r="F21" s="20">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0">
        <f>IF($B21="","",IF(OR(cfgCurrentSpellingNum&lt;cfgCurrentExamNum,cfgCurrentSpellingNum&lt;=0,cfgCurrentSpellingNum&gt;12),"",IF(Spelling!$R18="INTERVENTION","BELOW "&amp;cfgSpellInterventionAvg&amp;" — intervention","")))</f>
        <v/>
      </c>
      <c r="H21" s="20">
        <f>IF($B21="","",sysAttendance!$J18&amp;" / PT "&amp;sysAttendance!$R18)</f>
        <v/>
      </c>
      <c r="I21" s="20">
        <f>IF($B21="","",Writing!$AT18&amp;" ("&amp;Writing!$AS18&amp;" overdue)")</f>
        <v/>
      </c>
      <c r="J21" s="20">
        <f>IF($B21="","",sysFlags!$T18)</f>
        <v/>
      </c>
    </row>
    <row r="22">
      <c r="B22" s="20">
        <f>IF(IF(OR(Cadets!$B19="",Cadets!$I19&lt;&gt;"Active"),FALSE,OR(cfgPreviewAgency=cfgHomeAgency,Cadets!$G19=cfgPreviewAgency)),Cadets!$F19,"")</f>
        <v/>
      </c>
      <c r="C22" s="20">
        <f>IF($B22="","",IF(COUNTIFS(nrES_PID,Cadets!$B19,nrES_Seq,cfgCurrentExamNum,nrES_Final,"Yes",nrES_Rec,"&gt;=0")=0,"",SUMIFS(nrES_Rec,nrES_PID,Cadets!$B19,nrES_Seq,cfgCurrentExamNum,nrES_Final,"Yes")))</f>
        <v/>
      </c>
      <c r="D22" s="20">
        <f>IF($B22="","",IFERROR(ROUND(AVERAGEIFS(nrES_Rec,nrES_Seq,cfgCurrentExamNum,nrES_Final,"Yes",nrES_Rec,"&gt;=0",nrES_Rec,"&lt;=100"),1),""))</f>
        <v/>
      </c>
      <c r="E22" s="20">
        <f>IF($B22="","",IF(COUNTIFS(nrES_PID,Cadets!$B19,nrES_Seq,cfgCurrentExamNum,nrES_Att,2,nrES_Raw,"&gt;=0",nrES_AttPass,"Yes")&gt;0,"RETEST (cap 70)",IF(COUNTIFS(nrES_PID,Cadets!$B19,nrES_Seq,cfgCurrentExamNum,nrES_Att,2,nrES_Raw,"&gt;=0",nrES_AttPass,"No")&gt;0,"RETEST FAILED (first-attempt score shown)","")))</f>
        <v/>
      </c>
      <c r="F22" s="20">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0">
        <f>IF($B22="","",IF(OR(cfgCurrentSpellingNum&lt;cfgCurrentExamNum,cfgCurrentSpellingNum&lt;=0,cfgCurrentSpellingNum&gt;12),"",IF(Spelling!$R19="INTERVENTION","BELOW "&amp;cfgSpellInterventionAvg&amp;" — intervention","")))</f>
        <v/>
      </c>
      <c r="H22" s="20">
        <f>IF($B22="","",sysAttendance!$J19&amp;" / PT "&amp;sysAttendance!$R19)</f>
        <v/>
      </c>
      <c r="I22" s="20">
        <f>IF($B22="","",Writing!$AT19&amp;" ("&amp;Writing!$AS19&amp;" overdue)")</f>
        <v/>
      </c>
      <c r="J22" s="20">
        <f>IF($B22="","",sysFlags!$T19)</f>
        <v/>
      </c>
    </row>
    <row r="23">
      <c r="B23" s="20">
        <f>IF(IF(OR(Cadets!$B20="",Cadets!$I20&lt;&gt;"Active"),FALSE,OR(cfgPreviewAgency=cfgHomeAgency,Cadets!$G20=cfgPreviewAgency)),Cadets!$F20,"")</f>
        <v/>
      </c>
      <c r="C23" s="20">
        <f>IF($B23="","",IF(COUNTIFS(nrES_PID,Cadets!$B20,nrES_Seq,cfgCurrentExamNum,nrES_Final,"Yes",nrES_Rec,"&gt;=0")=0,"",SUMIFS(nrES_Rec,nrES_PID,Cadets!$B20,nrES_Seq,cfgCurrentExamNum,nrES_Final,"Yes")))</f>
        <v/>
      </c>
      <c r="D23" s="20">
        <f>IF($B23="","",IFERROR(ROUND(AVERAGEIFS(nrES_Rec,nrES_Seq,cfgCurrentExamNum,nrES_Final,"Yes",nrES_Rec,"&gt;=0",nrES_Rec,"&lt;=100"),1),""))</f>
        <v/>
      </c>
      <c r="E23" s="20">
        <f>IF($B23="","",IF(COUNTIFS(nrES_PID,Cadets!$B20,nrES_Seq,cfgCurrentExamNum,nrES_Att,2,nrES_Raw,"&gt;=0",nrES_AttPass,"Yes")&gt;0,"RETEST (cap 70)",IF(COUNTIFS(nrES_PID,Cadets!$B20,nrES_Seq,cfgCurrentExamNum,nrES_Att,2,nrES_Raw,"&gt;=0",nrES_AttPass,"No")&gt;0,"RETEST FAILED (first-attempt score shown)","")))</f>
        <v/>
      </c>
      <c r="F23" s="20">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0">
        <f>IF($B23="","",IF(OR(cfgCurrentSpellingNum&lt;cfgCurrentExamNum,cfgCurrentSpellingNum&lt;=0,cfgCurrentSpellingNum&gt;12),"",IF(Spelling!$R20="INTERVENTION","BELOW "&amp;cfgSpellInterventionAvg&amp;" — intervention","")))</f>
        <v/>
      </c>
      <c r="H23" s="20">
        <f>IF($B23="","",sysAttendance!$J20&amp;" / PT "&amp;sysAttendance!$R20)</f>
        <v/>
      </c>
      <c r="I23" s="20">
        <f>IF($B23="","",Writing!$AT20&amp;" ("&amp;Writing!$AS20&amp;" overdue)")</f>
        <v/>
      </c>
      <c r="J23" s="20">
        <f>IF($B23="","",sysFlags!$T20)</f>
        <v/>
      </c>
    </row>
    <row r="24">
      <c r="B24" s="20">
        <f>IF(IF(OR(Cadets!$B21="",Cadets!$I21&lt;&gt;"Active"),FALSE,OR(cfgPreviewAgency=cfgHomeAgency,Cadets!$G21=cfgPreviewAgency)),Cadets!$F21,"")</f>
        <v/>
      </c>
      <c r="C24" s="20">
        <f>IF($B24="","",IF(COUNTIFS(nrES_PID,Cadets!$B21,nrES_Seq,cfgCurrentExamNum,nrES_Final,"Yes",nrES_Rec,"&gt;=0")=0,"",SUMIFS(nrES_Rec,nrES_PID,Cadets!$B21,nrES_Seq,cfgCurrentExamNum,nrES_Final,"Yes")))</f>
        <v/>
      </c>
      <c r="D24" s="20">
        <f>IF($B24="","",IFERROR(ROUND(AVERAGEIFS(nrES_Rec,nrES_Seq,cfgCurrentExamNum,nrES_Final,"Yes",nrES_Rec,"&gt;=0",nrES_Rec,"&lt;=100"),1),""))</f>
        <v/>
      </c>
      <c r="E24" s="20">
        <f>IF($B24="","",IF(COUNTIFS(nrES_PID,Cadets!$B21,nrES_Seq,cfgCurrentExamNum,nrES_Att,2,nrES_Raw,"&gt;=0",nrES_AttPass,"Yes")&gt;0,"RETEST (cap 70)",IF(COUNTIFS(nrES_PID,Cadets!$B21,nrES_Seq,cfgCurrentExamNum,nrES_Att,2,nrES_Raw,"&gt;=0",nrES_AttPass,"No")&gt;0,"RETEST FAILED (first-attempt score shown)","")))</f>
        <v/>
      </c>
      <c r="F24" s="20">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0">
        <f>IF($B24="","",IF(OR(cfgCurrentSpellingNum&lt;cfgCurrentExamNum,cfgCurrentSpellingNum&lt;=0,cfgCurrentSpellingNum&gt;12),"",IF(Spelling!$R21="INTERVENTION","BELOW "&amp;cfgSpellInterventionAvg&amp;" — intervention","")))</f>
        <v/>
      </c>
      <c r="H24" s="20">
        <f>IF($B24="","",sysAttendance!$J21&amp;" / PT "&amp;sysAttendance!$R21)</f>
        <v/>
      </c>
      <c r="I24" s="20">
        <f>IF($B24="","",Writing!$AT21&amp;" ("&amp;Writing!$AS21&amp;" overdue)")</f>
        <v/>
      </c>
      <c r="J24" s="20">
        <f>IF($B24="","",sysFlags!$T21)</f>
        <v/>
      </c>
    </row>
    <row r="25">
      <c r="B25" s="20">
        <f>IF(IF(OR(Cadets!$B22="",Cadets!$I22&lt;&gt;"Active"),FALSE,OR(cfgPreviewAgency=cfgHomeAgency,Cadets!$G22=cfgPreviewAgency)),Cadets!$F22,"")</f>
        <v/>
      </c>
      <c r="C25" s="20">
        <f>IF($B25="","",IF(COUNTIFS(nrES_PID,Cadets!$B22,nrES_Seq,cfgCurrentExamNum,nrES_Final,"Yes",nrES_Rec,"&gt;=0")=0,"",SUMIFS(nrES_Rec,nrES_PID,Cadets!$B22,nrES_Seq,cfgCurrentExamNum,nrES_Final,"Yes")))</f>
        <v/>
      </c>
      <c r="D25" s="20">
        <f>IF($B25="","",IFERROR(ROUND(AVERAGEIFS(nrES_Rec,nrES_Seq,cfgCurrentExamNum,nrES_Final,"Yes",nrES_Rec,"&gt;=0",nrES_Rec,"&lt;=100"),1),""))</f>
        <v/>
      </c>
      <c r="E25" s="20">
        <f>IF($B25="","",IF(COUNTIFS(nrES_PID,Cadets!$B22,nrES_Seq,cfgCurrentExamNum,nrES_Att,2,nrES_Raw,"&gt;=0",nrES_AttPass,"Yes")&gt;0,"RETEST (cap 70)",IF(COUNTIFS(nrES_PID,Cadets!$B22,nrES_Seq,cfgCurrentExamNum,nrES_Att,2,nrES_Raw,"&gt;=0",nrES_AttPass,"No")&gt;0,"RETEST FAILED (first-attempt score shown)","")))</f>
        <v/>
      </c>
      <c r="F25" s="20">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0">
        <f>IF($B25="","",IF(OR(cfgCurrentSpellingNum&lt;cfgCurrentExamNum,cfgCurrentSpellingNum&lt;=0,cfgCurrentSpellingNum&gt;12),"",IF(Spelling!$R22="INTERVENTION","BELOW "&amp;cfgSpellInterventionAvg&amp;" — intervention","")))</f>
        <v/>
      </c>
      <c r="H25" s="20">
        <f>IF($B25="","",sysAttendance!$J22&amp;" / PT "&amp;sysAttendance!$R22)</f>
        <v/>
      </c>
      <c r="I25" s="20">
        <f>IF($B25="","",Writing!$AT22&amp;" ("&amp;Writing!$AS22&amp;" overdue)")</f>
        <v/>
      </c>
      <c r="J25" s="20">
        <f>IF($B25="","",sysFlags!$T22)</f>
        <v/>
      </c>
    </row>
    <row r="26">
      <c r="B26" s="20">
        <f>IF(IF(OR(Cadets!$B23="",Cadets!$I23&lt;&gt;"Active"),FALSE,OR(cfgPreviewAgency=cfgHomeAgency,Cadets!$G23=cfgPreviewAgency)),Cadets!$F23,"")</f>
        <v/>
      </c>
      <c r="C26" s="20">
        <f>IF($B26="","",IF(COUNTIFS(nrES_PID,Cadets!$B23,nrES_Seq,cfgCurrentExamNum,nrES_Final,"Yes",nrES_Rec,"&gt;=0")=0,"",SUMIFS(nrES_Rec,nrES_PID,Cadets!$B23,nrES_Seq,cfgCurrentExamNum,nrES_Final,"Yes")))</f>
        <v/>
      </c>
      <c r="D26" s="20">
        <f>IF($B26="","",IFERROR(ROUND(AVERAGEIFS(nrES_Rec,nrES_Seq,cfgCurrentExamNum,nrES_Final,"Yes",nrES_Rec,"&gt;=0",nrES_Rec,"&lt;=100"),1),""))</f>
        <v/>
      </c>
      <c r="E26" s="20">
        <f>IF($B26="","",IF(COUNTIFS(nrES_PID,Cadets!$B23,nrES_Seq,cfgCurrentExamNum,nrES_Att,2,nrES_Raw,"&gt;=0",nrES_AttPass,"Yes")&gt;0,"RETEST (cap 70)",IF(COUNTIFS(nrES_PID,Cadets!$B23,nrES_Seq,cfgCurrentExamNum,nrES_Att,2,nrES_Raw,"&gt;=0",nrES_AttPass,"No")&gt;0,"RETEST FAILED (first-attempt score shown)","")))</f>
        <v/>
      </c>
      <c r="F26" s="20">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0">
        <f>IF($B26="","",IF(OR(cfgCurrentSpellingNum&lt;cfgCurrentExamNum,cfgCurrentSpellingNum&lt;=0,cfgCurrentSpellingNum&gt;12),"",IF(Spelling!$R23="INTERVENTION","BELOW "&amp;cfgSpellInterventionAvg&amp;" — intervention","")))</f>
        <v/>
      </c>
      <c r="H26" s="20">
        <f>IF($B26="","",sysAttendance!$J23&amp;" / PT "&amp;sysAttendance!$R23)</f>
        <v/>
      </c>
      <c r="I26" s="20">
        <f>IF($B26="","",Writing!$AT23&amp;" ("&amp;Writing!$AS23&amp;" overdue)")</f>
        <v/>
      </c>
      <c r="J26" s="20">
        <f>IF($B26="","",sysFlags!$T23)</f>
        <v/>
      </c>
    </row>
    <row r="27">
      <c r="B27" s="20">
        <f>IF(IF(OR(Cadets!$B24="",Cadets!$I24&lt;&gt;"Active"),FALSE,OR(cfgPreviewAgency=cfgHomeAgency,Cadets!$G24=cfgPreviewAgency)),Cadets!$F24,"")</f>
        <v/>
      </c>
      <c r="C27" s="20">
        <f>IF($B27="","",IF(COUNTIFS(nrES_PID,Cadets!$B24,nrES_Seq,cfgCurrentExamNum,nrES_Final,"Yes",nrES_Rec,"&gt;=0")=0,"",SUMIFS(nrES_Rec,nrES_PID,Cadets!$B24,nrES_Seq,cfgCurrentExamNum,nrES_Final,"Yes")))</f>
        <v/>
      </c>
      <c r="D27" s="20">
        <f>IF($B27="","",IFERROR(ROUND(AVERAGEIFS(nrES_Rec,nrES_Seq,cfgCurrentExamNum,nrES_Final,"Yes",nrES_Rec,"&gt;=0",nrES_Rec,"&lt;=100"),1),""))</f>
        <v/>
      </c>
      <c r="E27" s="20">
        <f>IF($B27="","",IF(COUNTIFS(nrES_PID,Cadets!$B24,nrES_Seq,cfgCurrentExamNum,nrES_Att,2,nrES_Raw,"&gt;=0",nrES_AttPass,"Yes")&gt;0,"RETEST (cap 70)",IF(COUNTIFS(nrES_PID,Cadets!$B24,nrES_Seq,cfgCurrentExamNum,nrES_Att,2,nrES_Raw,"&gt;=0",nrES_AttPass,"No")&gt;0,"RETEST FAILED (first-attempt score shown)","")))</f>
        <v/>
      </c>
      <c r="F27" s="20">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0">
        <f>IF($B27="","",IF(OR(cfgCurrentSpellingNum&lt;cfgCurrentExamNum,cfgCurrentSpellingNum&lt;=0,cfgCurrentSpellingNum&gt;12),"",IF(Spelling!$R24="INTERVENTION","BELOW "&amp;cfgSpellInterventionAvg&amp;" — intervention","")))</f>
        <v/>
      </c>
      <c r="H27" s="20">
        <f>IF($B27="","",sysAttendance!$J24&amp;" / PT "&amp;sysAttendance!$R24)</f>
        <v/>
      </c>
      <c r="I27" s="20">
        <f>IF($B27="","",Writing!$AT24&amp;" ("&amp;Writing!$AS24&amp;" overdue)")</f>
        <v/>
      </c>
      <c r="J27" s="20">
        <f>IF($B27="","",sysFlags!$T24)</f>
        <v/>
      </c>
    </row>
    <row r="28">
      <c r="B28" s="20">
        <f>IF(IF(OR(Cadets!$B25="",Cadets!$I25&lt;&gt;"Active"),FALSE,OR(cfgPreviewAgency=cfgHomeAgency,Cadets!$G25=cfgPreviewAgency)),Cadets!$F25,"")</f>
        <v/>
      </c>
      <c r="C28" s="20">
        <f>IF($B28="","",IF(COUNTIFS(nrES_PID,Cadets!$B25,nrES_Seq,cfgCurrentExamNum,nrES_Final,"Yes",nrES_Rec,"&gt;=0")=0,"",SUMIFS(nrES_Rec,nrES_PID,Cadets!$B25,nrES_Seq,cfgCurrentExamNum,nrES_Final,"Yes")))</f>
        <v/>
      </c>
      <c r="D28" s="20">
        <f>IF($B28="","",IFERROR(ROUND(AVERAGEIFS(nrES_Rec,nrES_Seq,cfgCurrentExamNum,nrES_Final,"Yes",nrES_Rec,"&gt;=0",nrES_Rec,"&lt;=100"),1),""))</f>
        <v/>
      </c>
      <c r="E28" s="20">
        <f>IF($B28="","",IF(COUNTIFS(nrES_PID,Cadets!$B25,nrES_Seq,cfgCurrentExamNum,nrES_Att,2,nrES_Raw,"&gt;=0",nrES_AttPass,"Yes")&gt;0,"RETEST (cap 70)",IF(COUNTIFS(nrES_PID,Cadets!$B25,nrES_Seq,cfgCurrentExamNum,nrES_Att,2,nrES_Raw,"&gt;=0",nrES_AttPass,"No")&gt;0,"RETEST FAILED (first-attempt score shown)","")))</f>
        <v/>
      </c>
      <c r="F28" s="20">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0">
        <f>IF($B28="","",IF(OR(cfgCurrentSpellingNum&lt;cfgCurrentExamNum,cfgCurrentSpellingNum&lt;=0,cfgCurrentSpellingNum&gt;12),"",IF(Spelling!$R25="INTERVENTION","BELOW "&amp;cfgSpellInterventionAvg&amp;" — intervention","")))</f>
        <v/>
      </c>
      <c r="H28" s="20">
        <f>IF($B28="","",sysAttendance!$J25&amp;" / PT "&amp;sysAttendance!$R25)</f>
        <v/>
      </c>
      <c r="I28" s="20">
        <f>IF($B28="","",Writing!$AT25&amp;" ("&amp;Writing!$AS25&amp;" overdue)")</f>
        <v/>
      </c>
      <c r="J28" s="20">
        <f>IF($B28="","",sysFlags!$T25)</f>
        <v/>
      </c>
    </row>
    <row r="29">
      <c r="B29" s="20">
        <f>IF(IF(OR(Cadets!$B26="",Cadets!$I26&lt;&gt;"Active"),FALSE,OR(cfgPreviewAgency=cfgHomeAgency,Cadets!$G26=cfgPreviewAgency)),Cadets!$F26,"")</f>
        <v/>
      </c>
      <c r="C29" s="20">
        <f>IF($B29="","",IF(COUNTIFS(nrES_PID,Cadets!$B26,nrES_Seq,cfgCurrentExamNum,nrES_Final,"Yes",nrES_Rec,"&gt;=0")=0,"",SUMIFS(nrES_Rec,nrES_PID,Cadets!$B26,nrES_Seq,cfgCurrentExamNum,nrES_Final,"Yes")))</f>
        <v/>
      </c>
      <c r="D29" s="20">
        <f>IF($B29="","",IFERROR(ROUND(AVERAGEIFS(nrES_Rec,nrES_Seq,cfgCurrentExamNum,nrES_Final,"Yes",nrES_Rec,"&gt;=0",nrES_Rec,"&lt;=100"),1),""))</f>
        <v/>
      </c>
      <c r="E29" s="20">
        <f>IF($B29="","",IF(COUNTIFS(nrES_PID,Cadets!$B26,nrES_Seq,cfgCurrentExamNum,nrES_Att,2,nrES_Raw,"&gt;=0",nrES_AttPass,"Yes")&gt;0,"RETEST (cap 70)",IF(COUNTIFS(nrES_PID,Cadets!$B26,nrES_Seq,cfgCurrentExamNum,nrES_Att,2,nrES_Raw,"&gt;=0",nrES_AttPass,"No")&gt;0,"RETEST FAILED (first-attempt score shown)","")))</f>
        <v/>
      </c>
      <c r="F29" s="20">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0">
        <f>IF($B29="","",IF(OR(cfgCurrentSpellingNum&lt;cfgCurrentExamNum,cfgCurrentSpellingNum&lt;=0,cfgCurrentSpellingNum&gt;12),"",IF(Spelling!$R26="INTERVENTION","BELOW "&amp;cfgSpellInterventionAvg&amp;" — intervention","")))</f>
        <v/>
      </c>
      <c r="H29" s="20">
        <f>IF($B29="","",sysAttendance!$J26&amp;" / PT "&amp;sysAttendance!$R26)</f>
        <v/>
      </c>
      <c r="I29" s="20">
        <f>IF($B29="","",Writing!$AT26&amp;" ("&amp;Writing!$AS26&amp;" overdue)")</f>
        <v/>
      </c>
      <c r="J29" s="20">
        <f>IF($B29="","",sysFlags!$T26)</f>
        <v/>
      </c>
    </row>
    <row r="30">
      <c r="B30" s="20">
        <f>IF(IF(OR(Cadets!$B27="",Cadets!$I27&lt;&gt;"Active"),FALSE,OR(cfgPreviewAgency=cfgHomeAgency,Cadets!$G27=cfgPreviewAgency)),Cadets!$F27,"")</f>
        <v/>
      </c>
      <c r="C30" s="20">
        <f>IF($B30="","",IF(COUNTIFS(nrES_PID,Cadets!$B27,nrES_Seq,cfgCurrentExamNum,nrES_Final,"Yes",nrES_Rec,"&gt;=0")=0,"",SUMIFS(nrES_Rec,nrES_PID,Cadets!$B27,nrES_Seq,cfgCurrentExamNum,nrES_Final,"Yes")))</f>
        <v/>
      </c>
      <c r="D30" s="20">
        <f>IF($B30="","",IFERROR(ROUND(AVERAGEIFS(nrES_Rec,nrES_Seq,cfgCurrentExamNum,nrES_Final,"Yes",nrES_Rec,"&gt;=0",nrES_Rec,"&lt;=100"),1),""))</f>
        <v/>
      </c>
      <c r="E30" s="20">
        <f>IF($B30="","",IF(COUNTIFS(nrES_PID,Cadets!$B27,nrES_Seq,cfgCurrentExamNum,nrES_Att,2,nrES_Raw,"&gt;=0",nrES_AttPass,"Yes")&gt;0,"RETEST (cap 70)",IF(COUNTIFS(nrES_PID,Cadets!$B27,nrES_Seq,cfgCurrentExamNum,nrES_Att,2,nrES_Raw,"&gt;=0",nrES_AttPass,"No")&gt;0,"RETEST FAILED (first-attempt score shown)","")))</f>
        <v/>
      </c>
      <c r="F30" s="20">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0">
        <f>IF($B30="","",IF(OR(cfgCurrentSpellingNum&lt;cfgCurrentExamNum,cfgCurrentSpellingNum&lt;=0,cfgCurrentSpellingNum&gt;12),"",IF(Spelling!$R27="INTERVENTION","BELOW "&amp;cfgSpellInterventionAvg&amp;" — intervention","")))</f>
        <v/>
      </c>
      <c r="H30" s="20">
        <f>IF($B30="","",sysAttendance!$J27&amp;" / PT "&amp;sysAttendance!$R27)</f>
        <v/>
      </c>
      <c r="I30" s="20">
        <f>IF($B30="","",Writing!$AT27&amp;" ("&amp;Writing!$AS27&amp;" overdue)")</f>
        <v/>
      </c>
      <c r="J30" s="20">
        <f>IF($B30="","",sysFlags!$T27)</f>
        <v/>
      </c>
    </row>
    <row r="31">
      <c r="B31" s="20">
        <f>IF(IF(OR(Cadets!$B28="",Cadets!$I28&lt;&gt;"Active"),FALSE,OR(cfgPreviewAgency=cfgHomeAgency,Cadets!$G28=cfgPreviewAgency)),Cadets!$F28,"")</f>
        <v/>
      </c>
      <c r="C31" s="20">
        <f>IF($B31="","",IF(COUNTIFS(nrES_PID,Cadets!$B28,nrES_Seq,cfgCurrentExamNum,nrES_Final,"Yes",nrES_Rec,"&gt;=0")=0,"",SUMIFS(nrES_Rec,nrES_PID,Cadets!$B28,nrES_Seq,cfgCurrentExamNum,nrES_Final,"Yes")))</f>
        <v/>
      </c>
      <c r="D31" s="20">
        <f>IF($B31="","",IFERROR(ROUND(AVERAGEIFS(nrES_Rec,nrES_Seq,cfgCurrentExamNum,nrES_Final,"Yes",nrES_Rec,"&gt;=0",nrES_Rec,"&lt;=100"),1),""))</f>
        <v/>
      </c>
      <c r="E31" s="20">
        <f>IF($B31="","",IF(COUNTIFS(nrES_PID,Cadets!$B28,nrES_Seq,cfgCurrentExamNum,nrES_Att,2,nrES_Raw,"&gt;=0",nrES_AttPass,"Yes")&gt;0,"RETEST (cap 70)",IF(COUNTIFS(nrES_PID,Cadets!$B28,nrES_Seq,cfgCurrentExamNum,nrES_Att,2,nrES_Raw,"&gt;=0",nrES_AttPass,"No")&gt;0,"RETEST FAILED (first-attempt score shown)","")))</f>
        <v/>
      </c>
      <c r="F31" s="20">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0">
        <f>IF($B31="","",IF(OR(cfgCurrentSpellingNum&lt;cfgCurrentExamNum,cfgCurrentSpellingNum&lt;=0,cfgCurrentSpellingNum&gt;12),"",IF(Spelling!$R28="INTERVENTION","BELOW "&amp;cfgSpellInterventionAvg&amp;" — intervention","")))</f>
        <v/>
      </c>
      <c r="H31" s="20">
        <f>IF($B31="","",sysAttendance!$J28&amp;" / PT "&amp;sysAttendance!$R28)</f>
        <v/>
      </c>
      <c r="I31" s="20">
        <f>IF($B31="","",Writing!$AT28&amp;" ("&amp;Writing!$AS28&amp;" overdue)")</f>
        <v/>
      </c>
      <c r="J31" s="20">
        <f>IF($B31="","",sysFlags!$T28)</f>
        <v/>
      </c>
    </row>
    <row r="32">
      <c r="B32" s="20">
        <f>IF(IF(OR(Cadets!$B29="",Cadets!$I29&lt;&gt;"Active"),FALSE,OR(cfgPreviewAgency=cfgHomeAgency,Cadets!$G29=cfgPreviewAgency)),Cadets!$F29,"")</f>
        <v/>
      </c>
      <c r="C32" s="20">
        <f>IF($B32="","",IF(COUNTIFS(nrES_PID,Cadets!$B29,nrES_Seq,cfgCurrentExamNum,nrES_Final,"Yes",nrES_Rec,"&gt;=0")=0,"",SUMIFS(nrES_Rec,nrES_PID,Cadets!$B29,nrES_Seq,cfgCurrentExamNum,nrES_Final,"Yes")))</f>
        <v/>
      </c>
      <c r="D32" s="20">
        <f>IF($B32="","",IFERROR(ROUND(AVERAGEIFS(nrES_Rec,nrES_Seq,cfgCurrentExamNum,nrES_Final,"Yes",nrES_Rec,"&gt;=0",nrES_Rec,"&lt;=100"),1),""))</f>
        <v/>
      </c>
      <c r="E32" s="20">
        <f>IF($B32="","",IF(COUNTIFS(nrES_PID,Cadets!$B29,nrES_Seq,cfgCurrentExamNum,nrES_Att,2,nrES_Raw,"&gt;=0",nrES_AttPass,"Yes")&gt;0,"RETEST (cap 70)",IF(COUNTIFS(nrES_PID,Cadets!$B29,nrES_Seq,cfgCurrentExamNum,nrES_Att,2,nrES_Raw,"&gt;=0",nrES_AttPass,"No")&gt;0,"RETEST FAILED (first-attempt score shown)","")))</f>
        <v/>
      </c>
      <c r="F32" s="20">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0">
        <f>IF($B32="","",IF(OR(cfgCurrentSpellingNum&lt;cfgCurrentExamNum,cfgCurrentSpellingNum&lt;=0,cfgCurrentSpellingNum&gt;12),"",IF(Spelling!$R29="INTERVENTION","BELOW "&amp;cfgSpellInterventionAvg&amp;" — intervention","")))</f>
        <v/>
      </c>
      <c r="H32" s="20">
        <f>IF($B32="","",sysAttendance!$J29&amp;" / PT "&amp;sysAttendance!$R29)</f>
        <v/>
      </c>
      <c r="I32" s="20">
        <f>IF($B32="","",Writing!$AT29&amp;" ("&amp;Writing!$AS29&amp;" overdue)")</f>
        <v/>
      </c>
      <c r="J32" s="20">
        <f>IF($B32="","",sysFlags!$T29)</f>
        <v/>
      </c>
    </row>
    <row r="33">
      <c r="B33" s="20">
        <f>IF(IF(OR(Cadets!$B30="",Cadets!$I30&lt;&gt;"Active"),FALSE,OR(cfgPreviewAgency=cfgHomeAgency,Cadets!$G30=cfgPreviewAgency)),Cadets!$F30,"")</f>
        <v/>
      </c>
      <c r="C33" s="20">
        <f>IF($B33="","",IF(COUNTIFS(nrES_PID,Cadets!$B30,nrES_Seq,cfgCurrentExamNum,nrES_Final,"Yes",nrES_Rec,"&gt;=0")=0,"",SUMIFS(nrES_Rec,nrES_PID,Cadets!$B30,nrES_Seq,cfgCurrentExamNum,nrES_Final,"Yes")))</f>
        <v/>
      </c>
      <c r="D33" s="20">
        <f>IF($B33="","",IFERROR(ROUND(AVERAGEIFS(nrES_Rec,nrES_Seq,cfgCurrentExamNum,nrES_Final,"Yes",nrES_Rec,"&gt;=0",nrES_Rec,"&lt;=100"),1),""))</f>
        <v/>
      </c>
      <c r="E33" s="20">
        <f>IF($B33="","",IF(COUNTIFS(nrES_PID,Cadets!$B30,nrES_Seq,cfgCurrentExamNum,nrES_Att,2,nrES_Raw,"&gt;=0",nrES_AttPass,"Yes")&gt;0,"RETEST (cap 70)",IF(COUNTIFS(nrES_PID,Cadets!$B30,nrES_Seq,cfgCurrentExamNum,nrES_Att,2,nrES_Raw,"&gt;=0",nrES_AttPass,"No")&gt;0,"RETEST FAILED (first-attempt score shown)","")))</f>
        <v/>
      </c>
      <c r="F33" s="20">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0">
        <f>IF($B33="","",IF(OR(cfgCurrentSpellingNum&lt;cfgCurrentExamNum,cfgCurrentSpellingNum&lt;=0,cfgCurrentSpellingNum&gt;12),"",IF(Spelling!$R30="INTERVENTION","BELOW "&amp;cfgSpellInterventionAvg&amp;" — intervention","")))</f>
        <v/>
      </c>
      <c r="H33" s="20">
        <f>IF($B33="","",sysAttendance!$J30&amp;" / PT "&amp;sysAttendance!$R30)</f>
        <v/>
      </c>
      <c r="I33" s="20">
        <f>IF($B33="","",Writing!$AT30&amp;" ("&amp;Writing!$AS30&amp;" overdue)")</f>
        <v/>
      </c>
      <c r="J33" s="20">
        <f>IF($B33="","",sysFlags!$T30)</f>
        <v/>
      </c>
    </row>
    <row r="34">
      <c r="B34" s="20">
        <f>IF(IF(OR(Cadets!$B31="",Cadets!$I31&lt;&gt;"Active"),FALSE,OR(cfgPreviewAgency=cfgHomeAgency,Cadets!$G31=cfgPreviewAgency)),Cadets!$F31,"")</f>
        <v/>
      </c>
      <c r="C34" s="20">
        <f>IF($B34="","",IF(COUNTIFS(nrES_PID,Cadets!$B31,nrES_Seq,cfgCurrentExamNum,nrES_Final,"Yes",nrES_Rec,"&gt;=0")=0,"",SUMIFS(nrES_Rec,nrES_PID,Cadets!$B31,nrES_Seq,cfgCurrentExamNum,nrES_Final,"Yes")))</f>
        <v/>
      </c>
      <c r="D34" s="20">
        <f>IF($B34="","",IFERROR(ROUND(AVERAGEIFS(nrES_Rec,nrES_Seq,cfgCurrentExamNum,nrES_Final,"Yes",nrES_Rec,"&gt;=0",nrES_Rec,"&lt;=100"),1),""))</f>
        <v/>
      </c>
      <c r="E34" s="20">
        <f>IF($B34="","",IF(COUNTIFS(nrES_PID,Cadets!$B31,nrES_Seq,cfgCurrentExamNum,nrES_Att,2,nrES_Raw,"&gt;=0",nrES_AttPass,"Yes")&gt;0,"RETEST (cap 70)",IF(COUNTIFS(nrES_PID,Cadets!$B31,nrES_Seq,cfgCurrentExamNum,nrES_Att,2,nrES_Raw,"&gt;=0",nrES_AttPass,"No")&gt;0,"RETEST FAILED (first-attempt score shown)","")))</f>
        <v/>
      </c>
      <c r="F34" s="20">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0">
        <f>IF($B34="","",IF(OR(cfgCurrentSpellingNum&lt;cfgCurrentExamNum,cfgCurrentSpellingNum&lt;=0,cfgCurrentSpellingNum&gt;12),"",IF(Spelling!$R31="INTERVENTION","BELOW "&amp;cfgSpellInterventionAvg&amp;" — intervention","")))</f>
        <v/>
      </c>
      <c r="H34" s="20">
        <f>IF($B34="","",sysAttendance!$J31&amp;" / PT "&amp;sysAttendance!$R31)</f>
        <v/>
      </c>
      <c r="I34" s="20">
        <f>IF($B34="","",Writing!$AT31&amp;" ("&amp;Writing!$AS31&amp;" overdue)")</f>
        <v/>
      </c>
      <c r="J34" s="20">
        <f>IF($B34="","",sysFlags!$T31)</f>
        <v/>
      </c>
    </row>
    <row r="35">
      <c r="B35" s="20">
        <f>IF(IF(OR(Cadets!$B32="",Cadets!$I32&lt;&gt;"Active"),FALSE,OR(cfgPreviewAgency=cfgHomeAgency,Cadets!$G32=cfgPreviewAgency)),Cadets!$F32,"")</f>
        <v/>
      </c>
      <c r="C35" s="20">
        <f>IF($B35="","",IF(COUNTIFS(nrES_PID,Cadets!$B32,nrES_Seq,cfgCurrentExamNum,nrES_Final,"Yes",nrES_Rec,"&gt;=0")=0,"",SUMIFS(nrES_Rec,nrES_PID,Cadets!$B32,nrES_Seq,cfgCurrentExamNum,nrES_Final,"Yes")))</f>
        <v/>
      </c>
      <c r="D35" s="20">
        <f>IF($B35="","",IFERROR(ROUND(AVERAGEIFS(nrES_Rec,nrES_Seq,cfgCurrentExamNum,nrES_Final,"Yes",nrES_Rec,"&gt;=0",nrES_Rec,"&lt;=100"),1),""))</f>
        <v/>
      </c>
      <c r="E35" s="20">
        <f>IF($B35="","",IF(COUNTIFS(nrES_PID,Cadets!$B32,nrES_Seq,cfgCurrentExamNum,nrES_Att,2,nrES_Raw,"&gt;=0",nrES_AttPass,"Yes")&gt;0,"RETEST (cap 70)",IF(COUNTIFS(nrES_PID,Cadets!$B32,nrES_Seq,cfgCurrentExamNum,nrES_Att,2,nrES_Raw,"&gt;=0",nrES_AttPass,"No")&gt;0,"RETEST FAILED (first-attempt score shown)","")))</f>
        <v/>
      </c>
      <c r="F35" s="20">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0">
        <f>IF($B35="","",IF(OR(cfgCurrentSpellingNum&lt;cfgCurrentExamNum,cfgCurrentSpellingNum&lt;=0,cfgCurrentSpellingNum&gt;12),"",IF(Spelling!$R32="INTERVENTION","BELOW "&amp;cfgSpellInterventionAvg&amp;" — intervention","")))</f>
        <v/>
      </c>
      <c r="H35" s="20">
        <f>IF($B35="","",sysAttendance!$J32&amp;" / PT "&amp;sysAttendance!$R32)</f>
        <v/>
      </c>
      <c r="I35" s="20">
        <f>IF($B35="","",Writing!$AT32&amp;" ("&amp;Writing!$AS32&amp;" overdue)")</f>
        <v/>
      </c>
      <c r="J35" s="20">
        <f>IF($B35="","",sysFlags!$T32)</f>
        <v/>
      </c>
    </row>
    <row r="36">
      <c r="B36" s="20">
        <f>IF(IF(OR(Cadets!$B33="",Cadets!$I33&lt;&gt;"Active"),FALSE,OR(cfgPreviewAgency=cfgHomeAgency,Cadets!$G33=cfgPreviewAgency)),Cadets!$F33,"")</f>
        <v/>
      </c>
      <c r="C36" s="20">
        <f>IF($B36="","",IF(COUNTIFS(nrES_PID,Cadets!$B33,nrES_Seq,cfgCurrentExamNum,nrES_Final,"Yes",nrES_Rec,"&gt;=0")=0,"",SUMIFS(nrES_Rec,nrES_PID,Cadets!$B33,nrES_Seq,cfgCurrentExamNum,nrES_Final,"Yes")))</f>
        <v/>
      </c>
      <c r="D36" s="20">
        <f>IF($B36="","",IFERROR(ROUND(AVERAGEIFS(nrES_Rec,nrES_Seq,cfgCurrentExamNum,nrES_Final,"Yes",nrES_Rec,"&gt;=0",nrES_Rec,"&lt;=100"),1),""))</f>
        <v/>
      </c>
      <c r="E36" s="20">
        <f>IF($B36="","",IF(COUNTIFS(nrES_PID,Cadets!$B33,nrES_Seq,cfgCurrentExamNum,nrES_Att,2,nrES_Raw,"&gt;=0",nrES_AttPass,"Yes")&gt;0,"RETEST (cap 70)",IF(COUNTIFS(nrES_PID,Cadets!$B33,nrES_Seq,cfgCurrentExamNum,nrES_Att,2,nrES_Raw,"&gt;=0",nrES_AttPass,"No")&gt;0,"RETEST FAILED (first-attempt score shown)","")))</f>
        <v/>
      </c>
      <c r="F36" s="20">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0">
        <f>IF($B36="","",IF(OR(cfgCurrentSpellingNum&lt;cfgCurrentExamNum,cfgCurrentSpellingNum&lt;=0,cfgCurrentSpellingNum&gt;12),"",IF(Spelling!$R33="INTERVENTION","BELOW "&amp;cfgSpellInterventionAvg&amp;" — intervention","")))</f>
        <v/>
      </c>
      <c r="H36" s="20">
        <f>IF($B36="","",sysAttendance!$J33&amp;" / PT "&amp;sysAttendance!$R33)</f>
        <v/>
      </c>
      <c r="I36" s="20">
        <f>IF($B36="","",Writing!$AT33&amp;" ("&amp;Writing!$AS33&amp;" overdue)")</f>
        <v/>
      </c>
      <c r="J36" s="20">
        <f>IF($B36="","",sysFlags!$T33)</f>
        <v/>
      </c>
    </row>
    <row r="37">
      <c r="B37" s="20">
        <f>IF(IF(OR(Cadets!$B34="",Cadets!$I34&lt;&gt;"Active"),FALSE,OR(cfgPreviewAgency=cfgHomeAgency,Cadets!$G34=cfgPreviewAgency)),Cadets!$F34,"")</f>
        <v/>
      </c>
      <c r="C37" s="20">
        <f>IF($B37="","",IF(COUNTIFS(nrES_PID,Cadets!$B34,nrES_Seq,cfgCurrentExamNum,nrES_Final,"Yes",nrES_Rec,"&gt;=0")=0,"",SUMIFS(nrES_Rec,nrES_PID,Cadets!$B34,nrES_Seq,cfgCurrentExamNum,nrES_Final,"Yes")))</f>
        <v/>
      </c>
      <c r="D37" s="20">
        <f>IF($B37="","",IFERROR(ROUND(AVERAGEIFS(nrES_Rec,nrES_Seq,cfgCurrentExamNum,nrES_Final,"Yes",nrES_Rec,"&gt;=0",nrES_Rec,"&lt;=100"),1),""))</f>
        <v/>
      </c>
      <c r="E37" s="20">
        <f>IF($B37="","",IF(COUNTIFS(nrES_PID,Cadets!$B34,nrES_Seq,cfgCurrentExamNum,nrES_Att,2,nrES_Raw,"&gt;=0",nrES_AttPass,"Yes")&gt;0,"RETEST (cap 70)",IF(COUNTIFS(nrES_PID,Cadets!$B34,nrES_Seq,cfgCurrentExamNum,nrES_Att,2,nrES_Raw,"&gt;=0",nrES_AttPass,"No")&gt;0,"RETEST FAILED (first-attempt score shown)","")))</f>
        <v/>
      </c>
      <c r="F37" s="20">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0">
        <f>IF($B37="","",IF(OR(cfgCurrentSpellingNum&lt;cfgCurrentExamNum,cfgCurrentSpellingNum&lt;=0,cfgCurrentSpellingNum&gt;12),"",IF(Spelling!$R34="INTERVENTION","BELOW "&amp;cfgSpellInterventionAvg&amp;" — intervention","")))</f>
        <v/>
      </c>
      <c r="H37" s="20">
        <f>IF($B37="","",sysAttendance!$J34&amp;" / PT "&amp;sysAttendance!$R34)</f>
        <v/>
      </c>
      <c r="I37" s="20">
        <f>IF($B37="","",Writing!$AT34&amp;" ("&amp;Writing!$AS34&amp;" overdue)")</f>
        <v/>
      </c>
      <c r="J37" s="20">
        <f>IF($B37="","",sysFlags!$T34)</f>
        <v/>
      </c>
    </row>
    <row r="38">
      <c r="B38" s="20">
        <f>IF(IF(OR(Cadets!$B35="",Cadets!$I35&lt;&gt;"Active"),FALSE,OR(cfgPreviewAgency=cfgHomeAgency,Cadets!$G35=cfgPreviewAgency)),Cadets!$F35,"")</f>
        <v/>
      </c>
      <c r="C38" s="20">
        <f>IF($B38="","",IF(COUNTIFS(nrES_PID,Cadets!$B35,nrES_Seq,cfgCurrentExamNum,nrES_Final,"Yes",nrES_Rec,"&gt;=0")=0,"",SUMIFS(nrES_Rec,nrES_PID,Cadets!$B35,nrES_Seq,cfgCurrentExamNum,nrES_Final,"Yes")))</f>
        <v/>
      </c>
      <c r="D38" s="20">
        <f>IF($B38="","",IFERROR(ROUND(AVERAGEIFS(nrES_Rec,nrES_Seq,cfgCurrentExamNum,nrES_Final,"Yes",nrES_Rec,"&gt;=0",nrES_Rec,"&lt;=100"),1),""))</f>
        <v/>
      </c>
      <c r="E38" s="20">
        <f>IF($B38="","",IF(COUNTIFS(nrES_PID,Cadets!$B35,nrES_Seq,cfgCurrentExamNum,nrES_Att,2,nrES_Raw,"&gt;=0",nrES_AttPass,"Yes")&gt;0,"RETEST (cap 70)",IF(COUNTIFS(nrES_PID,Cadets!$B35,nrES_Seq,cfgCurrentExamNum,nrES_Att,2,nrES_Raw,"&gt;=0",nrES_AttPass,"No")&gt;0,"RETEST FAILED (first-attempt score shown)","")))</f>
        <v/>
      </c>
      <c r="F38" s="20">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0">
        <f>IF($B38="","",IF(OR(cfgCurrentSpellingNum&lt;cfgCurrentExamNum,cfgCurrentSpellingNum&lt;=0,cfgCurrentSpellingNum&gt;12),"",IF(Spelling!$R35="INTERVENTION","BELOW "&amp;cfgSpellInterventionAvg&amp;" — intervention","")))</f>
        <v/>
      </c>
      <c r="H38" s="20">
        <f>IF($B38="","",sysAttendance!$J35&amp;" / PT "&amp;sysAttendance!$R35)</f>
        <v/>
      </c>
      <c r="I38" s="20">
        <f>IF($B38="","",Writing!$AT35&amp;" ("&amp;Writing!$AS35&amp;" overdue)")</f>
        <v/>
      </c>
      <c r="J38" s="20">
        <f>IF($B38="","",sysFlags!$T35)</f>
        <v/>
      </c>
    </row>
    <row r="39">
      <c r="B39" s="20">
        <f>IF(IF(OR(Cadets!$B36="",Cadets!$I36&lt;&gt;"Active"),FALSE,OR(cfgPreviewAgency=cfgHomeAgency,Cadets!$G36=cfgPreviewAgency)),Cadets!$F36,"")</f>
        <v/>
      </c>
      <c r="C39" s="20">
        <f>IF($B39="","",IF(COUNTIFS(nrES_PID,Cadets!$B36,nrES_Seq,cfgCurrentExamNum,nrES_Final,"Yes",nrES_Rec,"&gt;=0")=0,"",SUMIFS(nrES_Rec,nrES_PID,Cadets!$B36,nrES_Seq,cfgCurrentExamNum,nrES_Final,"Yes")))</f>
        <v/>
      </c>
      <c r="D39" s="20">
        <f>IF($B39="","",IFERROR(ROUND(AVERAGEIFS(nrES_Rec,nrES_Seq,cfgCurrentExamNum,nrES_Final,"Yes",nrES_Rec,"&gt;=0",nrES_Rec,"&lt;=100"),1),""))</f>
        <v/>
      </c>
      <c r="E39" s="20">
        <f>IF($B39="","",IF(COUNTIFS(nrES_PID,Cadets!$B36,nrES_Seq,cfgCurrentExamNum,nrES_Att,2,nrES_Raw,"&gt;=0",nrES_AttPass,"Yes")&gt;0,"RETEST (cap 70)",IF(COUNTIFS(nrES_PID,Cadets!$B36,nrES_Seq,cfgCurrentExamNum,nrES_Att,2,nrES_Raw,"&gt;=0",nrES_AttPass,"No")&gt;0,"RETEST FAILED (first-attempt score shown)","")))</f>
        <v/>
      </c>
      <c r="F39" s="20">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0">
        <f>IF($B39="","",IF(OR(cfgCurrentSpellingNum&lt;cfgCurrentExamNum,cfgCurrentSpellingNum&lt;=0,cfgCurrentSpellingNum&gt;12),"",IF(Spelling!$R36="INTERVENTION","BELOW "&amp;cfgSpellInterventionAvg&amp;" — intervention","")))</f>
        <v/>
      </c>
      <c r="H39" s="20">
        <f>IF($B39="","",sysAttendance!$J36&amp;" / PT "&amp;sysAttendance!$R36)</f>
        <v/>
      </c>
      <c r="I39" s="20">
        <f>IF($B39="","",Writing!$AT36&amp;" ("&amp;Writing!$AS36&amp;" overdue)")</f>
        <v/>
      </c>
      <c r="J39" s="20">
        <f>IF($B39="","",sysFlags!$T36)</f>
        <v/>
      </c>
    </row>
    <row r="40">
      <c r="B40" s="20">
        <f>IF(IF(OR(Cadets!$B37="",Cadets!$I37&lt;&gt;"Active"),FALSE,OR(cfgPreviewAgency=cfgHomeAgency,Cadets!$G37=cfgPreviewAgency)),Cadets!$F37,"")</f>
        <v/>
      </c>
      <c r="C40" s="20">
        <f>IF($B40="","",IF(COUNTIFS(nrES_PID,Cadets!$B37,nrES_Seq,cfgCurrentExamNum,nrES_Final,"Yes",nrES_Rec,"&gt;=0")=0,"",SUMIFS(nrES_Rec,nrES_PID,Cadets!$B37,nrES_Seq,cfgCurrentExamNum,nrES_Final,"Yes")))</f>
        <v/>
      </c>
      <c r="D40" s="20">
        <f>IF($B40="","",IFERROR(ROUND(AVERAGEIFS(nrES_Rec,nrES_Seq,cfgCurrentExamNum,nrES_Final,"Yes",nrES_Rec,"&gt;=0",nrES_Rec,"&lt;=100"),1),""))</f>
        <v/>
      </c>
      <c r="E40" s="20">
        <f>IF($B40="","",IF(COUNTIFS(nrES_PID,Cadets!$B37,nrES_Seq,cfgCurrentExamNum,nrES_Att,2,nrES_Raw,"&gt;=0",nrES_AttPass,"Yes")&gt;0,"RETEST (cap 70)",IF(COUNTIFS(nrES_PID,Cadets!$B37,nrES_Seq,cfgCurrentExamNum,nrES_Att,2,nrES_Raw,"&gt;=0",nrES_AttPass,"No")&gt;0,"RETEST FAILED (first-attempt score shown)","")))</f>
        <v/>
      </c>
      <c r="F40" s="20">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0">
        <f>IF($B40="","",IF(OR(cfgCurrentSpellingNum&lt;cfgCurrentExamNum,cfgCurrentSpellingNum&lt;=0,cfgCurrentSpellingNum&gt;12),"",IF(Spelling!$R37="INTERVENTION","BELOW "&amp;cfgSpellInterventionAvg&amp;" — intervention","")))</f>
        <v/>
      </c>
      <c r="H40" s="20">
        <f>IF($B40="","",sysAttendance!$J37&amp;" / PT "&amp;sysAttendance!$R37)</f>
        <v/>
      </c>
      <c r="I40" s="20">
        <f>IF($B40="","",Writing!$AT37&amp;" ("&amp;Writing!$AS37&amp;" overdue)")</f>
        <v/>
      </c>
      <c r="J40" s="20">
        <f>IF($B40="","",sysFlags!$T37)</f>
        <v/>
      </c>
    </row>
    <row r="41">
      <c r="B41" s="20">
        <f>IF(IF(OR(Cadets!$B38="",Cadets!$I38&lt;&gt;"Active"),FALSE,OR(cfgPreviewAgency=cfgHomeAgency,Cadets!$G38=cfgPreviewAgency)),Cadets!$F38,"")</f>
        <v/>
      </c>
      <c r="C41" s="20">
        <f>IF($B41="","",IF(COUNTIFS(nrES_PID,Cadets!$B38,nrES_Seq,cfgCurrentExamNum,nrES_Final,"Yes",nrES_Rec,"&gt;=0")=0,"",SUMIFS(nrES_Rec,nrES_PID,Cadets!$B38,nrES_Seq,cfgCurrentExamNum,nrES_Final,"Yes")))</f>
        <v/>
      </c>
      <c r="D41" s="20">
        <f>IF($B41="","",IFERROR(ROUND(AVERAGEIFS(nrES_Rec,nrES_Seq,cfgCurrentExamNum,nrES_Final,"Yes",nrES_Rec,"&gt;=0",nrES_Rec,"&lt;=100"),1),""))</f>
        <v/>
      </c>
      <c r="E41" s="20">
        <f>IF($B41="","",IF(COUNTIFS(nrES_PID,Cadets!$B38,nrES_Seq,cfgCurrentExamNum,nrES_Att,2,nrES_Raw,"&gt;=0",nrES_AttPass,"Yes")&gt;0,"RETEST (cap 70)",IF(COUNTIFS(nrES_PID,Cadets!$B38,nrES_Seq,cfgCurrentExamNum,nrES_Att,2,nrES_Raw,"&gt;=0",nrES_AttPass,"No")&gt;0,"RETEST FAILED (first-attempt score shown)","")))</f>
        <v/>
      </c>
      <c r="F41" s="20">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0">
        <f>IF($B41="","",IF(OR(cfgCurrentSpellingNum&lt;cfgCurrentExamNum,cfgCurrentSpellingNum&lt;=0,cfgCurrentSpellingNum&gt;12),"",IF(Spelling!$R38="INTERVENTION","BELOW "&amp;cfgSpellInterventionAvg&amp;" — intervention","")))</f>
        <v/>
      </c>
      <c r="H41" s="20">
        <f>IF($B41="","",sysAttendance!$J38&amp;" / PT "&amp;sysAttendance!$R38)</f>
        <v/>
      </c>
      <c r="I41" s="20">
        <f>IF($B41="","",Writing!$AT38&amp;" ("&amp;Writing!$AS38&amp;" overdue)")</f>
        <v/>
      </c>
      <c r="J41" s="20">
        <f>IF($B41="","",sysFlags!$T38)</f>
        <v/>
      </c>
    </row>
    <row r="42">
      <c r="B42" s="20">
        <f>IF(IF(OR(Cadets!$B39="",Cadets!$I39&lt;&gt;"Active"),FALSE,OR(cfgPreviewAgency=cfgHomeAgency,Cadets!$G39=cfgPreviewAgency)),Cadets!$F39,"")</f>
        <v/>
      </c>
      <c r="C42" s="20">
        <f>IF($B42="","",IF(COUNTIFS(nrES_PID,Cadets!$B39,nrES_Seq,cfgCurrentExamNum,nrES_Final,"Yes",nrES_Rec,"&gt;=0")=0,"",SUMIFS(nrES_Rec,nrES_PID,Cadets!$B39,nrES_Seq,cfgCurrentExamNum,nrES_Final,"Yes")))</f>
        <v/>
      </c>
      <c r="D42" s="20">
        <f>IF($B42="","",IFERROR(ROUND(AVERAGEIFS(nrES_Rec,nrES_Seq,cfgCurrentExamNum,nrES_Final,"Yes",nrES_Rec,"&gt;=0",nrES_Rec,"&lt;=100"),1),""))</f>
        <v/>
      </c>
      <c r="E42" s="20">
        <f>IF($B42="","",IF(COUNTIFS(nrES_PID,Cadets!$B39,nrES_Seq,cfgCurrentExamNum,nrES_Att,2,nrES_Raw,"&gt;=0",nrES_AttPass,"Yes")&gt;0,"RETEST (cap 70)",IF(COUNTIFS(nrES_PID,Cadets!$B39,nrES_Seq,cfgCurrentExamNum,nrES_Att,2,nrES_Raw,"&gt;=0",nrES_AttPass,"No")&gt;0,"RETEST FAILED (first-attempt score shown)","")))</f>
        <v/>
      </c>
      <c r="F42" s="20">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0">
        <f>IF($B42="","",IF(OR(cfgCurrentSpellingNum&lt;cfgCurrentExamNum,cfgCurrentSpellingNum&lt;=0,cfgCurrentSpellingNum&gt;12),"",IF(Spelling!$R39="INTERVENTION","BELOW "&amp;cfgSpellInterventionAvg&amp;" — intervention","")))</f>
        <v/>
      </c>
      <c r="H42" s="20">
        <f>IF($B42="","",sysAttendance!$J39&amp;" / PT "&amp;sysAttendance!$R39)</f>
        <v/>
      </c>
      <c r="I42" s="20">
        <f>IF($B42="","",Writing!$AT39&amp;" ("&amp;Writing!$AS39&amp;" overdue)")</f>
        <v/>
      </c>
      <c r="J42" s="20">
        <f>IF($B42="","",sysFlags!$T39)</f>
        <v/>
      </c>
    </row>
    <row r="43">
      <c r="B43" s="20">
        <f>IF(IF(OR(Cadets!$B40="",Cadets!$I40&lt;&gt;"Active"),FALSE,OR(cfgPreviewAgency=cfgHomeAgency,Cadets!$G40=cfgPreviewAgency)),Cadets!$F40,"")</f>
        <v/>
      </c>
      <c r="C43" s="20">
        <f>IF($B43="","",IF(COUNTIFS(nrES_PID,Cadets!$B40,nrES_Seq,cfgCurrentExamNum,nrES_Final,"Yes",nrES_Rec,"&gt;=0")=0,"",SUMIFS(nrES_Rec,nrES_PID,Cadets!$B40,nrES_Seq,cfgCurrentExamNum,nrES_Final,"Yes")))</f>
        <v/>
      </c>
      <c r="D43" s="20">
        <f>IF($B43="","",IFERROR(ROUND(AVERAGEIFS(nrES_Rec,nrES_Seq,cfgCurrentExamNum,nrES_Final,"Yes",nrES_Rec,"&gt;=0",nrES_Rec,"&lt;=100"),1),""))</f>
        <v/>
      </c>
      <c r="E43" s="20">
        <f>IF($B43="","",IF(COUNTIFS(nrES_PID,Cadets!$B40,nrES_Seq,cfgCurrentExamNum,nrES_Att,2,nrES_Raw,"&gt;=0",nrES_AttPass,"Yes")&gt;0,"RETEST (cap 70)",IF(COUNTIFS(nrES_PID,Cadets!$B40,nrES_Seq,cfgCurrentExamNum,nrES_Att,2,nrES_Raw,"&gt;=0",nrES_AttPass,"No")&gt;0,"RETEST FAILED (first-attempt score shown)","")))</f>
        <v/>
      </c>
      <c r="F43" s="20">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0">
        <f>IF($B43="","",IF(OR(cfgCurrentSpellingNum&lt;cfgCurrentExamNum,cfgCurrentSpellingNum&lt;=0,cfgCurrentSpellingNum&gt;12),"",IF(Spelling!$R40="INTERVENTION","BELOW "&amp;cfgSpellInterventionAvg&amp;" — intervention","")))</f>
        <v/>
      </c>
      <c r="H43" s="20">
        <f>IF($B43="","",sysAttendance!$J40&amp;" / PT "&amp;sysAttendance!$R40)</f>
        <v/>
      </c>
      <c r="I43" s="20">
        <f>IF($B43="","",Writing!$AT40&amp;" ("&amp;Writing!$AS40&amp;" overdue)")</f>
        <v/>
      </c>
      <c r="J43" s="20">
        <f>IF($B43="","",sysFlags!$T40)</f>
        <v/>
      </c>
    </row>
    <row r="44">
      <c r="B44" s="20">
        <f>IF(IF(OR(Cadets!$B41="",Cadets!$I41&lt;&gt;"Active"),FALSE,OR(cfgPreviewAgency=cfgHomeAgency,Cadets!$G41=cfgPreviewAgency)),Cadets!$F41,"")</f>
        <v/>
      </c>
      <c r="C44" s="20">
        <f>IF($B44="","",IF(COUNTIFS(nrES_PID,Cadets!$B41,nrES_Seq,cfgCurrentExamNum,nrES_Final,"Yes",nrES_Rec,"&gt;=0")=0,"",SUMIFS(nrES_Rec,nrES_PID,Cadets!$B41,nrES_Seq,cfgCurrentExamNum,nrES_Final,"Yes")))</f>
        <v/>
      </c>
      <c r="D44" s="20">
        <f>IF($B44="","",IFERROR(ROUND(AVERAGEIFS(nrES_Rec,nrES_Seq,cfgCurrentExamNum,nrES_Final,"Yes",nrES_Rec,"&gt;=0",nrES_Rec,"&lt;=100"),1),""))</f>
        <v/>
      </c>
      <c r="E44" s="20">
        <f>IF($B44="","",IF(COUNTIFS(nrES_PID,Cadets!$B41,nrES_Seq,cfgCurrentExamNum,nrES_Att,2,nrES_Raw,"&gt;=0",nrES_AttPass,"Yes")&gt;0,"RETEST (cap 70)",IF(COUNTIFS(nrES_PID,Cadets!$B41,nrES_Seq,cfgCurrentExamNum,nrES_Att,2,nrES_Raw,"&gt;=0",nrES_AttPass,"No")&gt;0,"RETEST FAILED (first-attempt score shown)","")))</f>
        <v/>
      </c>
      <c r="F44" s="20">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0">
        <f>IF($B44="","",IF(OR(cfgCurrentSpellingNum&lt;cfgCurrentExamNum,cfgCurrentSpellingNum&lt;=0,cfgCurrentSpellingNum&gt;12),"",IF(Spelling!$R41="INTERVENTION","BELOW "&amp;cfgSpellInterventionAvg&amp;" — intervention","")))</f>
        <v/>
      </c>
      <c r="H44" s="20">
        <f>IF($B44="","",sysAttendance!$J41&amp;" / PT "&amp;sysAttendance!$R41)</f>
        <v/>
      </c>
      <c r="I44" s="20">
        <f>IF($B44="","",Writing!$AT41&amp;" ("&amp;Writing!$AS41&amp;" overdue)")</f>
        <v/>
      </c>
      <c r="J44" s="20">
        <f>IF($B44="","",sysFlags!$T41)</f>
        <v/>
      </c>
    </row>
    <row r="45">
      <c r="B45" s="20">
        <f>IF(IF(OR(Cadets!$B42="",Cadets!$I42&lt;&gt;"Active"),FALSE,OR(cfgPreviewAgency=cfgHomeAgency,Cadets!$G42=cfgPreviewAgency)),Cadets!$F42,"")</f>
        <v/>
      </c>
      <c r="C45" s="20">
        <f>IF($B45="","",IF(COUNTIFS(nrES_PID,Cadets!$B42,nrES_Seq,cfgCurrentExamNum,nrES_Final,"Yes",nrES_Rec,"&gt;=0")=0,"",SUMIFS(nrES_Rec,nrES_PID,Cadets!$B42,nrES_Seq,cfgCurrentExamNum,nrES_Final,"Yes")))</f>
        <v/>
      </c>
      <c r="D45" s="20">
        <f>IF($B45="","",IFERROR(ROUND(AVERAGEIFS(nrES_Rec,nrES_Seq,cfgCurrentExamNum,nrES_Final,"Yes",nrES_Rec,"&gt;=0",nrES_Rec,"&lt;=100"),1),""))</f>
        <v/>
      </c>
      <c r="E45" s="20">
        <f>IF($B45="","",IF(COUNTIFS(nrES_PID,Cadets!$B42,nrES_Seq,cfgCurrentExamNum,nrES_Att,2,nrES_Raw,"&gt;=0",nrES_AttPass,"Yes")&gt;0,"RETEST (cap 70)",IF(COUNTIFS(nrES_PID,Cadets!$B42,nrES_Seq,cfgCurrentExamNum,nrES_Att,2,nrES_Raw,"&gt;=0",nrES_AttPass,"No")&gt;0,"RETEST FAILED (first-attempt score shown)","")))</f>
        <v/>
      </c>
      <c r="F45" s="20">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0">
        <f>IF($B45="","",IF(OR(cfgCurrentSpellingNum&lt;cfgCurrentExamNum,cfgCurrentSpellingNum&lt;=0,cfgCurrentSpellingNum&gt;12),"",IF(Spelling!$R42="INTERVENTION","BELOW "&amp;cfgSpellInterventionAvg&amp;" — intervention","")))</f>
        <v/>
      </c>
      <c r="H45" s="20">
        <f>IF($B45="","",sysAttendance!$J42&amp;" / PT "&amp;sysAttendance!$R42)</f>
        <v/>
      </c>
      <c r="I45" s="20">
        <f>IF($B45="","",Writing!$AT42&amp;" ("&amp;Writing!$AS42&amp;" overdue)")</f>
        <v/>
      </c>
      <c r="J45" s="20">
        <f>IF($B45="","",sysFlags!$T42)</f>
        <v/>
      </c>
    </row>
    <row r="46">
      <c r="B46" s="20">
        <f>IF(IF(OR(Cadets!$B43="",Cadets!$I43&lt;&gt;"Active"),FALSE,OR(cfgPreviewAgency=cfgHomeAgency,Cadets!$G43=cfgPreviewAgency)),Cadets!$F43,"")</f>
        <v/>
      </c>
      <c r="C46" s="20">
        <f>IF($B46="","",IF(COUNTIFS(nrES_PID,Cadets!$B43,nrES_Seq,cfgCurrentExamNum,nrES_Final,"Yes",nrES_Rec,"&gt;=0")=0,"",SUMIFS(nrES_Rec,nrES_PID,Cadets!$B43,nrES_Seq,cfgCurrentExamNum,nrES_Final,"Yes")))</f>
        <v/>
      </c>
      <c r="D46" s="20">
        <f>IF($B46="","",IFERROR(ROUND(AVERAGEIFS(nrES_Rec,nrES_Seq,cfgCurrentExamNum,nrES_Final,"Yes",nrES_Rec,"&gt;=0",nrES_Rec,"&lt;=100"),1),""))</f>
        <v/>
      </c>
      <c r="E46" s="20">
        <f>IF($B46="","",IF(COUNTIFS(nrES_PID,Cadets!$B43,nrES_Seq,cfgCurrentExamNum,nrES_Att,2,nrES_Raw,"&gt;=0",nrES_AttPass,"Yes")&gt;0,"RETEST (cap 70)",IF(COUNTIFS(nrES_PID,Cadets!$B43,nrES_Seq,cfgCurrentExamNum,nrES_Att,2,nrES_Raw,"&gt;=0",nrES_AttPass,"No")&gt;0,"RETEST FAILED (first-attempt score shown)","")))</f>
        <v/>
      </c>
      <c r="F46" s="20">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0">
        <f>IF($B46="","",IF(OR(cfgCurrentSpellingNum&lt;cfgCurrentExamNum,cfgCurrentSpellingNum&lt;=0,cfgCurrentSpellingNum&gt;12),"",IF(Spelling!$R43="INTERVENTION","BELOW "&amp;cfgSpellInterventionAvg&amp;" — intervention","")))</f>
        <v/>
      </c>
      <c r="H46" s="20">
        <f>IF($B46="","",sysAttendance!$J43&amp;" / PT "&amp;sysAttendance!$R43)</f>
        <v/>
      </c>
      <c r="I46" s="20">
        <f>IF($B46="","",Writing!$AT43&amp;" ("&amp;Writing!$AS43&amp;" overdue)")</f>
        <v/>
      </c>
      <c r="J46" s="20">
        <f>IF($B46="","",sysFlags!$T43)</f>
        <v/>
      </c>
    </row>
    <row r="47">
      <c r="B47" s="20">
        <f>IF(IF(OR(Cadets!$B44="",Cadets!$I44&lt;&gt;"Active"),FALSE,OR(cfgPreviewAgency=cfgHomeAgency,Cadets!$G44=cfgPreviewAgency)),Cadets!$F44,"")</f>
        <v/>
      </c>
      <c r="C47" s="20">
        <f>IF($B47="","",IF(COUNTIFS(nrES_PID,Cadets!$B44,nrES_Seq,cfgCurrentExamNum,nrES_Final,"Yes",nrES_Rec,"&gt;=0")=0,"",SUMIFS(nrES_Rec,nrES_PID,Cadets!$B44,nrES_Seq,cfgCurrentExamNum,nrES_Final,"Yes")))</f>
        <v/>
      </c>
      <c r="D47" s="20">
        <f>IF($B47="","",IFERROR(ROUND(AVERAGEIFS(nrES_Rec,nrES_Seq,cfgCurrentExamNum,nrES_Final,"Yes",nrES_Rec,"&gt;=0",nrES_Rec,"&lt;=100"),1),""))</f>
        <v/>
      </c>
      <c r="E47" s="20">
        <f>IF($B47="","",IF(COUNTIFS(nrES_PID,Cadets!$B44,nrES_Seq,cfgCurrentExamNum,nrES_Att,2,nrES_Raw,"&gt;=0",nrES_AttPass,"Yes")&gt;0,"RETEST (cap 70)",IF(COUNTIFS(nrES_PID,Cadets!$B44,nrES_Seq,cfgCurrentExamNum,nrES_Att,2,nrES_Raw,"&gt;=0",nrES_AttPass,"No")&gt;0,"RETEST FAILED (first-attempt score shown)","")))</f>
        <v/>
      </c>
      <c r="F47" s="20">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0">
        <f>IF($B47="","",IF(OR(cfgCurrentSpellingNum&lt;cfgCurrentExamNum,cfgCurrentSpellingNum&lt;=0,cfgCurrentSpellingNum&gt;12),"",IF(Spelling!$R44="INTERVENTION","BELOW "&amp;cfgSpellInterventionAvg&amp;" — intervention","")))</f>
        <v/>
      </c>
      <c r="H47" s="20">
        <f>IF($B47="","",sysAttendance!$J44&amp;" / PT "&amp;sysAttendance!$R44)</f>
        <v/>
      </c>
      <c r="I47" s="20">
        <f>IF($B47="","",Writing!$AT44&amp;" ("&amp;Writing!$AS44&amp;" overdue)")</f>
        <v/>
      </c>
      <c r="J47" s="20">
        <f>IF($B47="","",sysFlags!$T44)</f>
        <v/>
      </c>
    </row>
    <row r="48">
      <c r="B48" s="20">
        <f>IF(IF(OR(Cadets!$B45="",Cadets!$I45&lt;&gt;"Active"),FALSE,OR(cfgPreviewAgency=cfgHomeAgency,Cadets!$G45=cfgPreviewAgency)),Cadets!$F45,"")</f>
        <v/>
      </c>
      <c r="C48" s="20">
        <f>IF($B48="","",IF(COUNTIFS(nrES_PID,Cadets!$B45,nrES_Seq,cfgCurrentExamNum,nrES_Final,"Yes",nrES_Rec,"&gt;=0")=0,"",SUMIFS(nrES_Rec,nrES_PID,Cadets!$B45,nrES_Seq,cfgCurrentExamNum,nrES_Final,"Yes")))</f>
        <v/>
      </c>
      <c r="D48" s="20">
        <f>IF($B48="","",IFERROR(ROUND(AVERAGEIFS(nrES_Rec,nrES_Seq,cfgCurrentExamNum,nrES_Final,"Yes",nrES_Rec,"&gt;=0",nrES_Rec,"&lt;=100"),1),""))</f>
        <v/>
      </c>
      <c r="E48" s="20">
        <f>IF($B48="","",IF(COUNTIFS(nrES_PID,Cadets!$B45,nrES_Seq,cfgCurrentExamNum,nrES_Att,2,nrES_Raw,"&gt;=0",nrES_AttPass,"Yes")&gt;0,"RETEST (cap 70)",IF(COUNTIFS(nrES_PID,Cadets!$B45,nrES_Seq,cfgCurrentExamNum,nrES_Att,2,nrES_Raw,"&gt;=0",nrES_AttPass,"No")&gt;0,"RETEST FAILED (first-attempt score shown)","")))</f>
        <v/>
      </c>
      <c r="F48" s="20">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0">
        <f>IF($B48="","",IF(OR(cfgCurrentSpellingNum&lt;cfgCurrentExamNum,cfgCurrentSpellingNum&lt;=0,cfgCurrentSpellingNum&gt;12),"",IF(Spelling!$R45="INTERVENTION","BELOW "&amp;cfgSpellInterventionAvg&amp;" — intervention","")))</f>
        <v/>
      </c>
      <c r="H48" s="20">
        <f>IF($B48="","",sysAttendance!$J45&amp;" / PT "&amp;sysAttendance!$R45)</f>
        <v/>
      </c>
      <c r="I48" s="20">
        <f>IF($B48="","",Writing!$AT45&amp;" ("&amp;Writing!$AS45&amp;" overdue)")</f>
        <v/>
      </c>
      <c r="J48" s="20">
        <f>IF($B48="","",sysFlags!$T45)</f>
        <v/>
      </c>
    </row>
    <row r="49">
      <c r="B49" s="20">
        <f>IF(IF(OR(Cadets!$B46="",Cadets!$I46&lt;&gt;"Active"),FALSE,OR(cfgPreviewAgency=cfgHomeAgency,Cadets!$G46=cfgPreviewAgency)),Cadets!$F46,"")</f>
        <v/>
      </c>
      <c r="C49" s="20">
        <f>IF($B49="","",IF(COUNTIFS(nrES_PID,Cadets!$B46,nrES_Seq,cfgCurrentExamNum,nrES_Final,"Yes",nrES_Rec,"&gt;=0")=0,"",SUMIFS(nrES_Rec,nrES_PID,Cadets!$B46,nrES_Seq,cfgCurrentExamNum,nrES_Final,"Yes")))</f>
        <v/>
      </c>
      <c r="D49" s="20">
        <f>IF($B49="","",IFERROR(ROUND(AVERAGEIFS(nrES_Rec,nrES_Seq,cfgCurrentExamNum,nrES_Final,"Yes",nrES_Rec,"&gt;=0",nrES_Rec,"&lt;=100"),1),""))</f>
        <v/>
      </c>
      <c r="E49" s="20">
        <f>IF($B49="","",IF(COUNTIFS(nrES_PID,Cadets!$B46,nrES_Seq,cfgCurrentExamNum,nrES_Att,2,nrES_Raw,"&gt;=0",nrES_AttPass,"Yes")&gt;0,"RETEST (cap 70)",IF(COUNTIFS(nrES_PID,Cadets!$B46,nrES_Seq,cfgCurrentExamNum,nrES_Att,2,nrES_Raw,"&gt;=0",nrES_AttPass,"No")&gt;0,"RETEST FAILED (first-attempt score shown)","")))</f>
        <v/>
      </c>
      <c r="F49" s="20">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0">
        <f>IF($B49="","",IF(OR(cfgCurrentSpellingNum&lt;cfgCurrentExamNum,cfgCurrentSpellingNum&lt;=0,cfgCurrentSpellingNum&gt;12),"",IF(Spelling!$R46="INTERVENTION","BELOW "&amp;cfgSpellInterventionAvg&amp;" — intervention","")))</f>
        <v/>
      </c>
      <c r="H49" s="20">
        <f>IF($B49="","",sysAttendance!$J46&amp;" / PT "&amp;sysAttendance!$R46)</f>
        <v/>
      </c>
      <c r="I49" s="20">
        <f>IF($B49="","",Writing!$AT46&amp;" ("&amp;Writing!$AS46&amp;" overdue)")</f>
        <v/>
      </c>
      <c r="J49" s="20">
        <f>IF($B49="","",sysFlags!$T46)</f>
        <v/>
      </c>
    </row>
    <row r="50">
      <c r="B50" s="20">
        <f>IF(IF(OR(Cadets!$B47="",Cadets!$I47&lt;&gt;"Active"),FALSE,OR(cfgPreviewAgency=cfgHomeAgency,Cadets!$G47=cfgPreviewAgency)),Cadets!$F47,"")</f>
        <v/>
      </c>
      <c r="C50" s="20">
        <f>IF($B50="","",IF(COUNTIFS(nrES_PID,Cadets!$B47,nrES_Seq,cfgCurrentExamNum,nrES_Final,"Yes",nrES_Rec,"&gt;=0")=0,"",SUMIFS(nrES_Rec,nrES_PID,Cadets!$B47,nrES_Seq,cfgCurrentExamNum,nrES_Final,"Yes")))</f>
        <v/>
      </c>
      <c r="D50" s="20">
        <f>IF($B50="","",IFERROR(ROUND(AVERAGEIFS(nrES_Rec,nrES_Seq,cfgCurrentExamNum,nrES_Final,"Yes",nrES_Rec,"&gt;=0",nrES_Rec,"&lt;=100"),1),""))</f>
        <v/>
      </c>
      <c r="E50" s="20">
        <f>IF($B50="","",IF(COUNTIFS(nrES_PID,Cadets!$B47,nrES_Seq,cfgCurrentExamNum,nrES_Att,2,nrES_Raw,"&gt;=0",nrES_AttPass,"Yes")&gt;0,"RETEST (cap 70)",IF(COUNTIFS(nrES_PID,Cadets!$B47,nrES_Seq,cfgCurrentExamNum,nrES_Att,2,nrES_Raw,"&gt;=0",nrES_AttPass,"No")&gt;0,"RETEST FAILED (first-attempt score shown)","")))</f>
        <v/>
      </c>
      <c r="F50" s="20">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0">
        <f>IF($B50="","",IF(OR(cfgCurrentSpellingNum&lt;cfgCurrentExamNum,cfgCurrentSpellingNum&lt;=0,cfgCurrentSpellingNum&gt;12),"",IF(Spelling!$R47="INTERVENTION","BELOW "&amp;cfgSpellInterventionAvg&amp;" — intervention","")))</f>
        <v/>
      </c>
      <c r="H50" s="20">
        <f>IF($B50="","",sysAttendance!$J47&amp;" / PT "&amp;sysAttendance!$R47)</f>
        <v/>
      </c>
      <c r="I50" s="20">
        <f>IF($B50="","",Writing!$AT47&amp;" ("&amp;Writing!$AS47&amp;" overdue)")</f>
        <v/>
      </c>
      <c r="J50" s="20">
        <f>IF($B50="","",sysFlags!$T47)</f>
        <v/>
      </c>
    </row>
    <row r="51">
      <c r="B51" s="20">
        <f>IF(IF(OR(Cadets!$B48="",Cadets!$I48&lt;&gt;"Active"),FALSE,OR(cfgPreviewAgency=cfgHomeAgency,Cadets!$G48=cfgPreviewAgency)),Cadets!$F48,"")</f>
        <v/>
      </c>
      <c r="C51" s="20">
        <f>IF($B51="","",IF(COUNTIFS(nrES_PID,Cadets!$B48,nrES_Seq,cfgCurrentExamNum,nrES_Final,"Yes",nrES_Rec,"&gt;=0")=0,"",SUMIFS(nrES_Rec,nrES_PID,Cadets!$B48,nrES_Seq,cfgCurrentExamNum,nrES_Final,"Yes")))</f>
        <v/>
      </c>
      <c r="D51" s="20">
        <f>IF($B51="","",IFERROR(ROUND(AVERAGEIFS(nrES_Rec,nrES_Seq,cfgCurrentExamNum,nrES_Final,"Yes",nrES_Rec,"&gt;=0",nrES_Rec,"&lt;=100"),1),""))</f>
        <v/>
      </c>
      <c r="E51" s="20">
        <f>IF($B51="","",IF(COUNTIFS(nrES_PID,Cadets!$B48,nrES_Seq,cfgCurrentExamNum,nrES_Att,2,nrES_Raw,"&gt;=0",nrES_AttPass,"Yes")&gt;0,"RETEST (cap 70)",IF(COUNTIFS(nrES_PID,Cadets!$B48,nrES_Seq,cfgCurrentExamNum,nrES_Att,2,nrES_Raw,"&gt;=0",nrES_AttPass,"No")&gt;0,"RETEST FAILED (first-attempt score shown)","")))</f>
        <v/>
      </c>
      <c r="F51" s="20">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0">
        <f>IF($B51="","",IF(OR(cfgCurrentSpellingNum&lt;cfgCurrentExamNum,cfgCurrentSpellingNum&lt;=0,cfgCurrentSpellingNum&gt;12),"",IF(Spelling!$R48="INTERVENTION","BELOW "&amp;cfgSpellInterventionAvg&amp;" — intervention","")))</f>
        <v/>
      </c>
      <c r="H51" s="20">
        <f>IF($B51="","",sysAttendance!$J48&amp;" / PT "&amp;sysAttendance!$R48)</f>
        <v/>
      </c>
      <c r="I51" s="20">
        <f>IF($B51="","",Writing!$AT48&amp;" ("&amp;Writing!$AS48&amp;" overdue)")</f>
        <v/>
      </c>
      <c r="J51" s="20">
        <f>IF($B51="","",sysFlags!$T48)</f>
        <v/>
      </c>
    </row>
    <row r="52">
      <c r="B52" s="20">
        <f>IF(IF(OR(Cadets!$B49="",Cadets!$I49&lt;&gt;"Active"),FALSE,OR(cfgPreviewAgency=cfgHomeAgency,Cadets!$G49=cfgPreviewAgency)),Cadets!$F49,"")</f>
        <v/>
      </c>
      <c r="C52" s="20">
        <f>IF($B52="","",IF(COUNTIFS(nrES_PID,Cadets!$B49,nrES_Seq,cfgCurrentExamNum,nrES_Final,"Yes",nrES_Rec,"&gt;=0")=0,"",SUMIFS(nrES_Rec,nrES_PID,Cadets!$B49,nrES_Seq,cfgCurrentExamNum,nrES_Final,"Yes")))</f>
        <v/>
      </c>
      <c r="D52" s="20">
        <f>IF($B52="","",IFERROR(ROUND(AVERAGEIFS(nrES_Rec,nrES_Seq,cfgCurrentExamNum,nrES_Final,"Yes",nrES_Rec,"&gt;=0",nrES_Rec,"&lt;=100"),1),""))</f>
        <v/>
      </c>
      <c r="E52" s="20">
        <f>IF($B52="","",IF(COUNTIFS(nrES_PID,Cadets!$B49,nrES_Seq,cfgCurrentExamNum,nrES_Att,2,nrES_Raw,"&gt;=0",nrES_AttPass,"Yes")&gt;0,"RETEST (cap 70)",IF(COUNTIFS(nrES_PID,Cadets!$B49,nrES_Seq,cfgCurrentExamNum,nrES_Att,2,nrES_Raw,"&gt;=0",nrES_AttPass,"No")&gt;0,"RETEST FAILED (first-attempt score shown)","")))</f>
        <v/>
      </c>
      <c r="F52" s="20">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0">
        <f>IF($B52="","",IF(OR(cfgCurrentSpellingNum&lt;cfgCurrentExamNum,cfgCurrentSpellingNum&lt;=0,cfgCurrentSpellingNum&gt;12),"",IF(Spelling!$R49="INTERVENTION","BELOW "&amp;cfgSpellInterventionAvg&amp;" — intervention","")))</f>
        <v/>
      </c>
      <c r="H52" s="20">
        <f>IF($B52="","",sysAttendance!$J49&amp;" / PT "&amp;sysAttendance!$R49)</f>
        <v/>
      </c>
      <c r="I52" s="20">
        <f>IF($B52="","",Writing!$AT49&amp;" ("&amp;Writing!$AS49&amp;" overdue)")</f>
        <v/>
      </c>
      <c r="J52" s="20">
        <f>IF($B52="","",sysFlags!$T49)</f>
        <v/>
      </c>
    </row>
    <row r="53">
      <c r="B53" s="20">
        <f>IF(IF(OR(Cadets!$B50="",Cadets!$I50&lt;&gt;"Active"),FALSE,OR(cfgPreviewAgency=cfgHomeAgency,Cadets!$G50=cfgPreviewAgency)),Cadets!$F50,"")</f>
        <v/>
      </c>
      <c r="C53" s="20">
        <f>IF($B53="","",IF(COUNTIFS(nrES_PID,Cadets!$B50,nrES_Seq,cfgCurrentExamNum,nrES_Final,"Yes",nrES_Rec,"&gt;=0")=0,"",SUMIFS(nrES_Rec,nrES_PID,Cadets!$B50,nrES_Seq,cfgCurrentExamNum,nrES_Final,"Yes")))</f>
        <v/>
      </c>
      <c r="D53" s="20">
        <f>IF($B53="","",IFERROR(ROUND(AVERAGEIFS(nrES_Rec,nrES_Seq,cfgCurrentExamNum,nrES_Final,"Yes",nrES_Rec,"&gt;=0",nrES_Rec,"&lt;=100"),1),""))</f>
        <v/>
      </c>
      <c r="E53" s="20">
        <f>IF($B53="","",IF(COUNTIFS(nrES_PID,Cadets!$B50,nrES_Seq,cfgCurrentExamNum,nrES_Att,2,nrES_Raw,"&gt;=0",nrES_AttPass,"Yes")&gt;0,"RETEST (cap 70)",IF(COUNTIFS(nrES_PID,Cadets!$B50,nrES_Seq,cfgCurrentExamNum,nrES_Att,2,nrES_Raw,"&gt;=0",nrES_AttPass,"No")&gt;0,"RETEST FAILED (first-attempt score shown)","")))</f>
        <v/>
      </c>
      <c r="F53" s="20">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0">
        <f>IF($B53="","",IF(OR(cfgCurrentSpellingNum&lt;cfgCurrentExamNum,cfgCurrentSpellingNum&lt;=0,cfgCurrentSpellingNum&gt;12),"",IF(Spelling!$R50="INTERVENTION","BELOW "&amp;cfgSpellInterventionAvg&amp;" — intervention","")))</f>
        <v/>
      </c>
      <c r="H53" s="20">
        <f>IF($B53="","",sysAttendance!$J50&amp;" / PT "&amp;sysAttendance!$R50)</f>
        <v/>
      </c>
      <c r="I53" s="20">
        <f>IF($B53="","",Writing!$AT50&amp;" ("&amp;Writing!$AS50&amp;" overdue)")</f>
        <v/>
      </c>
      <c r="J53" s="20">
        <f>IF($B53="","",sysFlags!$T50)</f>
        <v/>
      </c>
    </row>
    <row r="54">
      <c r="B54" s="20">
        <f>IF(IF(OR(Cadets!$B51="",Cadets!$I51&lt;&gt;"Active"),FALSE,OR(cfgPreviewAgency=cfgHomeAgency,Cadets!$G51=cfgPreviewAgency)),Cadets!$F51,"")</f>
        <v/>
      </c>
      <c r="C54" s="20">
        <f>IF($B54="","",IF(COUNTIFS(nrES_PID,Cadets!$B51,nrES_Seq,cfgCurrentExamNum,nrES_Final,"Yes",nrES_Rec,"&gt;=0")=0,"",SUMIFS(nrES_Rec,nrES_PID,Cadets!$B51,nrES_Seq,cfgCurrentExamNum,nrES_Final,"Yes")))</f>
        <v/>
      </c>
      <c r="D54" s="20">
        <f>IF($B54="","",IFERROR(ROUND(AVERAGEIFS(nrES_Rec,nrES_Seq,cfgCurrentExamNum,nrES_Final,"Yes",nrES_Rec,"&gt;=0",nrES_Rec,"&lt;=100"),1),""))</f>
        <v/>
      </c>
      <c r="E54" s="20">
        <f>IF($B54="","",IF(COUNTIFS(nrES_PID,Cadets!$B51,nrES_Seq,cfgCurrentExamNum,nrES_Att,2,nrES_Raw,"&gt;=0",nrES_AttPass,"Yes")&gt;0,"RETEST (cap 70)",IF(COUNTIFS(nrES_PID,Cadets!$B51,nrES_Seq,cfgCurrentExamNum,nrES_Att,2,nrES_Raw,"&gt;=0",nrES_AttPass,"No")&gt;0,"RETEST FAILED (first-attempt score shown)","")))</f>
        <v/>
      </c>
      <c r="F54" s="20">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0">
        <f>IF($B54="","",IF(OR(cfgCurrentSpellingNum&lt;cfgCurrentExamNum,cfgCurrentSpellingNum&lt;=0,cfgCurrentSpellingNum&gt;12),"",IF(Spelling!$R51="INTERVENTION","BELOW "&amp;cfgSpellInterventionAvg&amp;" — intervention","")))</f>
        <v/>
      </c>
      <c r="H54" s="20">
        <f>IF($B54="","",sysAttendance!$J51&amp;" / PT "&amp;sysAttendance!$R51)</f>
        <v/>
      </c>
      <c r="I54" s="20">
        <f>IF($B54="","",Writing!$AT51&amp;" ("&amp;Writing!$AS51&amp;" overdue)")</f>
        <v/>
      </c>
      <c r="J54" s="20">
        <f>IF($B54="","",sysFlags!$T51)</f>
        <v/>
      </c>
    </row>
    <row r="55">
      <c r="B55" s="20">
        <f>IF(IF(OR(Cadets!$B52="",Cadets!$I52&lt;&gt;"Active"),FALSE,OR(cfgPreviewAgency=cfgHomeAgency,Cadets!$G52=cfgPreviewAgency)),Cadets!$F52,"")</f>
        <v/>
      </c>
      <c r="C55" s="20">
        <f>IF($B55="","",IF(COUNTIFS(nrES_PID,Cadets!$B52,nrES_Seq,cfgCurrentExamNum,nrES_Final,"Yes",nrES_Rec,"&gt;=0")=0,"",SUMIFS(nrES_Rec,nrES_PID,Cadets!$B52,nrES_Seq,cfgCurrentExamNum,nrES_Final,"Yes")))</f>
        <v/>
      </c>
      <c r="D55" s="20">
        <f>IF($B55="","",IFERROR(ROUND(AVERAGEIFS(nrES_Rec,nrES_Seq,cfgCurrentExamNum,nrES_Final,"Yes",nrES_Rec,"&gt;=0",nrES_Rec,"&lt;=100"),1),""))</f>
        <v/>
      </c>
      <c r="E55" s="20">
        <f>IF($B55="","",IF(COUNTIFS(nrES_PID,Cadets!$B52,nrES_Seq,cfgCurrentExamNum,nrES_Att,2,nrES_Raw,"&gt;=0",nrES_AttPass,"Yes")&gt;0,"RETEST (cap 70)",IF(COUNTIFS(nrES_PID,Cadets!$B52,nrES_Seq,cfgCurrentExamNum,nrES_Att,2,nrES_Raw,"&gt;=0",nrES_AttPass,"No")&gt;0,"RETEST FAILED (first-attempt score shown)","")))</f>
        <v/>
      </c>
      <c r="F55" s="20">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0">
        <f>IF($B55="","",IF(OR(cfgCurrentSpellingNum&lt;cfgCurrentExamNum,cfgCurrentSpellingNum&lt;=0,cfgCurrentSpellingNum&gt;12),"",IF(Spelling!$R52="INTERVENTION","BELOW "&amp;cfgSpellInterventionAvg&amp;" — intervention","")))</f>
        <v/>
      </c>
      <c r="H55" s="20">
        <f>IF($B55="","",sysAttendance!$J52&amp;" / PT "&amp;sysAttendance!$R52)</f>
        <v/>
      </c>
      <c r="I55" s="20">
        <f>IF($B55="","",Writing!$AT52&amp;" ("&amp;Writing!$AS52&amp;" overdue)")</f>
        <v/>
      </c>
      <c r="J55" s="20">
        <f>IF($B55="","",sysFlags!$T52)</f>
        <v/>
      </c>
    </row>
    <row r="56">
      <c r="B56" s="20">
        <f>IF(IF(OR(Cadets!$B53="",Cadets!$I53&lt;&gt;"Active"),FALSE,OR(cfgPreviewAgency=cfgHomeAgency,Cadets!$G53=cfgPreviewAgency)),Cadets!$F53,"")</f>
        <v/>
      </c>
      <c r="C56" s="20">
        <f>IF($B56="","",IF(COUNTIFS(nrES_PID,Cadets!$B53,nrES_Seq,cfgCurrentExamNum,nrES_Final,"Yes",nrES_Rec,"&gt;=0")=0,"",SUMIFS(nrES_Rec,nrES_PID,Cadets!$B53,nrES_Seq,cfgCurrentExamNum,nrES_Final,"Yes")))</f>
        <v/>
      </c>
      <c r="D56" s="20">
        <f>IF($B56="","",IFERROR(ROUND(AVERAGEIFS(nrES_Rec,nrES_Seq,cfgCurrentExamNum,nrES_Final,"Yes",nrES_Rec,"&gt;=0",nrES_Rec,"&lt;=100"),1),""))</f>
        <v/>
      </c>
      <c r="E56" s="20">
        <f>IF($B56="","",IF(COUNTIFS(nrES_PID,Cadets!$B53,nrES_Seq,cfgCurrentExamNum,nrES_Att,2,nrES_Raw,"&gt;=0",nrES_AttPass,"Yes")&gt;0,"RETEST (cap 70)",IF(COUNTIFS(nrES_PID,Cadets!$B53,nrES_Seq,cfgCurrentExamNum,nrES_Att,2,nrES_Raw,"&gt;=0",nrES_AttPass,"No")&gt;0,"RETEST FAILED (first-attempt score shown)","")))</f>
        <v/>
      </c>
      <c r="F56" s="20">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0">
        <f>IF($B56="","",IF(OR(cfgCurrentSpellingNum&lt;cfgCurrentExamNum,cfgCurrentSpellingNum&lt;=0,cfgCurrentSpellingNum&gt;12),"",IF(Spelling!$R53="INTERVENTION","BELOW "&amp;cfgSpellInterventionAvg&amp;" — intervention","")))</f>
        <v/>
      </c>
      <c r="H56" s="20">
        <f>IF($B56="","",sysAttendance!$J53&amp;" / PT "&amp;sysAttendance!$R53)</f>
        <v/>
      </c>
      <c r="I56" s="20">
        <f>IF($B56="","",Writing!$AT53&amp;" ("&amp;Writing!$AS53&amp;" overdue)")</f>
        <v/>
      </c>
      <c r="J56" s="20">
        <f>IF($B56="","",sysFlags!$T53)</f>
        <v/>
      </c>
    </row>
    <row r="57">
      <c r="B57" s="20">
        <f>IF(IF(OR(Cadets!$B54="",Cadets!$I54&lt;&gt;"Active"),FALSE,OR(cfgPreviewAgency=cfgHomeAgency,Cadets!$G54=cfgPreviewAgency)),Cadets!$F54,"")</f>
        <v/>
      </c>
      <c r="C57" s="20">
        <f>IF($B57="","",IF(COUNTIFS(nrES_PID,Cadets!$B54,nrES_Seq,cfgCurrentExamNum,nrES_Final,"Yes",nrES_Rec,"&gt;=0")=0,"",SUMIFS(nrES_Rec,nrES_PID,Cadets!$B54,nrES_Seq,cfgCurrentExamNum,nrES_Final,"Yes")))</f>
        <v/>
      </c>
      <c r="D57" s="20">
        <f>IF($B57="","",IFERROR(ROUND(AVERAGEIFS(nrES_Rec,nrES_Seq,cfgCurrentExamNum,nrES_Final,"Yes",nrES_Rec,"&gt;=0",nrES_Rec,"&lt;=100"),1),""))</f>
        <v/>
      </c>
      <c r="E57" s="20">
        <f>IF($B57="","",IF(COUNTIFS(nrES_PID,Cadets!$B54,nrES_Seq,cfgCurrentExamNum,nrES_Att,2,nrES_Raw,"&gt;=0",nrES_AttPass,"Yes")&gt;0,"RETEST (cap 70)",IF(COUNTIFS(nrES_PID,Cadets!$B54,nrES_Seq,cfgCurrentExamNum,nrES_Att,2,nrES_Raw,"&gt;=0",nrES_AttPass,"No")&gt;0,"RETEST FAILED (first-attempt score shown)","")))</f>
        <v/>
      </c>
      <c r="F57" s="20">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0">
        <f>IF($B57="","",IF(OR(cfgCurrentSpellingNum&lt;cfgCurrentExamNum,cfgCurrentSpellingNum&lt;=0,cfgCurrentSpellingNum&gt;12),"",IF(Spelling!$R54="INTERVENTION","BELOW "&amp;cfgSpellInterventionAvg&amp;" — intervention","")))</f>
        <v/>
      </c>
      <c r="H57" s="20">
        <f>IF($B57="","",sysAttendance!$J54&amp;" / PT "&amp;sysAttendance!$R54)</f>
        <v/>
      </c>
      <c r="I57" s="20">
        <f>IF($B57="","",Writing!$AT54&amp;" ("&amp;Writing!$AS54&amp;" overdue)")</f>
        <v/>
      </c>
      <c r="J57" s="20">
        <f>IF($B57="","",sysFlags!$T54)</f>
        <v/>
      </c>
    </row>
    <row r="58">
      <c r="B58" s="20">
        <f>IF(IF(OR(Cadets!$B55="",Cadets!$I55&lt;&gt;"Active"),FALSE,OR(cfgPreviewAgency=cfgHomeAgency,Cadets!$G55=cfgPreviewAgency)),Cadets!$F55,"")</f>
        <v/>
      </c>
      <c r="C58" s="20">
        <f>IF($B58="","",IF(COUNTIFS(nrES_PID,Cadets!$B55,nrES_Seq,cfgCurrentExamNum,nrES_Final,"Yes",nrES_Rec,"&gt;=0")=0,"",SUMIFS(nrES_Rec,nrES_PID,Cadets!$B55,nrES_Seq,cfgCurrentExamNum,nrES_Final,"Yes")))</f>
        <v/>
      </c>
      <c r="D58" s="20">
        <f>IF($B58="","",IFERROR(ROUND(AVERAGEIFS(nrES_Rec,nrES_Seq,cfgCurrentExamNum,nrES_Final,"Yes",nrES_Rec,"&gt;=0",nrES_Rec,"&lt;=100"),1),""))</f>
        <v/>
      </c>
      <c r="E58" s="20">
        <f>IF($B58="","",IF(COUNTIFS(nrES_PID,Cadets!$B55,nrES_Seq,cfgCurrentExamNum,nrES_Att,2,nrES_Raw,"&gt;=0",nrES_AttPass,"Yes")&gt;0,"RETEST (cap 70)",IF(COUNTIFS(nrES_PID,Cadets!$B55,nrES_Seq,cfgCurrentExamNum,nrES_Att,2,nrES_Raw,"&gt;=0",nrES_AttPass,"No")&gt;0,"RETEST FAILED (first-attempt score shown)","")))</f>
        <v/>
      </c>
      <c r="F58" s="20">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0">
        <f>IF($B58="","",IF(OR(cfgCurrentSpellingNum&lt;cfgCurrentExamNum,cfgCurrentSpellingNum&lt;=0,cfgCurrentSpellingNum&gt;12),"",IF(Spelling!$R55="INTERVENTION","BELOW "&amp;cfgSpellInterventionAvg&amp;" — intervention","")))</f>
        <v/>
      </c>
      <c r="H58" s="20">
        <f>IF($B58="","",sysAttendance!$J55&amp;" / PT "&amp;sysAttendance!$R55)</f>
        <v/>
      </c>
      <c r="I58" s="20">
        <f>IF($B58="","",Writing!$AT55&amp;" ("&amp;Writing!$AS55&amp;" overdue)")</f>
        <v/>
      </c>
      <c r="J58" s="20">
        <f>IF($B58="","",sysFlags!$T55)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s="36">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6" t="n"/>
    </row>
    <row r="64">
      <c r="B64" s="36" t="n"/>
    </row>
    <row r="65">
      <c r="B65" s="36" t="n"/>
    </row>
    <row r="66">
      <c r="B66" s="36" t="n"/>
    </row>
    <row r="67">
      <c r="B67" s="36" t="n"/>
    </row>
    <row r="68">
      <c r="B68" s="36" t="n"/>
    </row>
    <row r="69">
      <c r="B69" s="36" t="n"/>
    </row>
    <row r="70">
      <c r="B70" s="36" t="n"/>
    </row>
    <row r="71">
      <c r="B71" s="36" t="n"/>
    </row>
    <row r="72">
      <c r="B72" s="36" t="n"/>
    </row>
    <row r="73">
      <c r="B73" s="36" t="n"/>
    </row>
    <row r="74">
      <c r="B74" s="36" t="n"/>
    </row>
    <row r="75">
      <c r="B75" s="36" t="n"/>
    </row>
    <row r="76">
      <c r="B76" s="36" t="n"/>
    </row>
    <row r="77">
      <c r="B77" s="36" t="n"/>
    </row>
    <row r="78">
      <c r="B78" s="36" t="n"/>
    </row>
    <row r="79">
      <c r="B79" s="36" t="n"/>
    </row>
    <row r="80">
      <c r="B80" s="36" t="n"/>
    </row>
    <row r="81">
      <c r="B81" s="36" t="n"/>
    </row>
    <row r="82">
      <c r="B82" s="36" t="n"/>
    </row>
    <row r="83">
      <c r="B83" s="36" t="n"/>
    </row>
    <row r="84">
      <c r="B84" s="36" t="n"/>
    </row>
    <row r="85">
      <c r="B85" s="36" t="n"/>
    </row>
    <row r="86">
      <c r="B86" s="36" t="n"/>
    </row>
    <row r="87">
      <c r="B87" s="36" t="n"/>
    </row>
    <row r="88">
      <c r="B88" s="36" t="n"/>
    </row>
    <row r="89">
      <c r="B89" s="36" t="n"/>
    </row>
    <row r="90">
      <c r="B90" s="36" t="n"/>
    </row>
    <row r="91">
      <c r="B91" s="36" t="n"/>
    </row>
    <row r="92">
      <c r="B92" s="36" t="n"/>
    </row>
    <row r="93">
      <c r="B93" s="36" t="n"/>
    </row>
    <row r="94">
      <c r="B94" s="36" t="n"/>
    </row>
    <row r="95">
      <c r="B95" s="36" t="n"/>
    </row>
    <row r="96">
      <c r="B96" s="36" t="n"/>
    </row>
    <row r="97">
      <c r="B97" s="36" t="n"/>
    </row>
    <row r="98">
      <c r="B98" s="36" t="n"/>
    </row>
    <row r="99">
      <c r="B99" s="36" t="n"/>
    </row>
    <row r="100">
      <c r="B100" s="36" t="n"/>
    </row>
    <row r="101">
      <c r="B101" s="36" t="n"/>
    </row>
    <row r="102">
      <c r="B102" s="36" t="n"/>
    </row>
    <row r="103">
      <c r="B103" s="36" t="n"/>
    </row>
    <row r="104">
      <c r="B104" s="36" t="n"/>
    </row>
    <row r="105">
      <c r="B105" s="36" t="n"/>
    </row>
    <row r="106">
      <c r="B106" s="36" t="n"/>
    </row>
    <row r="107">
      <c r="B107" s="36" t="n"/>
    </row>
    <row r="108">
      <c r="B108" s="36" t="n"/>
    </row>
    <row r="109">
      <c r="B109" s="36" t="n"/>
    </row>
    <row r="110">
      <c r="B110" s="36" t="n"/>
    </row>
    <row r="111">
      <c r="B111" s="36" t="n"/>
    </row>
    <row r="112">
      <c r="B112" s="36" t="n"/>
    </row>
    <row r="113">
      <c r="B113" s="36" t="n"/>
    </row>
    <row r="114">
      <c r="B114" s="36" t="n"/>
    </row>
    <row r="115">
      <c r="B115" s="36" t="n"/>
    </row>
    <row r="116">
      <c r="B116" s="36" t="n"/>
    </row>
    <row r="117">
      <c r="B117" s="36" t="n"/>
    </row>
    <row r="118">
      <c r="B118" s="36" t="n"/>
    </row>
    <row r="119">
      <c r="B119" s="36" t="n"/>
    </row>
    <row r="120">
      <c r="B120" s="36" t="n"/>
    </row>
    <row r="121">
      <c r="B121" s="36" t="n"/>
    </row>
    <row r="122">
      <c r="B122" s="36" t="n"/>
    </row>
    <row r="123">
      <c r="B123" s="36" t="n"/>
    </row>
    <row r="124">
      <c r="B124" s="36" t="n"/>
    </row>
    <row r="125">
      <c r="B125" s="36" t="n"/>
    </row>
    <row r="126">
      <c r="B126" s="36" t="n"/>
    </row>
    <row r="127">
      <c r="B127" s="36" t="n"/>
    </row>
    <row r="128">
      <c r="B128" s="36" t="n"/>
    </row>
    <row r="129">
      <c r="B129" s="36" t="n"/>
    </row>
    <row r="130">
      <c r="B130" s="36" t="n"/>
    </row>
    <row r="131">
      <c r="B131" s="36" t="n"/>
    </row>
    <row r="132">
      <c r="B132" s="36" t="n"/>
    </row>
    <row r="133">
      <c r="B133" s="36" t="n"/>
    </row>
    <row r="134">
      <c r="B134" s="36" t="n"/>
    </row>
    <row r="135">
      <c r="B135" s="36" t="n"/>
    </row>
    <row r="136">
      <c r="B136" s="36" t="n"/>
    </row>
    <row r="137">
      <c r="B137" s="36" t="n"/>
    </row>
    <row r="138">
      <c r="B138" s="36" t="n"/>
    </row>
    <row r="139">
      <c r="B139" s="36" t="n"/>
    </row>
    <row r="140">
      <c r="B140" s="36" t="n"/>
    </row>
    <row r="141">
      <c r="B141" s="36" t="n"/>
    </row>
    <row r="142">
      <c r="B142" s="36" t="n"/>
    </row>
    <row r="143">
      <c r="B143" s="36" t="n"/>
    </row>
    <row r="144">
      <c r="B144" s="36" t="n"/>
    </row>
    <row r="145">
      <c r="B145" s="36" t="n"/>
    </row>
    <row r="146">
      <c r="B146" s="36" t="n"/>
    </row>
    <row r="147">
      <c r="B147" s="36" t="n"/>
    </row>
    <row r="148">
      <c r="B148" s="36" t="n"/>
    </row>
    <row r="149">
      <c r="B149" s="36" t="n"/>
    </row>
    <row r="150">
      <c r="B150" s="36" t="n"/>
    </row>
    <row r="151">
      <c r="B151" s="36" t="n"/>
    </row>
    <row r="152">
      <c r="B152" s="36" t="n"/>
    </row>
    <row r="153">
      <c r="B153" s="36" t="n"/>
    </row>
    <row r="154">
      <c r="B154" s="36" t="n"/>
    </row>
    <row r="155">
      <c r="B155" s="36" t="n"/>
    </row>
    <row r="156">
      <c r="B156" s="36" t="n"/>
    </row>
    <row r="157">
      <c r="B157" s="36" t="n"/>
    </row>
    <row r="158">
      <c r="B158" s="36" t="n"/>
    </row>
    <row r="159">
      <c r="B159" s="36" t="n"/>
    </row>
    <row r="160">
      <c r="B160" s="36" t="n"/>
    </row>
    <row r="161">
      <c r="B161" s="36" t="n"/>
    </row>
    <row r="162">
      <c r="B162" s="36" t="n"/>
    </row>
    <row r="163">
      <c r="B163" s="36" t="n"/>
    </row>
    <row r="164">
      <c r="B164" s="36" t="n"/>
    </row>
    <row r="165">
      <c r="B165" s="36" t="n"/>
    </row>
    <row r="166">
      <c r="B166" s="36" t="n"/>
    </row>
    <row r="167">
      <c r="B167" s="36" t="n"/>
    </row>
    <row r="168">
      <c r="B168" s="36" t="n"/>
    </row>
    <row r="169">
      <c r="B169" s="36" t="n"/>
    </row>
    <row r="170">
      <c r="B170" s="36" t="n"/>
    </row>
    <row r="171">
      <c r="B171" s="36" t="n"/>
    </row>
    <row r="172">
      <c r="B172" s="36" t="n"/>
    </row>
    <row r="173">
      <c r="B173" s="36" t="n"/>
    </row>
    <row r="174">
      <c r="B174" s="36" t="n"/>
    </row>
    <row r="175">
      <c r="B175" s="36" t="n"/>
    </row>
    <row r="176">
      <c r="B176" s="36" t="n"/>
    </row>
    <row r="177">
      <c r="B177" s="36" t="n"/>
    </row>
    <row r="178">
      <c r="B178" s="36" t="n"/>
    </row>
    <row r="179">
      <c r="B179" s="36" t="n"/>
    </row>
    <row r="180">
      <c r="B180" s="36" t="n"/>
    </row>
    <row r="181">
      <c r="B181" s="36" t="n"/>
    </row>
    <row r="182">
      <c r="B182" s="36" t="n"/>
    </row>
    <row r="183">
      <c r="B183" s="36" t="n"/>
    </row>
    <row r="184">
      <c r="B184" s="36" t="n"/>
    </row>
    <row r="185">
      <c r="B185" s="36" t="n"/>
    </row>
    <row r="186">
      <c r="B186" s="36" t="n"/>
    </row>
    <row r="187">
      <c r="B187" s="36" t="n"/>
    </row>
    <row r="188">
      <c r="B188" s="36" t="n"/>
    </row>
    <row r="189">
      <c r="B189" s="36" t="n"/>
    </row>
    <row r="190">
      <c r="B190" s="36" t="n"/>
    </row>
    <row r="191">
      <c r="B191" s="36" t="n"/>
    </row>
    <row r="192">
      <c r="B192" s="36" t="n"/>
    </row>
    <row r="193">
      <c r="B193" s="36" t="n"/>
    </row>
    <row r="194">
      <c r="B194" s="36" t="n"/>
    </row>
    <row r="195">
      <c r="B195" s="36" t="n"/>
    </row>
    <row r="196">
      <c r="B196" s="36" t="n"/>
    </row>
    <row r="197">
      <c r="B197" s="36" t="n"/>
    </row>
    <row r="198">
      <c r="B198" s="36" t="n"/>
    </row>
    <row r="199">
      <c r="B199" s="36" t="n"/>
    </row>
    <row r="200">
      <c r="B200" s="36" t="n"/>
    </row>
    <row r="201">
      <c r="B201" s="36" t="n"/>
    </row>
    <row r="202">
      <c r="B202" s="36" t="n"/>
    </row>
    <row r="203">
      <c r="B203" s="36" t="n"/>
    </row>
    <row r="204">
      <c r="B204" s="36" t="n"/>
    </row>
    <row r="205">
      <c r="B205" s="36" t="n"/>
    </row>
    <row r="206">
      <c r="B206" s="36" t="n"/>
    </row>
    <row r="207">
      <c r="B207" s="36" t="n"/>
    </row>
    <row r="208">
      <c r="B208" s="36" t="n"/>
    </row>
    <row r="209">
      <c r="B209" s="36" t="n"/>
    </row>
    <row r="210">
      <c r="B210" s="36" t="n"/>
    </row>
    <row r="211">
      <c r="B211" s="36" t="n"/>
    </row>
    <row r="212">
      <c r="B212" s="36" t="n"/>
    </row>
    <row r="213">
      <c r="B213" s="36" t="n"/>
    </row>
    <row r="214">
      <c r="B214" s="36" t="n"/>
    </row>
    <row r="215">
      <c r="B215" s="36" t="n"/>
    </row>
    <row r="216">
      <c r="B216" s="36" t="n"/>
    </row>
    <row r="217">
      <c r="B217" s="36" t="n"/>
    </row>
    <row r="218">
      <c r="B218" s="36" t="n"/>
    </row>
    <row r="219">
      <c r="B219" s="36" t="n"/>
    </row>
    <row r="220">
      <c r="B220" s="36" t="n"/>
    </row>
    <row r="221">
      <c r="B221" s="36" t="n"/>
    </row>
    <row r="222">
      <c r="B222" s="36" t="n"/>
    </row>
    <row r="223">
      <c r="B223" s="36" t="n"/>
    </row>
    <row r="224">
      <c r="B224" s="36" t="n"/>
    </row>
    <row r="225">
      <c r="B225" s="36" t="n"/>
    </row>
    <row r="226">
      <c r="B226" s="36" t="n"/>
    </row>
    <row r="227">
      <c r="B227" s="36" t="n"/>
    </row>
    <row r="228">
      <c r="B228" s="36" t="n"/>
    </row>
    <row r="229">
      <c r="B229" s="36" t="n"/>
    </row>
    <row r="230">
      <c r="B230" s="36" t="n"/>
    </row>
    <row r="231">
      <c r="B231" s="36" t="n"/>
    </row>
    <row r="232">
      <c r="B232" s="36" t="n"/>
    </row>
    <row r="233">
      <c r="B233" s="36" t="n"/>
    </row>
    <row r="234">
      <c r="B234" s="36" t="n"/>
    </row>
    <row r="235">
      <c r="B235" s="36" t="n"/>
    </row>
    <row r="236">
      <c r="B236" s="36" t="n"/>
    </row>
    <row r="237">
      <c r="B237" s="36" t="n"/>
    </row>
    <row r="238">
      <c r="B238" s="36" t="n"/>
    </row>
    <row r="239">
      <c r="B239" s="36" t="n"/>
    </row>
    <row r="240">
      <c r="B240" s="36" t="n"/>
    </row>
    <row r="241">
      <c r="B241" s="36" t="n"/>
    </row>
    <row r="242">
      <c r="B242" s="36" t="n"/>
    </row>
    <row r="243">
      <c r="B243" s="36" t="n"/>
    </row>
    <row r="244">
      <c r="B244" s="36" t="n"/>
    </row>
    <row r="245">
      <c r="B245" s="36" t="n"/>
    </row>
    <row r="246">
      <c r="B246" s="36" t="n"/>
    </row>
    <row r="247">
      <c r="B247" s="36" t="n"/>
    </row>
    <row r="248">
      <c r="B248" s="36" t="n"/>
    </row>
    <row r="249">
      <c r="B249" s="36" t="n"/>
    </row>
    <row r="250">
      <c r="B250" s="36" t="n"/>
    </row>
    <row r="251">
      <c r="B251" s="36" t="n"/>
    </row>
    <row r="252">
      <c r="B252" s="36" t="n"/>
    </row>
    <row r="253">
      <c r="B253" s="36" t="n"/>
    </row>
    <row r="254">
      <c r="B254" s="36" t="n"/>
    </row>
    <row r="255">
      <c r="B255" s="36" t="n"/>
    </row>
    <row r="256">
      <c r="B256" s="36" t="n"/>
    </row>
    <row r="257">
      <c r="B257" s="36" t="n"/>
    </row>
    <row r="258">
      <c r="B258" s="36" t="n"/>
    </row>
    <row r="259">
      <c r="B259" s="36" t="n"/>
    </row>
    <row r="260">
      <c r="B260" s="36" t="n"/>
    </row>
    <row r="261">
      <c r="B261" s="36" t="n"/>
    </row>
    <row r="262">
      <c r="B262" s="36" t="n"/>
    </row>
    <row r="263">
      <c r="B263" s="36" t="n"/>
    </row>
    <row r="264">
      <c r="B264" s="36" t="n"/>
    </row>
    <row r="265">
      <c r="B265" s="36" t="n"/>
    </row>
    <row r="266">
      <c r="B266" s="36" t="n"/>
    </row>
    <row r="267">
      <c r="B267" s="36" t="n"/>
    </row>
    <row r="268">
      <c r="B268" s="36" t="n"/>
    </row>
    <row r="269">
      <c r="B269" s="36" t="n"/>
    </row>
    <row r="270">
      <c r="B270" s="36" t="n"/>
    </row>
    <row r="271">
      <c r="B271" s="36" t="n"/>
    </row>
    <row r="272">
      <c r="B272" s="36" t="n"/>
    </row>
    <row r="273">
      <c r="B273" s="36" t="n"/>
    </row>
    <row r="274">
      <c r="B274" s="36" t="n"/>
    </row>
    <row r="275">
      <c r="B275" s="36" t="n"/>
    </row>
    <row r="276">
      <c r="B276" s="36" t="n"/>
    </row>
    <row r="277">
      <c r="B277" s="36" t="n"/>
    </row>
    <row r="278">
      <c r="B278" s="36" t="n"/>
    </row>
    <row r="279">
      <c r="B279" s="36" t="n"/>
    </row>
    <row r="280">
      <c r="B280" s="36" t="n"/>
    </row>
    <row r="281">
      <c r="B281" s="36" t="n"/>
    </row>
    <row r="282">
      <c r="B282" s="36" t="n"/>
    </row>
    <row r="283">
      <c r="B283" s="36" t="n"/>
    </row>
    <row r="284">
      <c r="B284" s="36" t="n"/>
    </row>
    <row r="285">
      <c r="B285" s="36" t="n"/>
    </row>
    <row r="286">
      <c r="B286" s="36" t="n"/>
    </row>
    <row r="287">
      <c r="B287" s="36" t="n"/>
    </row>
    <row r="288">
      <c r="B288" s="36" t="n"/>
    </row>
    <row r="289">
      <c r="B289" s="36" t="n"/>
    </row>
    <row r="290">
      <c r="B290" s="36" t="n"/>
    </row>
    <row r="291">
      <c r="B291" s="36" t="n"/>
    </row>
    <row r="292">
      <c r="B292" s="36" t="n"/>
    </row>
    <row r="293">
      <c r="B293" s="36" t="n"/>
    </row>
    <row r="294">
      <c r="B294" s="36" t="n"/>
    </row>
    <row r="295">
      <c r="B295" s="36" t="n"/>
    </row>
    <row r="296">
      <c r="B296" s="36" t="n"/>
    </row>
    <row r="297">
      <c r="B297" s="36" t="n"/>
    </row>
    <row r="298">
      <c r="B298" s="36" t="n"/>
    </row>
    <row r="299">
      <c r="B299" s="36" t="n"/>
    </row>
    <row r="300">
      <c r="B300" s="36" t="n"/>
    </row>
    <row r="301">
      <c r="B301" s="36" t="n"/>
    </row>
    <row r="302">
      <c r="B302" s="36" t="n"/>
    </row>
    <row r="303">
      <c r="B303" s="36" t="n"/>
    </row>
    <row r="304">
      <c r="B304" s="36" t="n"/>
    </row>
    <row r="305">
      <c r="B305" s="36" t="n"/>
    </row>
    <row r="306">
      <c r="B306" s="36" t="n"/>
    </row>
    <row r="307">
      <c r="B307" s="36" t="n"/>
    </row>
    <row r="308">
      <c r="B308" s="36" t="n"/>
    </row>
    <row r="309">
      <c r="B309" s="36" t="n"/>
    </row>
    <row r="310">
      <c r="B310" s="36" t="n"/>
    </row>
    <row r="311">
      <c r="B311" s="36" t="n"/>
    </row>
    <row r="312">
      <c r="B312" s="36" t="n"/>
    </row>
    <row r="313">
      <c r="B313" s="36" t="n"/>
    </row>
    <row r="314">
      <c r="B314" s="36" t="n"/>
    </row>
    <row r="315">
      <c r="B315" s="36" t="n"/>
    </row>
    <row r="316">
      <c r="B316" s="36" t="n"/>
    </row>
    <row r="317">
      <c r="B317" s="36" t="n"/>
    </row>
    <row r="318">
      <c r="B318" s="36" t="n"/>
    </row>
    <row r="319">
      <c r="B319" s="36" t="n"/>
    </row>
    <row r="320">
      <c r="B320" s="36" t="n"/>
    </row>
    <row r="321">
      <c r="B321" s="36" t="n"/>
    </row>
    <row r="322">
      <c r="B322" s="36" t="n"/>
    </row>
    <row r="323">
      <c r="B323" s="36" t="n"/>
    </row>
    <row r="324">
      <c r="B324" s="36" t="n"/>
    </row>
    <row r="325">
      <c r="B325" s="36" t="n"/>
    </row>
    <row r="326">
      <c r="B326" s="36" t="n"/>
    </row>
    <row r="327">
      <c r="B327" s="36" t="n"/>
    </row>
    <row r="328">
      <c r="B328" s="36" t="n"/>
    </row>
    <row r="329">
      <c r="B329" s="36" t="n"/>
    </row>
    <row r="330">
      <c r="B330" s="36" t="n"/>
    </row>
    <row r="331">
      <c r="B331" s="36" t="n"/>
    </row>
    <row r="332">
      <c r="B332" s="36" t="n"/>
    </row>
    <row r="333">
      <c r="B333" s="36" t="n"/>
    </row>
    <row r="334">
      <c r="B334" s="36" t="n"/>
    </row>
    <row r="335">
      <c r="B335" s="36" t="n"/>
    </row>
    <row r="336">
      <c r="B336" s="36" t="n"/>
    </row>
    <row r="337">
      <c r="B337" s="36" t="n"/>
    </row>
    <row r="338">
      <c r="B338" s="36" t="n"/>
    </row>
    <row r="339">
      <c r="B339" s="36" t="n"/>
    </row>
    <row r="340">
      <c r="B340" s="36" t="n"/>
    </row>
    <row r="341">
      <c r="B341" s="36" t="n"/>
    </row>
    <row r="342">
      <c r="B342" s="36" t="n"/>
    </row>
    <row r="343">
      <c r="B343" s="36" t="n"/>
    </row>
    <row r="344">
      <c r="B344" s="36" t="n"/>
    </row>
    <row r="345">
      <c r="B345" s="36" t="n"/>
    </row>
    <row r="346">
      <c r="B346" s="36" t="n"/>
    </row>
    <row r="347">
      <c r="B347" s="36" t="n"/>
    </row>
    <row r="348">
      <c r="B348" s="36" t="n"/>
    </row>
    <row r="349">
      <c r="B349" s="36" t="n"/>
    </row>
    <row r="350">
      <c r="B350" s="36" t="n"/>
    </row>
    <row r="351">
      <c r="B351" s="36" t="n"/>
    </row>
    <row r="352">
      <c r="B352" s="36" t="n"/>
    </row>
    <row r="353">
      <c r="B353" s="36" t="n"/>
    </row>
    <row r="354">
      <c r="B354" s="36" t="n"/>
    </row>
    <row r="355">
      <c r="B355" s="36" t="n"/>
    </row>
    <row r="356">
      <c r="B356" s="36" t="n"/>
    </row>
    <row r="357">
      <c r="B357" s="36" t="n"/>
    </row>
    <row r="358">
      <c r="B358" s="36" t="n"/>
    </row>
    <row r="359">
      <c r="B359" s="36" t="n"/>
    </row>
    <row r="360">
      <c r="B360" s="36" t="n"/>
    </row>
    <row r="361">
      <c r="B361" s="36"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8.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White boxes with a blue border = edit per academy (entries show in blue). Gray = calculated. Internal names must not change. The PT rubric block holds the approved PT Test Score Chart — each cell is the value a cadet must REACH for that tier, and the PT sheet scores itself from it.</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c r="F7" s="20">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46332</v>
      </c>
      <c r="D8" s="2" t="inlineStr">
        <is>
          <t>Scheduled graduation date</t>
        </is>
      </c>
      <c r="E8" s="2" t="inlineStr">
        <is>
          <t>cfgEndDate</t>
        </is>
      </c>
      <c r="F8" s="20">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7" t="n">
        <v>145800</v>
      </c>
      <c r="D9" s="2" t="inlineStr">
        <is>
          <t>Academy length in minutes</t>
        </is>
      </c>
      <c r="E9" s="2" t="inlineStr">
        <is>
          <t>cfgTotalScheduledMinutes</t>
        </is>
      </c>
      <c r="F9" s="20">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8" t="n">
        <v>0.4</v>
      </c>
      <c r="D16" s="2" t="inlineStr">
        <is>
          <t>Major exams weight</t>
        </is>
      </c>
      <c r="E16" s="2" t="inlineStr">
        <is>
          <t>cfgWeightMajor</t>
        </is>
      </c>
    </row>
    <row r="17">
      <c r="B17" s="3" t="inlineStr">
        <is>
          <t>Weight: Minor</t>
        </is>
      </c>
      <c r="C17" s="38" t="n">
        <v>0.3</v>
      </c>
      <c r="D17" s="2" t="inlineStr">
        <is>
          <t>Minor exams weight</t>
        </is>
      </c>
      <c r="E17" s="2" t="inlineStr">
        <is>
          <t>cfgWeightMinor</t>
        </is>
      </c>
    </row>
    <row r="18">
      <c r="B18" s="3" t="inlineStr">
        <is>
          <t>Weight: Spelling</t>
        </is>
      </c>
      <c r="C18" s="38" t="n">
        <v>0.1</v>
      </c>
      <c r="D18" s="2" t="inlineStr">
        <is>
          <t>Spelling weight</t>
        </is>
      </c>
      <c r="E18" s="2" t="inlineStr">
        <is>
          <t>cfgWeightSpelling</t>
        </is>
      </c>
    </row>
    <row r="19">
      <c r="B19" s="3" t="inlineStr">
        <is>
          <t>Weight: Final</t>
        </is>
      </c>
      <c r="C19" s="38"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Makeup Advisory (minutes owed)</t>
        </is>
      </c>
      <c r="C21" s="37" t="n">
        <v>120</v>
      </c>
      <c r="D21" s="2" t="inlineStr">
        <is>
          <t>Watch a cadet once outstanding makeup reaches this many minutes (early warning only - NOT an allowance)</t>
        </is>
      </c>
      <c r="E21" s="2" t="inlineStr">
        <is>
          <t>cfgMakeupAdvisoryMin</t>
        </is>
      </c>
    </row>
    <row r="22">
      <c r="B22" s="3" t="inlineStr">
        <is>
          <t>Makeup Critical (minutes owed)</t>
        </is>
      </c>
      <c r="C22" s="37" t="n">
        <v>480</v>
      </c>
      <c r="D22" s="2" t="inlineStr">
        <is>
          <t>Escalate once outstanding makeup reaches this many minutes (early warning only - NOT an allowance)</t>
        </is>
      </c>
      <c r="E22" s="2" t="inlineStr">
        <is>
          <t>cfgMakeupCriticalMin</t>
        </is>
      </c>
    </row>
    <row r="23">
      <c r="B23" s="3" t="inlineStr">
        <is>
          <t>PT Cap (sessions)</t>
        </is>
      </c>
      <c r="C23" s="16" t="n">
        <v>5</v>
      </c>
      <c r="D23" s="2" t="inlineStr">
        <is>
          <t>Max PT sessions missed</t>
        </is>
      </c>
      <c r="E23" s="2" t="inlineStr">
        <is>
          <t>cfgPTCapSessions</t>
        </is>
      </c>
    </row>
    <row r="24">
      <c r="B24" s="3" t="inlineStr">
        <is>
          <t>PT Advisory (% of 5-session cap)</t>
        </is>
      </c>
      <c r="C24" s="38" t="n">
        <v>0.6</v>
      </c>
      <c r="D24" s="2" t="inlineStr">
        <is>
          <t>Tier 1 warning at this share of the PT session cap (PT is the only real cap in policy)</t>
        </is>
      </c>
      <c r="E24" s="2" t="inlineStr">
        <is>
          <t>cfgAttendanceAdvisoryPct</t>
        </is>
      </c>
    </row>
    <row r="25">
      <c r="B25" s="3" t="inlineStr">
        <is>
          <t>PT Critical (% of 5-session cap)</t>
        </is>
      </c>
      <c r="C25" s="38" t="n">
        <v>0.8</v>
      </c>
      <c r="D25" s="2" t="inlineStr">
        <is>
          <t>Tier 2 warning at this share of the PT session cap</t>
        </is>
      </c>
      <c r="E25" s="2" t="inlineStr">
        <is>
          <t>cfgAttendanceCriticalPct</t>
        </is>
      </c>
    </row>
    <row r="26">
      <c r="B26" s="3" t="inlineStr">
        <is>
          <t>Home Agency (gets all cadets)</t>
        </is>
      </c>
      <c r="C26" s="16" t="inlineStr">
        <is>
          <t>TPD</t>
        </is>
      </c>
      <c r="D26" s="2" t="inlineStr">
        <is>
          <t>Agency code whose email includes every cadet</t>
        </is>
      </c>
      <c r="E26" s="2" t="inlineStr">
        <is>
          <t>cfgHomeAgency</t>
        </is>
      </c>
      <c r="F26" s="20">
        <f>IF($C$26="","(blank)",IFERROR(INDEX(rngAgencyNames,MATCH($C$26,rngAgencyIDs,0)),"(no such AgencyID)"))</f>
        <v/>
      </c>
      <c r="G26" s="2">
        <f>IF(COUNTIF(rngAgencyIDs,$C$26)=0,"CHECK - not an AgencyID on the Agencies sheet; the 'All Cadets' draft, the all-agency discipline digest and the orphan-cadet warning are all SKIPPED",IF(INDEX(rngAgencyActive,MATCH($C$26,rngAgencyIDs,0))&lt;&gt;"Yes","CHECK - that agency is not marked Active","OK"))</f>
        <v/>
      </c>
    </row>
    <row r="27">
      <c r="B27" s="3" t="inlineStr">
        <is>
          <t>Current Exam # (for emails)</t>
        </is>
      </c>
      <c r="C27" s="16" t="n">
        <v>1</v>
      </c>
      <c r="D27" s="2" t="inlineStr">
        <is>
          <t>Sequence # of the exam to email</t>
        </is>
      </c>
      <c r="E27" s="2" t="inlineStr">
        <is>
          <t>cfgCurrentExamNum</t>
        </is>
      </c>
      <c r="F27" s="20">
        <f>IFERROR(MAX(_xlfn._xlws.FILTER(nrES_Seq,(nrES_Rec&lt;&gt;"")*(nrES_Seq&lt;&gt;""))),0)</f>
        <v/>
      </c>
      <c r="G27" s="2">
        <f>IF($F$27=0,"No exam scores posted yet",IF($C$27&gt;$F$27,"CHECK - set to Test "&amp;$C$27&amp;" but data only has Test "&amp;$F$27,IF($F$27&gt;$C$27,"CHECK - data shows Test "&amp;$F$27,"OK")))</f>
        <v/>
      </c>
    </row>
    <row r="28">
      <c r="B28" s="3" t="inlineStr">
        <is>
          <t>Current Spelling # (for emails)</t>
        </is>
      </c>
      <c r="C28" s="16" t="n">
        <v>1</v>
      </c>
      <c r="D28" s="2" t="inlineStr">
        <is>
          <t>Highest spelling test # administered</t>
        </is>
      </c>
      <c r="E28" s="2" t="inlineStr">
        <is>
          <t>cfgCurrentSpellingNum</t>
        </is>
      </c>
      <c r="F28" s="20">
        <f>MAX(SUMPRODUCT(MAX((nrSpellCounts&gt;0)*COLUMN(nrSpellCounts)))-COLUMN(Spelling!$D$1)+1,0)</f>
        <v/>
      </c>
      <c r="G28" s="2">
        <f>IF($C$28&lt;cfgCurrentExamNum,"CHECK - spelling will be OMITTED this run",IF($F$28&gt;$C$28,"CHECK - data shows Spelling "&amp;$F$28,"OK"))</f>
        <v/>
      </c>
    </row>
    <row r="29">
      <c r="B29" s="3" t="inlineStr">
        <is>
          <t>Writing Due Time</t>
        </is>
      </c>
      <c r="C29" s="16" t="inlineStr">
        <is>
          <t>1700</t>
        </is>
      </c>
      <c r="D29" s="2" t="inlineStr">
        <is>
          <t>Due time shown on handouts</t>
        </is>
      </c>
      <c r="E29" s="2" t="inlineStr">
        <is>
          <t>cfgWritingDueTime</t>
        </is>
      </c>
      <c r="F29" s="20">
        <f>IFERROR(TEXT(TIMEVALUE(LEFT(TEXT($C$29,"0000"),2)&amp;":"&amp;RIGHT(TEXT($C$29,"0000"),2)),"h:mm AM/PM"),"(unreadable)")</f>
        <v/>
      </c>
      <c r="G29" s="2">
        <f>IF($F$29="(unreadable)","CHECK - enter a 24-hour time as 4 digits (e.g. 1700). This is the due time printed on the Writing handout.","OK - shown on the WritingHandout Due column header")</f>
        <v/>
      </c>
    </row>
    <row r="30">
      <c r="B30" s="3" t="inlineStr">
        <is>
          <t>PT Final Min Points</t>
        </is>
      </c>
      <c r="C30" s="16" t="n">
        <v>70</v>
      </c>
      <c r="D30" s="2" t="inlineStr">
        <is>
          <t>Points needed to pass the final PT assessment (approved chart: 60 = every event minimum met, 100 = Tier 5 in all five)</t>
        </is>
      </c>
      <c r="E30" s="2" t="inlineStr">
        <is>
          <t>cfgPTFinalMinPoints</t>
        </is>
      </c>
    </row>
    <row r="31">
      <c r="B31" s="3" t="inlineStr">
        <is>
          <t>Flag: consecutive exam fails</t>
        </is>
      </c>
      <c r="C31" s="16" t="n">
        <v>2</v>
      </c>
      <c r="D31" s="2" t="inlineStr">
        <is>
          <t>Consecutive graded-exam scores below passing</t>
        </is>
      </c>
      <c r="E31" s="2" t="inlineStr">
        <is>
          <t>cfgFlagConsecFails</t>
        </is>
      </c>
    </row>
    <row r="32">
      <c r="B32" s="3" t="inlineStr">
        <is>
          <t>Flag: grade drop (points)</t>
        </is>
      </c>
      <c r="C32" s="16" t="n">
        <v>10</v>
      </c>
      <c r="D32" s="2" t="inlineStr">
        <is>
          <t>Drop in recorded score vs cadet's prior exam</t>
        </is>
      </c>
      <c r="E32" s="2" t="inlineStr">
        <is>
          <t>cfgFlagGradeDrop</t>
        </is>
      </c>
    </row>
    <row r="33">
      <c r="B33" s="3" t="inlineStr">
        <is>
          <t>Flag: category margin</t>
        </is>
      </c>
      <c r="C33" s="16" t="n">
        <v>5</v>
      </c>
      <c r="D33" s="2" t="inlineStr">
        <is>
          <t>Category avg within this many points of 70</t>
        </is>
      </c>
      <c r="E33" s="2" t="inlineStr">
        <is>
          <t>cfgFlagCategoryMargin</t>
        </is>
      </c>
    </row>
    <row r="34">
      <c r="B34" s="3" t="inlineStr">
        <is>
          <t>Flag: PT % of session cap</t>
        </is>
      </c>
      <c r="C34" s="38" t="n">
        <v>0.6</v>
      </c>
      <c r="D34" s="2" t="inlineStr">
        <is>
          <t>Flag once PT sessions missed reach this share of the five-session cap</t>
        </is>
      </c>
      <c r="E34" s="2" t="inlineStr">
        <is>
          <t>cfgFlagAttendancePct</t>
        </is>
      </c>
    </row>
    <row r="35">
      <c r="B35" s="3" t="inlineStr">
        <is>
          <t>Flag: open negative incidents</t>
        </is>
      </c>
      <c r="C35" s="16" t="n">
        <v>2</v>
      </c>
      <c r="D35" s="2" t="inlineStr">
        <is>
          <t>Open negative incidents at/above this count</t>
        </is>
      </c>
      <c r="E35" s="2" t="inlineStr">
        <is>
          <t>cfgFlagOpenIncidents</t>
        </is>
      </c>
    </row>
    <row r="36">
      <c r="B36" s="3" t="inlineStr">
        <is>
          <t>Flag: overdue writing</t>
        </is>
      </c>
      <c r="C36" s="16" t="n">
        <v>1</v>
      </c>
      <c r="D36" s="2" t="inlineStr">
        <is>
          <t>Overdue writing assignments at/above this count</t>
        </is>
      </c>
      <c r="E36" s="2" t="inlineStr">
        <is>
          <t>cfgFlagOverdueWriting</t>
        </is>
      </c>
    </row>
    <row r="37">
      <c r="B37" s="3" t="inlineStr">
        <is>
          <t>Weights total (must = 100%)</t>
        </is>
      </c>
      <c r="C37" s="39">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(approved PT Test Score Chart, the EXIT standard — each cell is the value a cadet must REACH for that tier; higher than the entry standard by design)</t>
        </is>
      </c>
      <c r="C41" s="8" t="n"/>
      <c r="D41" s="8" t="n"/>
      <c r="E41" s="8" t="n"/>
      <c r="F41" s="8" t="n"/>
      <c r="G41" s="8" t="n"/>
      <c r="H41" s="8" t="n"/>
      <c r="I41" s="8" t="n"/>
    </row>
    <row r="42" ht="26" customHeight="1">
      <c r="B42" s="12" t="inlineStr">
        <is>
          <t>Event</t>
        </is>
      </c>
      <c r="C42" s="12" t="inlineStr">
        <is>
          <t>Measure</t>
        </is>
      </c>
      <c r="D42" s="12" t="inlineStr">
        <is>
          <t>Tier 1</t>
        </is>
      </c>
      <c r="E42" s="12" t="inlineStr">
        <is>
          <t>Tier 2</t>
        </is>
      </c>
      <c r="F42" s="12" t="inlineStr">
        <is>
          <t>Tier 3</t>
        </is>
      </c>
      <c r="G42" s="12" t="inlineStr">
        <is>
          <t>Tier 4</t>
        </is>
      </c>
      <c r="H42" s="12" t="inlineStr">
        <is>
          <t>Tier 5</t>
        </is>
      </c>
      <c r="I42" s="12" t="inlineStr">
        <is>
          <t>Notes</t>
        </is>
      </c>
    </row>
    <row r="43">
      <c r="B43" s="3" t="inlineStr">
        <is>
          <t>Points per tier</t>
        </is>
      </c>
      <c r="C43" s="2" t="inlineStr">
        <is>
          <t>(editable)</t>
        </is>
      </c>
      <c r="D43" s="40" t="n">
        <v>12</v>
      </c>
      <c r="E43" s="40" t="n">
        <v>14</v>
      </c>
      <c r="F43" s="40" t="n">
        <v>16</v>
      </c>
      <c r="G43" s="40" t="n">
        <v>18</v>
      </c>
      <c r="H43" s="40" t="n">
        <v>20</v>
      </c>
      <c r="I43" s="2" t="inlineStr">
        <is>
          <t>5 events x 20 = 100 max; x 12 = 60 (every minimum met). Passing = PT Final Min Points above.</t>
        </is>
      </c>
    </row>
    <row r="44">
      <c r="B44" s="3" t="inlineStr">
        <is>
          <t>Push-Ups</t>
        </is>
      </c>
      <c r="C44" s="2" t="inlineStr">
        <is>
          <t>reps (no time limit)</t>
        </is>
      </c>
      <c r="D44" s="40" t="n">
        <v>23</v>
      </c>
      <c r="E44" s="40" t="n">
        <v>33</v>
      </c>
      <c r="F44" s="40" t="n">
        <v>41</v>
      </c>
      <c r="G44" s="40" t="n">
        <v>51</v>
      </c>
      <c r="H44" s="40" t="n">
        <v>79</v>
      </c>
      <c r="I44" s="2" t="inlineStr">
        <is>
          <t>best tier whose threshold is met; higher is better; below Tier 1 scores 0</t>
        </is>
      </c>
    </row>
    <row r="45">
      <c r="B45" s="3" t="inlineStr">
        <is>
          <t>Sit-Ups</t>
        </is>
      </c>
      <c r="C45" s="2" t="inlineStr">
        <is>
          <t>reps in 1:00</t>
        </is>
      </c>
      <c r="D45" s="40" t="n">
        <v>23</v>
      </c>
      <c r="E45" s="40" t="n">
        <v>33</v>
      </c>
      <c r="F45" s="40" t="n">
        <v>41</v>
      </c>
      <c r="G45" s="40" t="n">
        <v>51</v>
      </c>
      <c r="H45" s="40" t="n">
        <v>79</v>
      </c>
      <c r="I45" s="2" t="inlineStr">
        <is>
          <t>best tier whose threshold is met; higher is better; below Tier 1 scores 0</t>
        </is>
      </c>
    </row>
    <row r="46">
      <c r="B46" s="3" t="inlineStr">
        <is>
          <t>Agility Run</t>
        </is>
      </c>
      <c r="C46" s="2" t="inlineStr">
        <is>
          <t>seconds (lower is better)</t>
        </is>
      </c>
      <c r="D46" s="40" t="n">
        <v>20.2</v>
      </c>
      <c r="E46" s="40" t="n">
        <v>18</v>
      </c>
      <c r="F46" s="40" t="n">
        <v>15.8</v>
      </c>
      <c r="G46" s="40" t="n">
        <v>13.6</v>
      </c>
      <c r="H46" s="40" t="n">
        <v>12</v>
      </c>
      <c r="I46" s="2" t="inlineStr">
        <is>
          <t>best tier whose threshold is met; lower is better; below Tier 1 scores 0</t>
        </is>
      </c>
    </row>
    <row r="47">
      <c r="B47" s="3" t="inlineStr">
        <is>
          <t>1.5 Mile Run</t>
        </is>
      </c>
      <c r="C47" s="2" t="inlineStr">
        <is>
          <t>SECONDS (15:42=942, 14:08=848, 12:35=755, 11:02=662, 9:30=570); the PT sheet takes decimal minutes and the engine converts</t>
        </is>
      </c>
      <c r="D47" s="40" t="n">
        <v>942</v>
      </c>
      <c r="E47" s="40" t="n">
        <v>848</v>
      </c>
      <c r="F47" s="40" t="n">
        <v>755</v>
      </c>
      <c r="G47" s="40" t="n">
        <v>662</v>
      </c>
      <c r="H47" s="40" t="n">
        <v>570</v>
      </c>
      <c r="I47" s="2" t="inlineStr">
        <is>
          <t>best tier whose threshold is met; lower is better; below Tier 1 scores 0</t>
        </is>
      </c>
    </row>
    <row r="48">
      <c r="B48" s="3" t="inlineStr">
        <is>
          <t>300 M Sprint</t>
        </is>
      </c>
      <c r="C48" s="2" t="inlineStr">
        <is>
          <t>seconds (lower is better)</t>
        </is>
      </c>
      <c r="D48" s="40" t="n">
        <v>66.98999999999999</v>
      </c>
      <c r="E48" s="40" t="n">
        <v>61.4</v>
      </c>
      <c r="F48" s="40" t="n">
        <v>55.8</v>
      </c>
      <c r="G48" s="40" t="n">
        <v>50.2</v>
      </c>
      <c r="H48" s="40" t="n">
        <v>45.99</v>
      </c>
      <c r="I48" s="2" t="inlineStr">
        <is>
          <t>best tier whose threshold is met; lower is better; below Tier 1 scores 0</t>
        </is>
      </c>
    </row>
    <row r="49">
      <c r="B49" s="2" t="inlineStr">
        <is>
          <t>Bench Press and Vertical Jump are BASELINE standards only — they are not scored at the final assessment.</t>
        </is>
      </c>
    </row>
  </sheetData>
  <mergeCells count="1">
    <mergeCell ref="B41:I41"/>
  </mergeCells>
  <dataValidations count="1">
    <dataValidation sqref="C26" showDropDown="0" showInputMessage="0" showErrorMessage="1" allowBlank="1" type="list">
      <formula1>=rngAgencyIDs</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AC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Unexcused missed exams</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c r="AC10" s="16" t="inlineStr">
        <is>
          <t>Other (not engine-tracked)</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IF($B12="","",IFERROR(IF(_xlfn.MAXIFS(nrELdate,nrELagency,$B12)=0,"",_xlfn.MAXIFS(nrELdate,nrELagency,$B12)),""))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IF($B13="","",IFERROR(IF(_xlfn.MAXIFS(nrELdate,nrELagency,$B13)=0,"",_xlfn.MAXIFS(nrELdate,nrELagency,$B13)),""))</f>
        <v/>
      </c>
    </row>
    <row r="14">
      <c r="B14" s="16" t="n"/>
      <c r="C14" s="16" t="n"/>
      <c r="D14" s="16" t="n"/>
      <c r="E14" s="16" t="n"/>
      <c r="F14" s="16" t="n"/>
      <c r="G14" s="16" t="n"/>
      <c r="H14" s="16" t="n"/>
      <c r="I14" s="19">
        <f>IF($B14="","",IFERROR(IF(_xlfn.MAXIFS(nrELdate,nrELagency,$B14)=0,"",_xlfn.MAXIFS(nrELdate,nrELagency,$B14)),""))</f>
        <v/>
      </c>
    </row>
    <row r="15">
      <c r="B15" s="16" t="n"/>
      <c r="C15" s="16" t="n"/>
      <c r="D15" s="16" t="n"/>
      <c r="E15" s="16" t="n"/>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O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W8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End of Course Review</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Traffic Code</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Crash Investigation</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TIM</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General Investigations</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Auto Theft</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Crime Scene</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Booking Operations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Interview Techniques</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Case Management</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Criminal Investigations - Media Relations</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Review</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Digital Forensics</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 - Base Level Evaluation</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Ju Jitsu</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Final</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PT - "The Murph"</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Final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State Test</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Final Re-Test (If Needed)</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inlineStr">
        <is>
          <t>Graduation</t>
        </is>
      </c>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row r="81">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7">
        <f>IF($B81="","",COUNTA(M81:V81))</f>
        <v/>
      </c>
    </row>
  </sheetData>
  <dataValidations count="2">
    <dataValidation sqref="C6:L81" showDropDown="0" showInputMessage="0" showErrorMessage="1" allowBlank="1" type="list">
      <formula1>=nrInstrNames</formula1>
    </dataValidation>
    <dataValidation sqref="M6:V81" showDropDown="0" showInputMessage="0" showErrorMessage="0" allowBlank="1" type="list">
      <formula1>=INDEX($C$6:$L$81,MATCH($B6,$B$6:$B$81,0),0)</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U71"/>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41"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3" t="n"/>
      <c r="T6" s="16" t="n"/>
      <c r="U6" s="17">
        <f>IF($D6="","",IF(AND(COUNTIF(L6:P6,"On File")+COUNTIF(L6:P6,"N/A")=5,OR($Q6="On File",$Q6="N/A"),OR($S6="",$T6="Yes",$T6="N/A")),"Yes","No"))</f>
        <v/>
      </c>
    </row>
    <row r="7">
      <c r="B7" s="16" t="inlineStr">
        <is>
          <t>B</t>
        </is>
      </c>
      <c r="C7" s="41"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3" t="n"/>
      <c r="T7" s="16" t="n"/>
      <c r="U7" s="17">
        <f>IF($D7="","",IF(AND(COUNTIF(L7:P7,"On File")+COUNTIF(L7:P7,"N/A")=5,OR($Q7="On File",$Q7="N/A"),OR($S7="",$T7="Yes",$T7="N/A")),"Yes","No"))</f>
        <v/>
      </c>
    </row>
    <row r="8">
      <c r="B8" s="16" t="inlineStr">
        <is>
          <t>B</t>
        </is>
      </c>
      <c r="C8" s="41"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3" t="inlineStr">
        <is>
          <t>Crime Stoppers Texas Course #22911 delivered here (not reported separately)</t>
        </is>
      </c>
      <c r="T8" s="16" t="n"/>
      <c r="U8" s="17">
        <f>IF($D8="","",IF(AND(COUNTIF(L8:P8,"On File")+COUNTIF(L8:P8,"N/A")=5,OR($Q8="On File",$Q8="N/A"),OR($S8="",$T8="Yes",$T8="N/A")),"Yes","No"))</f>
        <v/>
      </c>
    </row>
    <row r="9">
      <c r="B9" s="16" t="inlineStr">
        <is>
          <t>B</t>
        </is>
      </c>
      <c r="C9" s="41"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3" t="n"/>
      <c r="T9" s="16" t="n"/>
      <c r="U9" s="17">
        <f>IF($D9="","",IF(AND(COUNTIF(L9:P9,"On File")+COUNTIF(L9:P9,"N/A")=5,OR($Q9="On File",$Q9="N/A"),OR($S9="",$T9="Yes",$T9="N/A")),"Yes","No"))</f>
        <v/>
      </c>
    </row>
    <row r="10">
      <c r="B10" s="16" t="inlineStr">
        <is>
          <t>B</t>
        </is>
      </c>
      <c r="C10" s="41"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3" t="n"/>
      <c r="T10" s="16" t="n"/>
      <c r="U10" s="17">
        <f>IF($D10="","",IF(AND(COUNTIF(L10:P10,"On File")+COUNTIF(L10:P10,"N/A")=5,OR($Q10="On File",$Q10="N/A"),OR($S10="",$T10="Yes",$T10="N/A")),"Yes","No"))</f>
        <v/>
      </c>
    </row>
    <row r="11">
      <c r="B11" s="16" t="inlineStr">
        <is>
          <t>B</t>
        </is>
      </c>
      <c r="C11" s="41"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3" t="n"/>
      <c r="T11" s="16" t="n"/>
      <c r="U11" s="17">
        <f>IF($D11="","",IF(AND(COUNTIF(L11:P11,"On File")+COUNTIF(L11:P11,"N/A")=5,OR($Q11="On File",$Q11="N/A"),OR($S11="",$T11="Yes",$T11="N/A")),"Yes","No"))</f>
        <v/>
      </c>
    </row>
    <row r="12">
      <c r="B12" s="16" t="inlineStr">
        <is>
          <t>B</t>
        </is>
      </c>
      <c r="C12" s="41"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3" t="n"/>
      <c r="T12" s="16" t="n"/>
      <c r="U12" s="17">
        <f>IF($D12="","",IF(AND(COUNTIF(L12:P12,"On File")+COUNTIF(L12:P12,"N/A")=5,OR($Q12="On File",$Q12="N/A"),OR($S12="",$T12="Yes",$T12="N/A")),"Yes","No"))</f>
        <v/>
      </c>
    </row>
    <row r="13">
      <c r="B13" s="16" t="inlineStr">
        <is>
          <t>C</t>
        </is>
      </c>
      <c r="C13" s="41"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3" t="n"/>
      <c r="T13" s="16" t="n"/>
      <c r="U13" s="17">
        <f>IF($D13="","",IF(AND(COUNTIF(L13:P13,"On File")+COUNTIF(L13:P13,"N/A")=5,OR($Q13="On File",$Q13="N/A"),OR($S13="",$T13="Yes",$T13="N/A")),"Yes","No"))</f>
        <v/>
      </c>
    </row>
    <row r="14">
      <c r="B14" s="16" t="inlineStr">
        <is>
          <t>C</t>
        </is>
      </c>
      <c r="C14" s="41"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3" t="n"/>
      <c r="T14" s="16" t="n"/>
      <c r="U14" s="17">
        <f>IF($D14="","",IF(AND(COUNTIF(L14:P14,"On File")+COUNTIF(L14:P14,"N/A")=5,OR($Q14="On File",$Q14="N/A"),OR($S14="",$T14="Yes",$T14="N/A")),"Yes","No"))</f>
        <v/>
      </c>
    </row>
    <row r="15">
      <c r="B15" s="16" t="inlineStr">
        <is>
          <t>C</t>
        </is>
      </c>
      <c r="C15" s="41"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3" t="n"/>
      <c r="T15" s="16" t="n"/>
      <c r="U15" s="17">
        <f>IF($D15="","",IF(AND(COUNTIF(L15:P15,"On File")+COUNTIF(L15:P15,"N/A")=5,OR($Q15="On File",$Q15="N/A"),OR($S15="",$T15="Yes",$T15="N/A")),"Yes","No"))</f>
        <v/>
      </c>
    </row>
    <row r="16">
      <c r="B16" s="16" t="inlineStr">
        <is>
          <t>C</t>
        </is>
      </c>
      <c r="C16" s="41"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3" t="n"/>
      <c r="T16" s="16" t="n"/>
      <c r="U16" s="17">
        <f>IF($D16="","",IF(AND(COUNTIF(L16:P16,"On File")+COUNTIF(L16:P16,"N/A")=5,OR($Q16="On File",$Q16="N/A"),OR($S16="",$T16="Yes",$T16="N/A")),"Yes","No"))</f>
        <v/>
      </c>
    </row>
    <row r="17">
      <c r="B17" s="16" t="inlineStr">
        <is>
          <t>C</t>
        </is>
      </c>
      <c r="C17" s="41"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3" t="n"/>
      <c r="T17" s="16" t="n"/>
      <c r="U17" s="17">
        <f>IF($D17="","",IF(AND(COUNTIF(L17:P17,"On File")+COUNTIF(L17:P17,"N/A")=5,OR($Q17="On File",$Q17="N/A"),OR($S17="",$T17="Yes",$T17="N/A")),"Yes","No"))</f>
        <v/>
      </c>
    </row>
    <row r="18">
      <c r="B18" s="16" t="inlineStr">
        <is>
          <t>C</t>
        </is>
      </c>
      <c r="C18" s="41"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3" t="n"/>
      <c r="T18" s="16" t="n"/>
      <c r="U18" s="17">
        <f>IF($D18="","",IF(AND(COUNTIF(L18:P18,"On File")+COUNTIF(L18:P18,"N/A")=5,OR($Q18="On File",$Q18="N/A"),OR($S18="",$T18="Yes",$T18="N/A")),"Yes","No"))</f>
        <v/>
      </c>
    </row>
    <row r="19">
      <c r="B19" s="16" t="inlineStr">
        <is>
          <t>C</t>
        </is>
      </c>
      <c r="C19" s="41"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3" t="n"/>
      <c r="T19" s="16" t="n"/>
      <c r="U19" s="17">
        <f>IF($D19="","",IF(AND(COUNTIF(L19:P19,"On File")+COUNTIF(L19:P19,"N/A")=5,OR($Q19="On File",$Q19="N/A"),OR($S19="",$T19="Yes",$T19="N/A")),"Yes","No"))</f>
        <v/>
      </c>
    </row>
    <row r="20">
      <c r="B20" s="16" t="inlineStr">
        <is>
          <t>C</t>
        </is>
      </c>
      <c r="C20" s="41"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3" t="n"/>
      <c r="T20" s="16" t="n"/>
      <c r="U20" s="17">
        <f>IF($D20="","",IF(AND(COUNTIF(L20:P20,"On File")+COUNTIF(L20:P20,"N/A")=5,OR($Q20="On File",$Q20="N/A"),OR($S20="",$T20="Yes",$T20="N/A")),"Yes","No"))</f>
        <v/>
      </c>
    </row>
    <row r="21">
      <c r="B21" s="16" t="inlineStr">
        <is>
          <t>D</t>
        </is>
      </c>
      <c r="C21" s="41"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3" t="n"/>
      <c r="T21" s="16" t="n"/>
      <c r="U21" s="17">
        <f>IF($D21="","",IF(AND(COUNTIF(L21:P21,"On File")+COUNTIF(L21:P21,"N/A")=5,OR($Q21="On File",$Q21="N/A"),OR($S21="",$T21="Yes",$T21="N/A")),"Yes","No"))</f>
        <v/>
      </c>
    </row>
    <row r="22">
      <c r="B22" s="16" t="inlineStr">
        <is>
          <t>D</t>
        </is>
      </c>
      <c r="C22" s="41"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3" t="n"/>
      <c r="T22" s="16" t="n"/>
      <c r="U22" s="17">
        <f>IF($D22="","",IF(AND(COUNTIF(L22:P22,"On File")+COUNTIF(L22:P22,"N/A")=5,OR($Q22="On File",$Q22="N/A"),OR($S22="",$T22="Yes",$T22="N/A")),"Yes","No"))</f>
        <v/>
      </c>
    </row>
    <row r="23">
      <c r="B23" s="16" t="inlineStr">
        <is>
          <t>E</t>
        </is>
      </c>
      <c r="C23" s="41"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3" t="n"/>
      <c r="T23" s="16" t="n"/>
      <c r="U23" s="17">
        <f>IF($D23="","",IF(AND(COUNTIF(L23:P23,"On File")+COUNTIF(L23:P23,"N/A")=5,OR($Q23="On File",$Q23="N/A"),OR($S23="",$T23="Yes",$T23="N/A")),"Yes","No"))</f>
        <v/>
      </c>
    </row>
    <row r="24">
      <c r="B24" s="16" t="inlineStr">
        <is>
          <t>E</t>
        </is>
      </c>
      <c r="C24" s="41"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3" t="n"/>
      <c r="T24" s="16" t="n"/>
      <c r="U24" s="17">
        <f>IF($D24="","",IF(AND(COUNTIF(L24:P24,"On File")+COUNTIF(L24:P24,"N/A")=5,OR($Q24="On File",$Q24="N/A"),OR($S24="",$T24="Yes",$T24="N/A")),"Yes","No"))</f>
        <v/>
      </c>
    </row>
    <row r="25">
      <c r="B25" s="16" t="inlineStr">
        <is>
          <t>E</t>
        </is>
      </c>
      <c r="C25" s="41"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3" t="n"/>
      <c r="T25" s="16" t="n"/>
      <c r="U25" s="17">
        <f>IF($D25="","",IF(AND(COUNTIF(L25:P25,"On File")+COUNTIF(L25:P25,"N/A")=5,OR($Q25="On File",$Q25="N/A"),OR($S25="",$T25="Yes",$T25="N/A")),"Yes","No"))</f>
        <v/>
      </c>
    </row>
    <row r="26">
      <c r="B26" s="16" t="inlineStr">
        <is>
          <t>E</t>
        </is>
      </c>
      <c r="C26" s="41"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3" t="n"/>
      <c r="T26" s="16" t="n"/>
      <c r="U26" s="17">
        <f>IF($D26="","",IF(AND(COUNTIF(L26:P26,"On File")+COUNTIF(L26:P26,"N/A")=5,OR($Q26="On File",$Q26="N/A"),OR($S26="",$T26="Yes",$T26="N/A")),"Yes","No"))</f>
        <v/>
      </c>
    </row>
    <row r="27">
      <c r="B27" s="16" t="inlineStr">
        <is>
          <t>E</t>
        </is>
      </c>
      <c r="C27" s="41"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3" t="n"/>
      <c r="T27" s="16" t="n"/>
      <c r="U27" s="17">
        <f>IF($D27="","",IF(AND(COUNTIF(L27:P27,"On File")+COUNTIF(L27:P27,"N/A")=5,OR($Q27="On File",$Q27="N/A"),OR($S27="",$T27="Yes",$T27="N/A")),"Yes","No"))</f>
        <v/>
      </c>
    </row>
    <row r="28">
      <c r="B28" s="16" t="inlineStr">
        <is>
          <t>F</t>
        </is>
      </c>
      <c r="C28" s="41"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3" t="inlineStr">
        <is>
          <t>Students complete 4-hr National TIM Responder course; instructor holds TIM Instructor</t>
        </is>
      </c>
      <c r="T28" s="16" t="n"/>
      <c r="U28" s="17">
        <f>IF($D28="","",IF(AND(COUNTIF(L28:P28,"On File")+COUNTIF(L28:P28,"N/A")=5,OR($Q28="On File",$Q28="N/A"),OR($S28="",$T28="Yes",$T28="N/A")),"Yes","No"))</f>
        <v/>
      </c>
    </row>
    <row r="29">
      <c r="B29" s="16" t="inlineStr">
        <is>
          <t>F</t>
        </is>
      </c>
      <c r="C29" s="41"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3"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41"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3" t="n"/>
      <c r="T30" s="16" t="n"/>
      <c r="U30" s="17">
        <f>IF($D30="","",IF(AND(COUNTIF(L30:P30,"On File")+COUNTIF(L30:P30,"N/A")=5,OR($Q30="On File",$Q30="N/A"),OR($S30="",$T30="Yes",$T30="N/A")),"Yes","No"))</f>
        <v/>
      </c>
    </row>
    <row r="31">
      <c r="B31" s="16" t="inlineStr">
        <is>
          <t>G</t>
        </is>
      </c>
      <c r="C31" s="41"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3" t="n"/>
      <c r="T31" s="16" t="n"/>
      <c r="U31" s="17">
        <f>IF($D31="","",IF(AND(COUNTIF(L31:P31,"On File")+COUNTIF(L31:P31,"N/A")=5,OR($Q31="On File",$Q31="N/A"),OR($S31="",$T31="Yes",$T31="N/A")),"Yes","No"))</f>
        <v/>
      </c>
    </row>
    <row r="32">
      <c r="B32" s="16" t="inlineStr">
        <is>
          <t>G</t>
        </is>
      </c>
      <c r="C32" s="41"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3" t="n"/>
      <c r="T32" s="16" t="n"/>
      <c r="U32" s="17">
        <f>IF($D32="","",IF(AND(COUNTIF(L32:P32,"On File")+COUNTIF(L32:P32,"N/A")=5,OR($Q32="On File",$Q32="N/A"),OR($S32="",$T32="Yes",$T32="N/A")),"Yes","No"))</f>
        <v/>
      </c>
    </row>
    <row r="33">
      <c r="B33" s="16" t="inlineStr">
        <is>
          <t>H</t>
        </is>
      </c>
      <c r="C33" s="41"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3" t="n"/>
      <c r="T33" s="16" t="n"/>
      <c r="U33" s="17">
        <f>IF($D33="","",IF(AND(COUNTIF(L33:P33,"On File")+COUNTIF(L33:P33,"N/A")=5,OR($Q33="On File",$Q33="N/A"),OR($S33="",$T33="Yes",$T33="N/A")),"Yes","No"))</f>
        <v/>
      </c>
    </row>
    <row r="34">
      <c r="B34" s="16" t="inlineStr">
        <is>
          <t>J</t>
        </is>
      </c>
      <c r="C34" s="41"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3" t="n"/>
      <c r="T34" s="16" t="n"/>
      <c r="U34" s="17">
        <f>IF($D34="","",IF(AND(COUNTIF(L34:P34,"On File")+COUNTIF(L34:P34,"N/A")=5,OR($Q34="On File",$Q34="N/A"),OR($S34="",$T34="Yes",$T34="N/A")),"Yes","No"))</f>
        <v/>
      </c>
    </row>
    <row r="35">
      <c r="B35" s="16" t="inlineStr">
        <is>
          <t>I</t>
        </is>
      </c>
      <c r="C35" s="41"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3" t="inlineStr">
        <is>
          <t>Lead instructor: 2+ yrs as Mental Health Officer or CIT member</t>
        </is>
      </c>
      <c r="T35" s="16" t="n"/>
      <c r="U35" s="17">
        <f>IF($D35="","",IF(AND(COUNTIF(L35:P35,"On File")+COUNTIF(L35:P35,"N/A")=5,OR($Q35="On File",$Q35="N/A"),OR($S35="",$T35="Yes",$T35="N/A")),"Yes","No"))</f>
        <v/>
      </c>
    </row>
    <row r="36">
      <c r="B36" s="16" t="inlineStr">
        <is>
          <t>I</t>
        </is>
      </c>
      <c r="C36" s="41"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3" t="n"/>
      <c r="T36" s="16" t="n"/>
      <c r="U36" s="17">
        <f>IF($D36="","",IF(AND(COUNTIF(L36:P36,"On File")+COUNTIF(L36:P36,"N/A")=5,OR($Q36="On File",$Q36="N/A"),OR($S36="",$T36="Yes",$T36="N/A")),"Yes","No"))</f>
        <v/>
      </c>
    </row>
    <row r="37">
      <c r="B37" s="16" t="inlineStr">
        <is>
          <t>J</t>
        </is>
      </c>
      <c r="C37" s="41"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3" t="n"/>
      <c r="T37" s="16" t="n"/>
      <c r="U37" s="17">
        <f>IF($D37="","",IF(AND(COUNTIF(L37:P37,"On File")+COUNTIF(L37:P37,"N/A")=5,OR($Q37="On File",$Q37="N/A"),OR($S37="",$T37="Yes",$T37="N/A")),"Yes","No"))</f>
        <v/>
      </c>
    </row>
    <row r="38">
      <c r="B38" s="16" t="inlineStr">
        <is>
          <t>K</t>
        </is>
      </c>
      <c r="C38" s="41"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3" t="inlineStr">
        <is>
          <t>Course 3232 Special Investigative Topics content (Occ. Code 1701.352)</t>
        </is>
      </c>
      <c r="T38" s="16" t="n"/>
      <c r="U38" s="17">
        <f>IF($D38="","",IF(AND(COUNTIF(L38:P38,"On File")+COUNTIF(L38:P38,"N/A")=5,OR($Q38="On File",$Q38="N/A"),OR($S38="",$T38="Yes",$T38="N/A")),"Yes","No"))</f>
        <v/>
      </c>
    </row>
    <row r="39">
      <c r="B39" s="16" t="inlineStr">
        <is>
          <t>K</t>
        </is>
      </c>
      <c r="C39" s="41"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3" t="n"/>
      <c r="T39" s="16" t="n"/>
      <c r="U39" s="17">
        <f>IF($D39="","",IF(AND(COUNTIF(L39:P39,"On File")+COUNTIF(L39:P39,"N/A")=5,OR($Q39="On File",$Q39="N/A"),OR($S39="",$T39="Yes",$T39="N/A")),"Yes","No"))</f>
        <v/>
      </c>
    </row>
    <row r="40">
      <c r="B40" s="16" t="inlineStr">
        <is>
          <t>L</t>
        </is>
      </c>
      <c r="C40" s="41"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3" t="n"/>
      <c r="T40" s="16" t="n"/>
      <c r="U40" s="17">
        <f>IF($D40="","",IF(AND(COUNTIF(L40:P40,"On File")+COUNTIF(L40:P40,"N/A")=5,OR($Q40="On File",$Q40="N/A"),OR($S40="",$T40="Yes",$T40="N/A")),"Yes","No"))</f>
        <v/>
      </c>
    </row>
    <row r="41">
      <c r="B41" s="16" t="inlineStr">
        <is>
          <t>M</t>
        </is>
      </c>
      <c r="C41" s="41"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3" t="n"/>
      <c r="T41" s="16" t="n"/>
      <c r="U41" s="17">
        <f>IF($D41="","",IF(AND(COUNTIF(L41:P41,"On File")+COUNTIF(L41:P41,"N/A")=5,OR($Q41="On File",$Q41="N/A"),OR($S41="",$T41="Yes",$T41="N/A")),"Yes","No"))</f>
        <v/>
      </c>
    </row>
    <row r="42">
      <c r="B42" s="16" t="inlineStr">
        <is>
          <t>M</t>
        </is>
      </c>
      <c r="C42" s="41"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3" t="inlineStr">
        <is>
          <t>DPS NCIC/TCIC Course #4800 completed, DPS-approved trainers (not reported separately)</t>
        </is>
      </c>
      <c r="T42" s="16" t="n"/>
      <c r="U42" s="17">
        <f>IF($D42="","",IF(AND(COUNTIF(L42:P42,"On File")+COUNTIF(L42:P42,"N/A")=5,OR($Q42="On File",$Q42="N/A"),OR($S42="",$T42="Yes",$T42="N/A")),"Yes","No"))</f>
        <v/>
      </c>
    </row>
    <row r="43">
      <c r="B43" s="16" t="inlineStr">
        <is>
          <t>M</t>
        </is>
      </c>
      <c r="C43" s="41"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3" t="inlineStr">
        <is>
          <t>Seven Step Violator Contact method must be taught</t>
        </is>
      </c>
      <c r="T43" s="16" t="n"/>
      <c r="U43" s="17">
        <f>IF($D43="","",IF(AND(COUNTIF(L43:P43,"On File")+COUNTIF(L43:P43,"N/A")=5,OR($Q43="On File",$Q43="N/A"),OR($S43="",$T43="Yes",$T43="N/A")),"Yes","No"))</f>
        <v/>
      </c>
    </row>
    <row r="44">
      <c r="B44" s="16" t="inlineStr">
        <is>
          <t>M</t>
        </is>
      </c>
      <c r="C44" s="41"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3" t="n"/>
      <c r="T44" s="16" t="n"/>
      <c r="U44" s="17">
        <f>IF($D44="","",IF(AND(COUNTIF(L44:P44,"On File")+COUNTIF(L44:P44,"N/A")=5,OR($Q44="On File",$Q44="N/A"),OR($S44="",$T44="Yes",$T44="N/A")),"Yes","No"))</f>
        <v/>
      </c>
    </row>
    <row r="45">
      <c r="B45" s="16" t="inlineStr">
        <is>
          <t>M</t>
        </is>
      </c>
      <c r="C45" s="41"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3" t="inlineStr">
        <is>
          <t>Practical role-play scenarios required for LOs 39.14/39.16/39.18/39.22</t>
        </is>
      </c>
      <c r="T45" s="16" t="n"/>
      <c r="U45" s="17">
        <f>IF($D45="","",IF(AND(COUNTIF(L45:P45,"On File")+COUNTIF(L45:P45,"N/A")=5,OR($Q45="On File",$Q45="N/A"),OR($S45="",$T45="Yes",$T45="N/A")),"Yes","No"))</f>
        <v/>
      </c>
    </row>
    <row r="46">
      <c r="B46" s="16" t="inlineStr">
        <is>
          <t>N</t>
        </is>
      </c>
      <c r="C46" s="41"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3" t="inlineStr">
        <is>
          <t>Full nationally accredited CPR/AED course (AHA Heartsaver or ARC) incl. Adult/Child/Infant</t>
        </is>
      </c>
      <c r="T46" s="16" t="n"/>
      <c r="U46" s="17">
        <f>IF($D46="","",IF(AND(COUNTIF(L46:P46,"On File")+COUNTIF(L46:P46,"N/A")=5,OR($Q46="On File",$Q46="N/A"),OR($S46="",$T46="Yes",$T46="N/A")),"Yes","No"))</f>
        <v/>
      </c>
    </row>
    <row r="47">
      <c r="B47" s="16" t="inlineStr">
        <is>
          <t>O</t>
        </is>
      </c>
      <c r="C47" s="41"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3" t="inlineStr">
        <is>
          <t>48-hr minimum; 70% minimum on BOTH courses of fire</t>
        </is>
      </c>
      <c r="T47" s="16" t="n"/>
      <c r="U47" s="17">
        <f>IF($D47="","",IF(AND(COUNTIF(L47:P47,"On File")+COUNTIF(L47:P47,"N/A")=5,OR($Q47="On File",$Q47="N/A"),OR($S47="",$T47="Yes",$T47="N/A")),"Yes","No"))</f>
        <v/>
      </c>
    </row>
    <row r="48">
      <c r="B48" s="16" t="inlineStr">
        <is>
          <t>P</t>
        </is>
      </c>
      <c r="C48" s="41"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3" t="n"/>
      <c r="T48" s="16" t="n"/>
      <c r="U48" s="17">
        <f>IF($D48="","",IF(AND(COUNTIF(L48:P48,"On File")+COUNTIF(L48:P48,"N/A")=5,OR($Q48="On File",$Q48="N/A"),OR($S48="",$T48="Yes",$T48="N/A")),"Yes","No"))</f>
        <v/>
      </c>
    </row>
    <row r="49">
      <c r="B49" s="16" t="inlineStr">
        <is>
          <t>Q</t>
        </is>
      </c>
      <c r="C49" s="41"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3" t="inlineStr">
        <is>
          <t>ALERRT Level 1 (16 hrs, SB 1852) by certified ALERRT instructors (TtT 3315 + current cert)</t>
        </is>
      </c>
      <c r="T49" s="16" t="n"/>
      <c r="U49" s="17">
        <f>IF($D49="","",IF(AND(COUNTIF(L49:P49,"On File")+COUNTIF(L49:P49,"N/A")=5,OR($Q49="On File",$Q49="N/A"),OR($S49="",$T49="Yes",$T49="N/A")),"Yes","No"))</f>
        <v/>
      </c>
    </row>
    <row r="50">
      <c r="B50" s="16" t="inlineStr">
        <is>
          <t>R</t>
        </is>
      </c>
      <c r="C50" s="41" t="inlineStr">
        <is>
          <t>EOC</t>
        </is>
      </c>
      <c r="D50" s="16" t="inlineStr">
        <is>
          <t>End of Course Review</t>
        </is>
      </c>
      <c r="E50" s="16" t="n">
        <v>2</v>
      </c>
      <c r="F50" s="16" t="n">
        <v>2</v>
      </c>
      <c r="G50" s="17">
        <f>IF($D50="","",ROUND(SUMIFS(nrSCH_Hrs,nrSCH_ChNum,$C50,nrSCH_TimeCheck,"OK"),2))</f>
        <v/>
      </c>
      <c r="H50" s="17">
        <f>IF($D50="","",IF($G50=0,"",$G50-$E50))</f>
        <v/>
      </c>
      <c r="I50" s="19">
        <f>IF($D50="","",IFERROR(IF(_xlfn.MINIFS(nrSCH_Date,nrSCH_ChNum,$C50)=0,"",_xlfn.MINIFS(nrSCH_Date,nrSCH_ChNum,$C50)),""))</f>
        <v/>
      </c>
      <c r="J50" s="19">
        <f>IF($D50="","",IFERROR(IF(_xlfn.MAXIFS(nrSCH_Date,nrSCH_ChNum,$C50)=0,"",_xlfn.MAXIFS(nrSCH_Date,nrSCH_ChNum,$C50)),""))</f>
        <v/>
      </c>
      <c r="K50" s="16" t="n"/>
      <c r="L50" s="16" t="n"/>
      <c r="M50" s="16" t="n"/>
      <c r="N50" s="16" t="n"/>
      <c r="O50" s="16" t="n"/>
      <c r="P50" s="16" t="n"/>
      <c r="Q50" s="16" t="n"/>
      <c r="R50" s="16" t="n"/>
      <c r="S50" s="23" t="n"/>
      <c r="T50" s="16" t="n"/>
      <c r="U50" s="17">
        <f>IF($D50="","",IF(AND(COUNTIF(L50:P50,"On File")+COUNTIF(L50:P50,"N/A")=5,OR($Q50="On File",$Q50="N/A"),OR($S50="",$T50="Yes",$T50="N/A")),"Yes","No"))</f>
        <v/>
      </c>
    </row>
    <row r="51"/>
    <row r="52">
      <c r="D52" s="3" t="inlineStr">
        <is>
          <t>Totals:</t>
        </is>
      </c>
      <c r="E52" s="20">
        <f>SUM(E6:E50)</f>
        <v/>
      </c>
      <c r="F52" s="20">
        <f>SUM(F6:F50)</f>
        <v/>
      </c>
      <c r="G52" s="20">
        <f>SUM(G6:G50)</f>
        <v/>
      </c>
    </row>
    <row r="53">
      <c r="D53" s="3" t="inlineStr">
        <is>
          <t>Required TCOLE hours (exact):</t>
        </is>
      </c>
      <c r="E53" s="20" t="n">
        <v>736</v>
      </c>
      <c r="F53" s="2" t="inlineStr">
        <is>
          <t>Report the BPOC at exactly 736; excess goes to Addendum course #101</t>
        </is>
      </c>
    </row>
    <row r="54" ht="44" customHeight="1">
      <c r="D54" s="15">
        <f>IF((N(cfgRequiredHours)-SUM(E6:E50))=0,"Per-chapter TCOLE minimums total exactly "&amp;TEXT(SUM(E6:E50),"0.##")&amp;" hrs - the full reported course length.","NOTE: the per-chapter TCOLE minimums above total "&amp;TEXT(SUM(E6:E50),"0.##")&amp;" hrs, not the "&amp;N(cfgRequiredHours)&amp;" hrs the BPOC is reported at. The "&amp;TEXT((N(cfgRequiredHours)-SUM(E6:E50)),"0.##")&amp;"-hr difference means a line on the TCOLE hours table is missing from or miskeyed in this column. Check it against the IRG hours table (Instructor Resource Guide, ""0. Abstract"", final pages) - note that Module R, End of Course Review (2 hrs), is listed there WITHOUT a chapter number and is easy to drop. This is a gap in the MINIMUMS column only - it does not change delivered hours or the exactly-"&amp;N(cfgRequiredHours)&amp;"-hour report, but resolve it before submission.")</f>
        <v/>
      </c>
    </row>
    <row r="55" ht="16" customHeight="1">
      <c r="B55" s="7" t="inlineStr">
        <is>
          <t>TPD sub-classes — schedule by THESE names; hours roll up to the parent TCOLE chapter</t>
        </is>
      </c>
      <c r="C55" s="8" t="n"/>
      <c r="D55" s="8" t="n"/>
      <c r="E55" s="8" t="n"/>
      <c r="F55" s="8" t="n"/>
      <c r="G55" s="8" t="n"/>
      <c r="H55" s="8" t="n"/>
      <c r="I55" s="8" t="n"/>
    </row>
    <row r="56" ht="26" customHeight="1">
      <c r="B56" s="12" t="inlineStr">
        <is>
          <t>Sub-class</t>
        </is>
      </c>
      <c r="C56" s="25" t="n"/>
      <c r="D56" s="22" t="n"/>
      <c r="E56" s="12" t="inlineStr">
        <is>
          <t>Parent Ch #</t>
        </is>
      </c>
      <c r="F56" s="12" t="inlineStr">
        <is>
          <t>TPD Target Hrs</t>
        </is>
      </c>
      <c r="G56" s="12" t="inlineStr">
        <is>
          <t>Delivered Hrs</t>
        </is>
      </c>
      <c r="H56" s="12" t="inlineStr">
        <is>
          <t>vs Target</t>
        </is>
      </c>
    </row>
    <row r="57">
      <c r="B57" s="16" t="inlineStr">
        <is>
          <t>Traffic Code</t>
        </is>
      </c>
      <c r="E57" s="41" t="inlineStr">
        <is>
          <t>22</t>
        </is>
      </c>
      <c r="F57" s="16" t="n">
        <v>50</v>
      </c>
      <c r="G57" s="17">
        <f>IF($B57="","",ROUND(SUMIFS(nrSCH_Hrs,nrSCH_Act,$B57,nrSCH_TimeCheck,"OK"),2))</f>
        <v/>
      </c>
      <c r="H57" s="27">
        <f>IF(OR($B57="",$G57=0),"",ROUND($G57-$F57,2))</f>
        <v/>
      </c>
    </row>
    <row r="58">
      <c r="B58" s="16" t="inlineStr">
        <is>
          <t>Crash Investigation</t>
        </is>
      </c>
      <c r="E58" s="41" t="inlineStr">
        <is>
          <t>22</t>
        </is>
      </c>
      <c r="F58" s="16" t="n">
        <v>12</v>
      </c>
      <c r="G58" s="17">
        <f>IF($B58="","",ROUND(SUMIFS(nrSCH_Hrs,nrSCH_Act,$B58,nrSCH_TimeCheck,"OK"),2))</f>
        <v/>
      </c>
      <c r="H58" s="27">
        <f>IF(OR($B58="",$G58=0),"",ROUND($G58-$F58,2))</f>
        <v/>
      </c>
    </row>
    <row r="59">
      <c r="B59" s="16" t="inlineStr">
        <is>
          <t>TIM</t>
        </is>
      </c>
      <c r="E59" s="41" t="inlineStr">
        <is>
          <t>22</t>
        </is>
      </c>
      <c r="F59" s="16" t="n">
        <v>12</v>
      </c>
      <c r="G59" s="17">
        <f>IF($B59="","",ROUND(SUMIFS(nrSCH_Hrs,nrSCH_Act,$B59,nrSCH_TimeCheck,"OK"),2))</f>
        <v/>
      </c>
      <c r="H59" s="27">
        <f>IF(OR($B59="",$G59=0),"",ROUND($G59-$F59,2))</f>
        <v/>
      </c>
    </row>
    <row r="60">
      <c r="B60" s="16" t="inlineStr">
        <is>
          <t>Criminal Investigations - General Investigations</t>
        </is>
      </c>
      <c r="E60" s="41" t="inlineStr">
        <is>
          <t>32</t>
        </is>
      </c>
      <c r="F60" s="16" t="n">
        <v>16</v>
      </c>
      <c r="G60" s="17">
        <f>IF($B60="","",ROUND(SUMIFS(nrSCH_Hrs,nrSCH_Act,$B60,nrSCH_TimeCheck,"OK"),2))</f>
        <v/>
      </c>
      <c r="H60" s="27">
        <f>IF(OR($B60="",$G60=0),"",ROUND($G60-$F60,2))</f>
        <v/>
      </c>
    </row>
    <row r="61">
      <c r="B61" s="16" t="inlineStr">
        <is>
          <t>Criminal Investigations - Auto Theft</t>
        </is>
      </c>
      <c r="E61" s="41" t="inlineStr">
        <is>
          <t>32</t>
        </is>
      </c>
      <c r="F61" s="16" t="n">
        <v>4</v>
      </c>
      <c r="G61" s="17">
        <f>IF($B61="","",ROUND(SUMIFS(nrSCH_Hrs,nrSCH_Act,$B61,nrSCH_TimeCheck,"OK"),2))</f>
        <v/>
      </c>
      <c r="H61" s="27">
        <f>IF(OR($B61="",$G61=0),"",ROUND($G61-$F61,2))</f>
        <v/>
      </c>
    </row>
    <row r="62">
      <c r="B62" s="16" t="inlineStr">
        <is>
          <t>Criminal Investigations - Crime Scene</t>
        </is>
      </c>
      <c r="E62" s="41" t="inlineStr">
        <is>
          <t>32</t>
        </is>
      </c>
      <c r="F62" s="16" t="n">
        <v>8</v>
      </c>
      <c r="G62" s="17">
        <f>IF($B62="","",ROUND(SUMIFS(nrSCH_Hrs,nrSCH_Act,$B62,nrSCH_TimeCheck,"OK"),2))</f>
        <v/>
      </c>
      <c r="H62" s="27">
        <f>IF(OR($B62="",$G62=0),"",ROUND($G62-$F62,2))</f>
        <v/>
      </c>
    </row>
    <row r="63">
      <c r="B63" s="16" t="inlineStr">
        <is>
          <t>Criminal Investigations - Booking Operations</t>
        </is>
      </c>
      <c r="E63" s="41" t="inlineStr">
        <is>
          <t>32</t>
        </is>
      </c>
      <c r="F63" s="16" t="n">
        <v>8</v>
      </c>
      <c r="G63" s="17">
        <f>IF($B63="","",ROUND(SUMIFS(nrSCH_Hrs,nrSCH_Act,$B63,nrSCH_TimeCheck,"OK"),2))</f>
        <v/>
      </c>
      <c r="H63" s="27">
        <f>IF(OR($B63="",$G63=0),"",ROUND($G63-$F63,2))</f>
        <v/>
      </c>
    </row>
    <row r="64">
      <c r="B64" s="16" t="inlineStr">
        <is>
          <t>Criminal Investigations - Interview Techniques</t>
        </is>
      </c>
      <c r="E64" s="41" t="inlineStr">
        <is>
          <t>32</t>
        </is>
      </c>
      <c r="F64" s="16" t="n">
        <v>4</v>
      </c>
      <c r="G64" s="17">
        <f>IF($B64="","",ROUND(SUMIFS(nrSCH_Hrs,nrSCH_Act,$B64,nrSCH_TimeCheck,"OK"),2))</f>
        <v/>
      </c>
      <c r="H64" s="27">
        <f>IF(OR($B64="",$G64=0),"",ROUND($G64-$F64,2))</f>
        <v/>
      </c>
    </row>
    <row r="65">
      <c r="B65" s="16" t="inlineStr">
        <is>
          <t>Criminal Investigations - Case Management</t>
        </is>
      </c>
      <c r="E65" s="41" t="inlineStr">
        <is>
          <t>32</t>
        </is>
      </c>
      <c r="F65" s="16" t="n">
        <v>4</v>
      </c>
      <c r="G65" s="17">
        <f>IF($B65="","",ROUND(SUMIFS(nrSCH_Hrs,nrSCH_Act,$B65,nrSCH_TimeCheck,"OK"),2))</f>
        <v/>
      </c>
      <c r="H65" s="27">
        <f>IF(OR($B65="",$G65=0),"",ROUND($G65-$F65,2))</f>
        <v/>
      </c>
    </row>
    <row r="66">
      <c r="B66" s="16" t="inlineStr">
        <is>
          <t>Criminal Investigations - Media Relations</t>
        </is>
      </c>
      <c r="E66" s="41" t="inlineStr">
        <is>
          <t>32</t>
        </is>
      </c>
      <c r="F66" s="16" t="n">
        <v>4</v>
      </c>
      <c r="G66" s="17">
        <f>IF($B66="","",ROUND(SUMIFS(nrSCH_Hrs,nrSCH_Act,$B66,nrSCH_TimeCheck,"OK"),2))</f>
        <v/>
      </c>
      <c r="H66" s="27">
        <f>IF(OR($B66="",$G66=0),"",ROUND($G66-$F66,2))</f>
        <v/>
      </c>
    </row>
    <row r="67">
      <c r="B67" s="16" t="n"/>
      <c r="E67" s="41" t="n"/>
      <c r="F67" s="16" t="n"/>
      <c r="G67" s="20">
        <f>IF($B67="","",ROUND(SUMIFS(nrSCH_Hrs,nrSCH_Act,$B67,nrSCH_TimeCheck,"OK"),2))</f>
        <v/>
      </c>
      <c r="H67" s="20">
        <f>IF(OR($B67="",$G67=0),"",ROUND($G67-$F67,2))</f>
        <v/>
      </c>
    </row>
    <row r="68">
      <c r="B68" s="16" t="n"/>
      <c r="E68" s="41" t="n"/>
      <c r="F68" s="16" t="n"/>
      <c r="G68" s="20">
        <f>IF($B68="","",ROUND(SUMIFS(nrSCH_Hrs,nrSCH_Act,$B68,nrSCH_TimeCheck,"OK"),2))</f>
        <v/>
      </c>
      <c r="H68" s="20">
        <f>IF(OR($B68="",$G68=0),"",ROUND($G68-$F68,2))</f>
        <v/>
      </c>
    </row>
    <row r="69">
      <c r="B69" s="16" t="n"/>
      <c r="E69" s="41" t="n"/>
      <c r="F69" s="16" t="n"/>
      <c r="G69" s="20">
        <f>IF($B69="","",ROUND(SUMIFS(nrSCH_Hrs,nrSCH_Act,$B69,nrSCH_TimeCheck,"OK"),2))</f>
        <v/>
      </c>
      <c r="H69" s="20">
        <f>IF(OR($B69="",$G69=0),"",ROUND($G69-$F69,2))</f>
        <v/>
      </c>
    </row>
    <row r="70">
      <c r="B70" s="16" t="n"/>
      <c r="E70" s="41" t="n"/>
      <c r="F70" s="16" t="n"/>
      <c r="G70" s="20">
        <f>IF($B70="","",ROUND(SUMIFS(nrSCH_Hrs,nrSCH_Act,$B70,nrSCH_TimeCheck,"OK"),2))</f>
        <v/>
      </c>
      <c r="H70" s="20">
        <f>IF(OR($B70="",$G70=0),"",ROUND($G70-$F70,2))</f>
        <v/>
      </c>
    </row>
    <row r="71">
      <c r="B71" s="16" t="n"/>
      <c r="E71" s="41" t="n"/>
      <c r="F71" s="16" t="n"/>
      <c r="G71" s="20">
        <f>IF($B71="","",ROUND(SUMIFS(nrSCH_Hrs,nrSCH_Act,$B71,nrSCH_TimeCheck,"OK"),2))</f>
        <v/>
      </c>
      <c r="H71" s="20">
        <f>IF(OR($B71="",$G71=0),"",ROUND($G71-$F71,2))</f>
        <v/>
      </c>
    </row>
  </sheetData>
  <mergeCells count="18">
    <mergeCell ref="B59:D59"/>
    <mergeCell ref="B60:D60"/>
    <mergeCell ref="B66:D66"/>
    <mergeCell ref="B67:D67"/>
    <mergeCell ref="B63:D63"/>
    <mergeCell ref="B55:I55"/>
    <mergeCell ref="B61:D61"/>
    <mergeCell ref="B57:D57"/>
    <mergeCell ref="B71:D71"/>
    <mergeCell ref="B58:D58"/>
    <mergeCell ref="B56:D56"/>
    <mergeCell ref="B70:D70"/>
    <mergeCell ref="B65:D65"/>
    <mergeCell ref="B62:D62"/>
    <mergeCell ref="D54:K54"/>
    <mergeCell ref="B68:D68"/>
    <mergeCell ref="B69:D69"/>
    <mergeCell ref="B64:D64"/>
  </mergeCells>
  <conditionalFormatting sqref="H6:H50">
    <cfRule type="expression" priority="1" dxfId="0">
      <formula>AND($H6&lt;&gt;"",$H6&lt;0)</formula>
    </cfRule>
  </conditionalFormatting>
  <conditionalFormatting sqref="U6:U50">
    <cfRule type="cellIs" priority="2" operator="equal" dxfId="3">
      <formula>"Yes"</formula>
    </cfRule>
    <cfRule type="cellIs" priority="3" operator="equal" dxfId="0">
      <formula>"No"</formula>
    </cfRule>
  </conditionalFormatting>
  <conditionalFormatting sqref="H57:H71">
    <cfRule type="expression" priority="4" dxfId="0">
      <formula>AND($H57&lt;&gt;"",$H57&lt;0)</formula>
    </cfRule>
  </conditionalFormatting>
  <dataValidations count="4">
    <dataValidation sqref="K6:K50" showDropDown="0" showInputMessage="0" showErrorMessage="1" allowBlank="1" type="list">
      <formula1>=nrInstrNames</formula1>
    </dataValidation>
    <dataValidation sqref="L6:L50 M6:M50 N6:N50 O6:O50 P6:P50 Q6:Q50 R6:R50" showDropDown="0" showInputMessage="0" showErrorMessage="1" allowBlank="1" type="list">
      <formula1>=lstMaterialsStatus</formula1>
    </dataValidation>
    <dataValidation sqref="T6:T50" showDropDown="0" showInputMessage="0" showErrorMessage="1" allowBlank="1" type="list">
      <formula1>"Yes,No,N/A"</formula1>
    </dataValidation>
    <dataValidation sqref="E57:E71" showDropDown="0" showInputMessage="0" showErrorMessage="1" allowBlank="1" type="list">
      <formula1>=nrCHnum</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41"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41"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41"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41"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41"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41"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41"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41"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41"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41"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41"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41"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41"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41"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41"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41"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41"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41"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41"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41"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41"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41"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41"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41"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41"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41"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3" t="inlineStr">
        <is>
          <t>Discuss the ways the Code of Ethics affects the items posted on or to an Officer's social media sites.</t>
        </is>
      </c>
    </row>
    <row r="7" ht="42" customHeight="1">
      <c r="B7" s="16" t="n">
        <v>2</v>
      </c>
      <c r="C7" s="16" t="inlineStr">
        <is>
          <t>Professional Policing</t>
        </is>
      </c>
      <c r="D7" s="41"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3"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t>
        </is>
      </c>
      <c r="D8" s="41"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3" t="inlineStr">
        <is>
          <t>Discuss how TCOLE's role in policing supports the information discussed in Professional Policing.</t>
        </is>
      </c>
    </row>
    <row r="9" ht="42" customHeight="1">
      <c r="B9" s="16" t="n">
        <v>4</v>
      </c>
      <c r="C9" s="16" t="inlineStr">
        <is>
          <t>Multiculturalism / Racial Profiling</t>
        </is>
      </c>
      <c r="D9" s="41"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3"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41"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3" t="inlineStr">
        <is>
          <t>Identify all the courts within your jurisdiction, the Judges and the types of cases heard in the court. (local to highest court)</t>
        </is>
      </c>
    </row>
    <row r="11" ht="42" customHeight="1">
      <c r="B11" s="16" t="n">
        <v>6</v>
      </c>
      <c r="C11" s="16" t="inlineStr">
        <is>
          <t>Penal Code</t>
        </is>
      </c>
      <c r="D11" s="41"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3"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41"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3"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41"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3"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41"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3"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41"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3"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41"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3"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41"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3"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41"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3"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41"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3"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41"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3" t="inlineStr">
        <is>
          <t>Interview drivers/witnesses in a vehicle collision. Write a narrative about the collision.</t>
        </is>
      </c>
    </row>
    <row r="21" ht="42" customHeight="1">
      <c r="B21" s="16" t="n">
        <v>16</v>
      </c>
      <c r="C21" s="16" t="inlineStr">
        <is>
          <t>Traffic / Crash — B</t>
        </is>
      </c>
      <c r="D21" s="41"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3" t="inlineStr">
        <is>
          <t>Pick a traffic violation that you have observed. Write a detailed narrative about the violation.</t>
        </is>
      </c>
    </row>
    <row r="22" ht="42" customHeight="1">
      <c r="B22" s="16" t="n">
        <v>17</v>
      </c>
      <c r="C22" s="16" t="inlineStr">
        <is>
          <t>Traffic / Crash — C</t>
        </is>
      </c>
      <c r="D22" s="41"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3" t="inlineStr">
        <is>
          <t>Prepare an arrest warrant affidavit (probable cause narrative) for a subject that you were unable to capture in a pursuit.</t>
        </is>
      </c>
    </row>
    <row r="23" ht="42" customHeight="1">
      <c r="B23" s="16" t="n">
        <v>18</v>
      </c>
      <c r="C23" s="16" t="inlineStr">
        <is>
          <t>Traffic / Crash — D</t>
        </is>
      </c>
      <c r="D23" s="41"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3" t="inlineStr">
        <is>
          <t>Prepare a search warrant affidavit (probable cause narrative) for a vehicle involved in a failure to stop and render aid collision.</t>
        </is>
      </c>
    </row>
    <row r="24" ht="42" customHeight="1">
      <c r="B24" s="16" t="n">
        <v>19</v>
      </c>
      <c r="C24" s="16" t="inlineStr">
        <is>
          <t>SFST</t>
        </is>
      </c>
      <c r="D24" s="41"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3"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41"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3" t="inlineStr">
        <is>
          <t>Submit an offense report narrative from the "Night Watch" painting.</t>
        </is>
      </c>
    </row>
    <row r="26" ht="42" customHeight="1">
      <c r="B26" s="16" t="n">
        <v>21</v>
      </c>
      <c r="C26" s="16" t="inlineStr">
        <is>
          <t>Written Communication — B</t>
        </is>
      </c>
      <c r="D26" s="41"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3" t="inlineStr">
        <is>
          <t>Prepare a full narrative on how to make a peanut butter and jelly sandwich.</t>
        </is>
      </c>
    </row>
    <row r="27" ht="42" customHeight="1">
      <c r="B27" s="16" t="n">
        <v>22</v>
      </c>
      <c r="C27" s="16" t="inlineStr">
        <is>
          <t>Written Communication — C</t>
        </is>
      </c>
      <c r="D27" s="41"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3" t="inlineStr">
        <is>
          <t>Interview witnesses of a shooting (Clint Eastwood). Write a detailed narrative for a case report on the shooting.</t>
        </is>
      </c>
    </row>
    <row r="28" ht="42" customHeight="1">
      <c r="B28" s="16" t="n">
        <v>23</v>
      </c>
      <c r="C28" s="16" t="inlineStr">
        <is>
          <t>Spanish</t>
        </is>
      </c>
      <c r="D28" s="41"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3" t="inlineStr">
        <is>
          <t>Complete a casual contact of a Spanish speaking individual. Document the contact on a Field Information form.</t>
        </is>
      </c>
    </row>
    <row r="29" ht="42" customHeight="1">
      <c r="B29" s="16" t="n">
        <v>24</v>
      </c>
      <c r="C29" s="16" t="inlineStr">
        <is>
          <t>De-escalation</t>
        </is>
      </c>
      <c r="D29" s="41"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3"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41"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3" t="inlineStr">
        <is>
          <t>Watch video. Submit a use of force / subject resistance report.</t>
        </is>
      </c>
    </row>
    <row r="31" ht="42" customHeight="1">
      <c r="B31" s="16" t="n">
        <v>26</v>
      </c>
      <c r="C31" s="16" t="inlineStr">
        <is>
          <t>Use of Force — B</t>
        </is>
      </c>
      <c r="D31" s="41"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3"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41"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3" t="inlineStr">
        <is>
          <t>Complete a Peace Officer Emergency Detention form.</t>
        </is>
      </c>
    </row>
    <row r="33" ht="42" customHeight="1">
      <c r="B33" s="16" t="n">
        <v>28</v>
      </c>
      <c r="C33" s="16" t="inlineStr">
        <is>
          <t>Arrest and Control — A</t>
        </is>
      </c>
      <c r="D33" s="41"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3"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t>
        </is>
      </c>
      <c r="D34" s="41"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3" t="inlineStr">
        <is>
          <t>Complete the following FEMA online courses and submit your completion certificates: ICS 100 (https://training.fema.gov/is/courseoverview.aspx?code=IS-100.c), ICS 200 (https://training.fema.gov/is/courseoverview.aspx?code=IS-200.c), ICS 700 (https://training.fema.gov/is/courseoverview.aspx?code=IS-700.b)</t>
        </is>
      </c>
    </row>
    <row r="35" ht="42" customHeight="1">
      <c r="B35" s="16" t="n">
        <v>30</v>
      </c>
      <c r="C35" s="16" t="inlineStr">
        <is>
          <t>Booking Procedures</t>
        </is>
      </c>
      <c r="D35" s="41"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3" t="inlineStr">
        <is>
          <t>Complete a booking form.</t>
        </is>
      </c>
    </row>
    <row r="36" ht="42" customHeight="1">
      <c r="B36" s="16" t="n">
        <v>31</v>
      </c>
      <c r="C36" s="16" t="inlineStr">
        <is>
          <t>Interview</t>
        </is>
      </c>
      <c r="D36" s="41"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3"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41"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3"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41"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3" t="inlineStr">
        <is>
          <t>Complete a crime scene sketch/inventory.</t>
        </is>
      </c>
    </row>
    <row r="39" ht="42" customHeight="1">
      <c r="B39" s="16" t="n">
        <v>34</v>
      </c>
      <c r="C39" s="16" t="inlineStr">
        <is>
          <t>Professional Police Driving — A</t>
        </is>
      </c>
      <c r="D39" s="41"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3"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41"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3"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41"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3"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41"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3" t="inlineStr">
        <is>
          <t>Complete a residential/business security survey.</t>
        </is>
      </c>
    </row>
    <row r="43" ht="42" customHeight="1">
      <c r="B43" s="16" t="n">
        <v>38</v>
      </c>
      <c r="C43" s="16" t="inlineStr">
        <is>
          <t>Radio Communications</t>
        </is>
      </c>
      <c r="D43" s="41"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3" t="inlineStr">
        <is>
          <t>Complete an Amber Alert request form or a Silver Alert request form.</t>
        </is>
      </c>
    </row>
    <row r="44" ht="42" customHeight="1">
      <c r="B44" s="16" t="n">
        <v>39</v>
      </c>
      <c r="C44" s="16" t="inlineStr">
        <is>
          <t>Emergency Medical Assistance</t>
        </is>
      </c>
      <c r="D44" s="41"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3" t="inlineStr">
        <is>
          <t>Complete an emergency action plan that could be employed during the firearms training.</t>
        </is>
      </c>
    </row>
    <row r="45" ht="42" customHeight="1">
      <c r="B45" s="16" t="n">
        <v>40</v>
      </c>
      <c r="C45" s="16" t="inlineStr">
        <is>
          <t>Firearms</t>
        </is>
      </c>
      <c r="D45" s="41"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3"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sheetPr>
  <dimension ref="A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6">
        <f>IFERROR(N(C6)+0,DATE(1900,1,1))</f>
        <v/>
      </c>
      <c r="P6" s="42">
        <f>YEAR(cfgStartDate)</f>
        <v/>
      </c>
      <c r="Q6" s="42">
        <f>MOD($P6,19)</f>
        <v/>
      </c>
      <c r="R6" s="42">
        <f>INT($P6/100)</f>
        <v/>
      </c>
      <c r="S6" s="42">
        <f>MOD($P6,100)</f>
        <v/>
      </c>
      <c r="T6" s="42">
        <f>INT($R6/4)</f>
        <v/>
      </c>
      <c r="U6" s="42">
        <f>MOD($R6,4)</f>
        <v/>
      </c>
      <c r="V6" s="42">
        <f>INT(($R6+8)/25)</f>
        <v/>
      </c>
      <c r="W6" s="42">
        <f>INT(($R6-$V6+1)/3)</f>
        <v/>
      </c>
      <c r="X6" s="42">
        <f>MOD(19*$Q6+$R6-$T6-$W6+15,30)</f>
        <v/>
      </c>
      <c r="Y6" s="42">
        <f>INT($S6/4)</f>
        <v/>
      </c>
      <c r="Z6" s="42">
        <f>MOD($S6,4)</f>
        <v/>
      </c>
      <c r="AA6" s="42">
        <f>MOD(32+2*$U6+2*$Y6-$X6-$Z6,7)</f>
        <v/>
      </c>
      <c r="AB6" s="42">
        <f>INT(($Q6+11*$X6+22*$AA6)/451)</f>
        <v/>
      </c>
      <c r="AC6" s="42">
        <f>INT(($X6+$AA6-7*$AB6+114)/31)</f>
        <v/>
      </c>
      <c r="AD6" s="42">
        <f>MOD($X6+$AA6-7*$AB6+114,31)+1</f>
        <v/>
      </c>
      <c r="AE6" s="43">
        <f>DATE($P6,$AC6,$AD6)</f>
        <v/>
      </c>
      <c r="AF6" s="43">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6">
        <f>IFERROR(N(C7)+0,DATE(1900,1,1))</f>
        <v/>
      </c>
      <c r="P7" s="42">
        <f>YEAR(cfgStartDate)+1</f>
        <v/>
      </c>
      <c r="Q7" s="42">
        <f>MOD($P7,19)</f>
        <v/>
      </c>
      <c r="R7" s="42">
        <f>INT($P7/100)</f>
        <v/>
      </c>
      <c r="S7" s="42">
        <f>MOD($P7,100)</f>
        <v/>
      </c>
      <c r="T7" s="42">
        <f>INT($R7/4)</f>
        <v/>
      </c>
      <c r="U7" s="42">
        <f>MOD($R7,4)</f>
        <v/>
      </c>
      <c r="V7" s="42">
        <f>INT(($R7+8)/25)</f>
        <v/>
      </c>
      <c r="W7" s="42">
        <f>INT(($R7-$V7+1)/3)</f>
        <v/>
      </c>
      <c r="X7" s="42">
        <f>MOD(19*$Q7+$R7-$T7-$W7+15,30)</f>
        <v/>
      </c>
      <c r="Y7" s="42">
        <f>INT($S7/4)</f>
        <v/>
      </c>
      <c r="Z7" s="42">
        <f>MOD($S7,4)</f>
        <v/>
      </c>
      <c r="AA7" s="42">
        <f>MOD(32+2*$U7+2*$Y7-$X7-$Z7,7)</f>
        <v/>
      </c>
      <c r="AB7" s="42">
        <f>INT(($Q7+11*$X7+22*$AA7)/451)</f>
        <v/>
      </c>
      <c r="AC7" s="42">
        <f>INT(($X7+$AA7-7*$AB7+114)/31)</f>
        <v/>
      </c>
      <c r="AD7" s="42">
        <f>MOD($X7+$AA7-7*$AB7+114,31)+1</f>
        <v/>
      </c>
      <c r="AE7" s="43">
        <f>DATE($P7,$AC7,$AD7)</f>
        <v/>
      </c>
      <c r="AF7" s="43">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6">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6">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6">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6">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6">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6">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6">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6">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6">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6">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6">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6">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6">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6">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6">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6">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6">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6">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6">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6">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6">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6">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6">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6">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6">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6">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6">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6">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6">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6">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6">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6">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6">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6">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6">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1.xml><?xml version="1.0" encoding="utf-8"?>
<worksheet xmlns="http://schemas.openxmlformats.org/spreadsheetml/2006/main">
  <sheetPr>
    <tabColor rgb="00C8A24B"/>
    <outlinePr summaryBelow="1" summaryRight="1"/>
    <pageSetUpPr fitToPage="1"/>
  </sheetPr>
  <dimension ref="A1:P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academy length.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4" t="n"/>
      <c r="E6" s="44"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4" t="n"/>
      <c r="E7" s="44"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4" t="n"/>
      <c r="E8" s="44"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4" t="n"/>
      <c r="E9" s="44"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4" t="n"/>
      <c r="E10" s="44"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4" t="n"/>
      <c r="E11" s="44"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4" t="n"/>
      <c r="E12" s="44"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4" t="n"/>
      <c r="E13" s="44"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4" t="n"/>
      <c r="E14" s="44"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4" t="n"/>
      <c r="E15" s="44"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4" t="n"/>
      <c r="E16" s="44"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4" t="n"/>
      <c r="E17" s="44"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4" t="n"/>
      <c r="E18" s="44"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4" t="n"/>
      <c r="E19" s="44"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4" t="n"/>
      <c r="E20" s="44"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4" t="n"/>
      <c r="E21" s="44"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4" t="n"/>
      <c r="E22" s="44"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4" t="n"/>
      <c r="E23" s="44"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4" t="n"/>
      <c r="E24" s="44"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4" t="n"/>
      <c r="E25" s="44"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4" t="n"/>
      <c r="E26" s="44"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4" t="n"/>
      <c r="E27" s="44"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4" t="n"/>
      <c r="E28" s="44"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4" t="n"/>
      <c r="E29" s="44"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4" t="n"/>
      <c r="E30" s="44"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4" t="n"/>
      <c r="E31" s="44"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4" t="n"/>
      <c r="E32" s="44"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4" t="n"/>
      <c r="E33" s="44"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4" t="n"/>
      <c r="E34" s="44"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4" t="n"/>
      <c r="E35" s="44"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4" t="n"/>
      <c r="E36" s="44"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4" t="n"/>
      <c r="E37" s="44"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4" t="n"/>
      <c r="E38" s="44"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4" t="n"/>
      <c r="E39" s="44"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4" t="n"/>
      <c r="E40" s="44"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4" t="n"/>
      <c r="E41" s="44"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4" t="n"/>
      <c r="E42" s="44"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4" t="n"/>
      <c r="E43" s="44"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4" t="n"/>
      <c r="E44" s="44"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4" t="n"/>
      <c r="E45" s="44"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4" t="n"/>
      <c r="E46" s="44"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4" t="n"/>
      <c r="E47" s="44"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4" t="n"/>
      <c r="E48" s="44"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4" t="n"/>
      <c r="E49" s="44"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4" t="n"/>
      <c r="E50" s="44"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4" t="n"/>
      <c r="E51" s="44"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4" t="n"/>
      <c r="E52" s="44"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4" t="n"/>
      <c r="E53" s="44"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4" t="n"/>
      <c r="E54" s="44"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4" t="n"/>
      <c r="E55" s="44"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4" t="n"/>
      <c r="E56" s="44"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4" t="n"/>
      <c r="E57" s="44"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4" t="n"/>
      <c r="E58" s="44"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4" t="n"/>
      <c r="E59" s="44"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4" t="n"/>
      <c r="E60" s="44"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4" t="n"/>
      <c r="E61" s="44"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4" t="n"/>
      <c r="E62" s="44"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4" t="n"/>
      <c r="E63" s="44"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4" t="n"/>
      <c r="E64" s="44"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4" t="n"/>
      <c r="E65" s="44"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4" t="n"/>
      <c r="E66" s="44"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4" t="n"/>
      <c r="E67" s="44"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4" t="n"/>
      <c r="E68" s="44"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4" t="n"/>
      <c r="E69" s="44"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4" t="n"/>
      <c r="E70" s="44"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4" t="n"/>
      <c r="E71" s="44"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4" t="n"/>
      <c r="E72" s="44"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4" t="n"/>
      <c r="E73" s="44"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4" t="n"/>
      <c r="E74" s="44"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4" t="n"/>
      <c r="E75" s="44"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4" t="n"/>
      <c r="E76" s="44"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4" t="n"/>
      <c r="E77" s="44"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4" t="n"/>
      <c r="E78" s="44"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4" t="n"/>
      <c r="E79" s="44"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4" t="n"/>
      <c r="E80" s="44"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4" t="n"/>
      <c r="E81" s="44"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4" t="n"/>
      <c r="E82" s="44"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4" t="n"/>
      <c r="E83" s="44"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4" t="n"/>
      <c r="E84" s="44"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4" t="n"/>
      <c r="E85" s="44"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4" t="n"/>
      <c r="E86" s="44"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4" t="n"/>
      <c r="E87" s="44"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4" t="n"/>
      <c r="E88" s="44"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4" t="n"/>
      <c r="E89" s="44"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4" t="n"/>
      <c r="E90" s="44"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4" t="n"/>
      <c r="E91" s="44"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4" t="n"/>
      <c r="E92" s="44"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4" t="n"/>
      <c r="E93" s="44"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4" t="n"/>
      <c r="E94" s="44"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4" t="n"/>
      <c r="E95" s="44"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4" t="n"/>
      <c r="E96" s="44"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4" t="n"/>
      <c r="E97" s="44"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4" t="n"/>
      <c r="E98" s="44"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4" t="n"/>
      <c r="E99" s="44"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4" t="n"/>
      <c r="E100" s="44"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4" t="n"/>
      <c r="E101" s="44"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4" t="n"/>
      <c r="E102" s="44"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4" t="n"/>
      <c r="E103" s="44"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4" t="n"/>
      <c r="E104" s="44"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4" t="n"/>
      <c r="E105" s="44"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4" t="n"/>
      <c r="E106" s="44"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4" t="n"/>
      <c r="E107" s="44"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4" t="n"/>
      <c r="E108" s="44"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4" t="n"/>
      <c r="E109" s="44"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4" t="n"/>
      <c r="E110" s="44"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4" t="n"/>
      <c r="E111" s="44"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4" t="n"/>
      <c r="E112" s="44"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4" t="n"/>
      <c r="E113" s="44"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4" t="n"/>
      <c r="E114" s="44"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4" t="n"/>
      <c r="E115" s="44"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4" t="n"/>
      <c r="E116" s="44"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4" t="n"/>
      <c r="E117" s="44"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4" t="n"/>
      <c r="E118" s="44"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4" t="n"/>
      <c r="E119" s="44"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4" t="n"/>
      <c r="E120" s="44"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4" t="n"/>
      <c r="E121" s="44"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4" t="n"/>
      <c r="E122" s="44"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4" t="n"/>
      <c r="E123" s="44"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4" t="n"/>
      <c r="E124" s="44"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4" t="n"/>
      <c r="E125" s="44"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4" t="n"/>
      <c r="E126" s="44"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4" t="n"/>
      <c r="E127" s="44"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4" t="n"/>
      <c r="E128" s="44"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4" t="n"/>
      <c r="E129" s="44"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4" t="n"/>
      <c r="E130" s="44"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4" t="n"/>
      <c r="E131" s="44"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4" t="n"/>
      <c r="E132" s="44"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4" t="n"/>
      <c r="E133" s="44"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4" t="n"/>
      <c r="E134" s="44"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4" t="n"/>
      <c r="E135" s="44"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4" t="n"/>
      <c r="E136" s="44"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4" t="n"/>
      <c r="E137" s="44"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4" t="n"/>
      <c r="E138" s="44"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4" t="n"/>
      <c r="E139" s="44"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4" t="n"/>
      <c r="E140" s="44"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4" t="n"/>
      <c r="E141" s="44"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4" t="n"/>
      <c r="E142" s="44"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4" t="n"/>
      <c r="E143" s="44"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4" t="n"/>
      <c r="E144" s="44"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4" t="n"/>
      <c r="E145" s="44"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4" t="n"/>
      <c r="E146" s="44"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4" t="n"/>
      <c r="E147" s="44"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4" t="n"/>
      <c r="E148" s="44"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4" t="n"/>
      <c r="E149" s="44"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4" t="n"/>
      <c r="E150" s="44"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4" t="n"/>
      <c r="E151" s="44"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4" t="n"/>
      <c r="E152" s="44"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4" t="n"/>
      <c r="E153" s="44"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4" t="n"/>
      <c r="E154" s="44"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4" t="n"/>
      <c r="E155" s="44"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4" t="n"/>
      <c r="E156" s="44"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4" t="n"/>
      <c r="E157" s="44"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4" t="n"/>
      <c r="E158" s="44"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4" t="n"/>
      <c r="E159" s="44"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4" t="n"/>
      <c r="E160" s="44"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4" t="n"/>
      <c r="E161" s="44"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4" t="n"/>
      <c r="E162" s="44"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4" t="n"/>
      <c r="E163" s="44"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4" t="n"/>
      <c r="E164" s="44"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4" t="n"/>
      <c r="E165" s="44"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4" t="n"/>
      <c r="E166" s="44"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4" t="n"/>
      <c r="E167" s="44"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4" t="n"/>
      <c r="E168" s="44"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4" t="n"/>
      <c r="E169" s="44"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4" t="n"/>
      <c r="E170" s="44"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4" t="n"/>
      <c r="E171" s="44"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4" t="n"/>
      <c r="E172" s="44"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4" t="n"/>
      <c r="E173" s="44"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4" t="n"/>
      <c r="E174" s="44"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4" t="n"/>
      <c r="E175" s="44"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4" t="n"/>
      <c r="E176" s="44"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4" t="n"/>
      <c r="E177" s="44"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4" t="n"/>
      <c r="E178" s="44"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4" t="n"/>
      <c r="E179" s="44"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4" t="n"/>
      <c r="E180" s="44"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4" t="n"/>
      <c r="E181" s="44"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4" t="n"/>
      <c r="E182" s="44"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4" t="n"/>
      <c r="E183" s="44"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4" t="n"/>
      <c r="E184" s="44"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4" t="n"/>
      <c r="E185" s="44"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4" t="n"/>
      <c r="E186" s="44"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4" t="n"/>
      <c r="E187" s="44"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4" t="n"/>
      <c r="E188" s="44"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4" t="n"/>
      <c r="E189" s="44"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4" t="n"/>
      <c r="E190" s="44"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4" t="n"/>
      <c r="E191" s="44"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4" t="n"/>
      <c r="E192" s="44"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4" t="n"/>
      <c r="E193" s="44"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4" t="n"/>
      <c r="E194" s="44"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4" t="n"/>
      <c r="E195" s="44"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4" t="n"/>
      <c r="E196" s="44"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4" t="n"/>
      <c r="E197" s="44"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4" t="n"/>
      <c r="E198" s="44"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4" t="n"/>
      <c r="E199" s="44"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4" t="n"/>
      <c r="E200" s="44"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4" t="n"/>
      <c r="E201" s="44"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4" t="n"/>
      <c r="E202" s="44"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4" t="n"/>
      <c r="E203" s="44"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4" t="n"/>
      <c r="E204" s="44"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4" t="n"/>
      <c r="E205" s="44"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4" t="n"/>
      <c r="E206" s="44"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4" t="n"/>
      <c r="E207" s="44"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4" t="n"/>
      <c r="E208" s="44"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4" t="n"/>
      <c r="E209" s="44"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4" t="n"/>
      <c r="E210" s="44"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4" t="n"/>
      <c r="E211" s="44"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4" t="n"/>
      <c r="E212" s="44"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4" t="n"/>
      <c r="E213" s="44"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4" t="n"/>
      <c r="E214" s="44"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4" t="n"/>
      <c r="E215" s="44"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4" t="n"/>
      <c r="E216" s="44"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4" t="n"/>
      <c r="E217" s="44"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4" t="n"/>
      <c r="E218" s="44"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4" t="n"/>
      <c r="E219" s="44"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4" t="n"/>
      <c r="E220" s="44"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4" t="n"/>
      <c r="E221" s="44"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4" t="n"/>
      <c r="E222" s="44"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4" t="n"/>
      <c r="E223" s="44"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4" t="n"/>
      <c r="E224" s="44"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4" t="n"/>
      <c r="E225" s="44"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4" t="n"/>
      <c r="E226" s="44"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4" t="n"/>
      <c r="E227" s="44"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4" t="n"/>
      <c r="E228" s="44"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4" t="n"/>
      <c r="E229" s="44"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4" t="n"/>
      <c r="E230" s="44"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4" t="n"/>
      <c r="E231" s="44"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4" t="n"/>
      <c r="E232" s="44"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4" t="n"/>
      <c r="E233" s="44"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4" t="n"/>
      <c r="E234" s="44"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4" t="n"/>
      <c r="E235" s="44"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4" t="n"/>
      <c r="E236" s="44"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4" t="n"/>
      <c r="E237" s="44"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4" t="n"/>
      <c r="E238" s="44"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4" t="n"/>
      <c r="E239" s="44"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4" t="n"/>
      <c r="E240" s="44"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4" t="n"/>
      <c r="E241" s="44"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4" t="n"/>
      <c r="E242" s="44"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4" t="n"/>
      <c r="E243" s="44"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4" t="n"/>
      <c r="E244" s="44"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4" t="n"/>
      <c r="E245" s="44"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4" t="n"/>
      <c r="E246" s="44"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4" t="n"/>
      <c r="E247" s="44"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4" t="n"/>
      <c r="E248" s="44"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4" t="n"/>
      <c r="E249" s="44"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4" t="n"/>
      <c r="E250" s="44"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4" t="n"/>
      <c r="E251" s="44"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4" t="n"/>
      <c r="E252" s="44"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4" t="n"/>
      <c r="E253" s="44"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4" t="n"/>
      <c r="E254" s="44"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4" t="n"/>
      <c r="E255" s="44"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4" t="n"/>
      <c r="E256" s="44"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4" t="n"/>
      <c r="E257" s="44"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4" t="n"/>
      <c r="E258" s="44"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4" t="n"/>
      <c r="E259" s="44"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4" t="n"/>
      <c r="E260" s="44"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4" t="n"/>
      <c r="E261" s="44"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4" t="n"/>
      <c r="E262" s="44"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4" t="n"/>
      <c r="E263" s="44"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4" t="n"/>
      <c r="E264" s="44"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4" t="n"/>
      <c r="E265" s="44"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4" t="n"/>
      <c r="E266" s="44"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4" t="n"/>
      <c r="E267" s="44"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4" t="n"/>
      <c r="E268" s="44"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4" t="n"/>
      <c r="E269" s="44"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4" t="n"/>
      <c r="E270" s="44"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4" t="n"/>
      <c r="E271" s="44"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4" t="n"/>
      <c r="E272" s="44"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4" t="n"/>
      <c r="E273" s="44"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4" t="n"/>
      <c r="E274" s="44"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4" t="n"/>
      <c r="E275" s="44"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4" t="n"/>
      <c r="E276" s="44"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4" t="n"/>
      <c r="E277" s="44"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4" t="n"/>
      <c r="E278" s="44"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4" t="n"/>
      <c r="E279" s="44"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4" t="n"/>
      <c r="E280" s="44"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4" t="n"/>
      <c r="E281" s="44"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4" t="n"/>
      <c r="E282" s="44"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4" t="n"/>
      <c r="E283" s="44"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4" t="n"/>
      <c r="E284" s="44"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4" t="n"/>
      <c r="E285" s="44"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4" t="n"/>
      <c r="E286" s="44"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4" t="n"/>
      <c r="E287" s="44"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4" t="n"/>
      <c r="E288" s="44"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4" t="n"/>
      <c r="E289" s="44"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4" t="n"/>
      <c r="E290" s="44"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4" t="n"/>
      <c r="E291" s="44"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4" t="n"/>
      <c r="E292" s="44"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4" t="n"/>
      <c r="E293" s="44"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4" t="n"/>
      <c r="E294" s="44"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4" t="n"/>
      <c r="E295" s="44"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4" t="n"/>
      <c r="E296" s="44"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4" t="n"/>
      <c r="E297" s="44"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4" t="n"/>
      <c r="E298" s="44"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4" t="n"/>
      <c r="E299" s="44"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4" t="n"/>
      <c r="E300" s="44"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4" t="n"/>
      <c r="E301" s="44"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4" t="n"/>
      <c r="E302" s="44"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4" t="n"/>
      <c r="E303" s="44"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4" t="n"/>
      <c r="E304" s="44"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4" t="n"/>
      <c r="E305" s="44"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4" t="n"/>
      <c r="E306" s="44"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4" t="n"/>
      <c r="E307" s="44"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4" t="n"/>
      <c r="E308" s="44"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4" t="n"/>
      <c r="E309" s="44"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4" t="n"/>
      <c r="E310" s="44"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4" t="n"/>
      <c r="E311" s="44"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4" t="n"/>
      <c r="E312" s="44"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4" t="n"/>
      <c r="E313" s="44"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4" t="n"/>
      <c r="E314" s="44"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4" t="n"/>
      <c r="E315" s="44"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4" t="n"/>
      <c r="E316" s="44"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4" t="n"/>
      <c r="E317" s="44"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4" t="n"/>
      <c r="E318" s="44"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4" t="n"/>
      <c r="E319" s="44"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4" t="n"/>
      <c r="E320" s="44"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4" t="n"/>
      <c r="E321" s="44"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4" t="n"/>
      <c r="E322" s="44"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4" t="n"/>
      <c r="E323" s="44"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4" t="n"/>
      <c r="E324" s="44"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4" t="n"/>
      <c r="E325" s="44"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4" t="n"/>
      <c r="E326" s="44"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4" t="n"/>
      <c r="E327" s="44"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4" t="n"/>
      <c r="E328" s="44"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4" t="n"/>
      <c r="E329" s="44"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4" t="n"/>
      <c r="E330" s="44"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4" t="n"/>
      <c r="E331" s="44"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4" t="n"/>
      <c r="E332" s="44"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4" t="n"/>
      <c r="E333" s="44"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4" t="n"/>
      <c r="E334" s="44"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4" t="n"/>
      <c r="E335" s="44"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4" t="n"/>
      <c r="E336" s="44"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4" t="n"/>
      <c r="E337" s="44"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4" t="n"/>
      <c r="E338" s="44"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4" t="n"/>
      <c r="E339" s="44"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4" t="n"/>
      <c r="E340" s="44"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4" t="n"/>
      <c r="E341" s="44"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4" t="n"/>
      <c r="E342" s="44"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4" t="n"/>
      <c r="E343" s="44"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4" t="n"/>
      <c r="E344" s="44"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4" t="n"/>
      <c r="E345" s="44"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4" t="n"/>
      <c r="E346" s="44"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4" t="n"/>
      <c r="E347" s="44"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4" t="n"/>
      <c r="E348" s="44"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4" t="n"/>
      <c r="E349" s="44"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4" t="n"/>
      <c r="E350" s="44"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4" t="n"/>
      <c r="E351" s="44"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4" t="n"/>
      <c r="E352" s="44"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4" t="n"/>
      <c r="E353" s="44"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4" t="n"/>
      <c r="E354" s="44"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4" t="n"/>
      <c r="E355" s="44"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4" t="n"/>
      <c r="E356" s="44"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4" t="n"/>
      <c r="E357" s="44"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4" t="n"/>
      <c r="E358" s="44"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4" t="n"/>
      <c r="E359" s="44"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4" t="n"/>
      <c r="E360" s="44"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4" t="n"/>
      <c r="E361" s="44"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4" t="n"/>
      <c r="E362" s="44"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4" t="n"/>
      <c r="E363" s="44"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4" t="n"/>
      <c r="E364" s="44"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4" t="n"/>
      <c r="E365" s="44"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4" t="n"/>
      <c r="E366" s="44"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4" t="n"/>
      <c r="E367" s="44"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4" t="n"/>
      <c r="E368" s="44"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4" t="n"/>
      <c r="E369" s="44"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4" t="n"/>
      <c r="E370" s="44"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4" t="n"/>
      <c r="E371" s="44"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4" t="n"/>
      <c r="E372" s="44"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4" t="n"/>
      <c r="E373" s="44"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4" t="n"/>
      <c r="E374" s="44"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4" t="n"/>
      <c r="E375" s="44"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4" t="n"/>
      <c r="E376" s="44"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4" t="n"/>
      <c r="E377" s="44"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4" t="n"/>
      <c r="E378" s="44"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4" t="n"/>
      <c r="E379" s="44"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4" t="n"/>
      <c r="E380" s="44"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4" t="n"/>
      <c r="E381" s="44"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4" t="n"/>
      <c r="E382" s="44"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4" t="n"/>
      <c r="E383" s="44"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4" t="n"/>
      <c r="E384" s="44"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4" t="n"/>
      <c r="E385" s="44"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4" t="n"/>
      <c r="E386" s="44"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4" t="n"/>
      <c r="E387" s="44"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4" t="n"/>
      <c r="E388" s="44"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4" t="n"/>
      <c r="E389" s="44"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4" t="n"/>
      <c r="E390" s="44"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4" t="n"/>
      <c r="E391" s="44"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4" t="n"/>
      <c r="E392" s="44"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4" t="n"/>
      <c r="E393" s="44"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4" t="n"/>
      <c r="E394" s="44"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4" t="n"/>
      <c r="E395" s="44"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4" t="n"/>
      <c r="E396" s="44"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4" t="n"/>
      <c r="E397" s="44"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4" t="n"/>
      <c r="E398" s="44"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4" t="n"/>
      <c r="E399" s="44"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4" t="n"/>
      <c r="E400" s="44"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4" t="n"/>
      <c r="E401" s="44"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4" t="n"/>
      <c r="E402" s="44"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4" t="n"/>
      <c r="E403" s="44"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4" t="n"/>
      <c r="E404" s="44"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4" t="n"/>
      <c r="E405" s="44"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4" t="n"/>
      <c r="E406" s="44"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4" t="n"/>
      <c r="E407" s="44"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4" t="n"/>
      <c r="E408" s="44"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4" t="n"/>
      <c r="E409" s="44"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4" t="n"/>
      <c r="E410" s="44"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4" t="n"/>
      <c r="E411" s="44"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4" t="n"/>
      <c r="E412" s="44"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4" t="n"/>
      <c r="E413" s="44"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4" t="n"/>
      <c r="E414" s="44"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4" t="n"/>
      <c r="E415" s="44"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4" t="n"/>
      <c r="E416" s="44"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4" t="n"/>
      <c r="E417" s="44"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4" t="n"/>
      <c r="E418" s="44"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4" t="n"/>
      <c r="E419" s="44"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4" t="n"/>
      <c r="E420" s="44"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4" t="n"/>
      <c r="E421" s="44"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4" t="n"/>
      <c r="E422" s="44"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4" t="n"/>
      <c r="E423" s="44"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4" t="n"/>
      <c r="E424" s="44"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4" t="n"/>
      <c r="E425" s="44"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4" t="n"/>
      <c r="E426" s="44"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4" t="n"/>
      <c r="E427" s="44"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4" t="n"/>
      <c r="E428" s="44"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4" t="n"/>
      <c r="E429" s="44"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4" t="n"/>
      <c r="E430" s="44"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4" t="n"/>
      <c r="E431" s="44"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4" t="n"/>
      <c r="E432" s="44"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4" t="n"/>
      <c r="E433" s="44"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4" t="n"/>
      <c r="E434" s="44"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4" t="n"/>
      <c r="E435" s="44"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4" t="n"/>
      <c r="E436" s="44"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4" t="n"/>
      <c r="E437" s="44"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4" t="n"/>
      <c r="E438" s="44"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4" t="n"/>
      <c r="E439" s="44"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4" t="n"/>
      <c r="E440" s="44"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4" t="n"/>
      <c r="E441" s="44"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4" t="n"/>
      <c r="E442" s="44"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4" t="n"/>
      <c r="E443" s="44"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4" t="n"/>
      <c r="E444" s="44"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4" t="n"/>
      <c r="E445" s="44"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4" t="n"/>
      <c r="E446" s="44"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4" t="n"/>
      <c r="E447" s="44"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4" t="n"/>
      <c r="E448" s="44"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4" t="n"/>
      <c r="E449" s="44"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4" t="n"/>
      <c r="E450" s="44"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4" t="n"/>
      <c r="E451" s="44"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4" t="n"/>
      <c r="E452" s="44"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4" t="n"/>
      <c r="E453" s="44"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4" t="n"/>
      <c r="E454" s="44"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4" t="n"/>
      <c r="E455" s="44"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4" t="n"/>
      <c r="E456" s="44"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4" t="n"/>
      <c r="E457" s="44"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4" t="n"/>
      <c r="E458" s="44"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4" t="n"/>
      <c r="E459" s="44"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4" t="n"/>
      <c r="E460" s="44"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4" t="n"/>
      <c r="E461" s="44"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4" t="n"/>
      <c r="E462" s="44"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4" t="n"/>
      <c r="E463" s="44"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4" t="n"/>
      <c r="E464" s="44"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4" t="n"/>
      <c r="E465" s="44"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4" t="n"/>
      <c r="E466" s="44"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4" t="n"/>
      <c r="E467" s="44"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4" t="n"/>
      <c r="E468" s="44"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4" t="n"/>
      <c r="E469" s="44"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4" t="n"/>
      <c r="E470" s="44"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4" t="n"/>
      <c r="E471" s="44"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4" t="n"/>
      <c r="E472" s="44"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4" t="n"/>
      <c r="E473" s="44"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4" t="n"/>
      <c r="E474" s="44"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4" t="n"/>
      <c r="E475" s="44"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4" t="n"/>
      <c r="E476" s="44"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4" t="n"/>
      <c r="E477" s="44"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4" t="n"/>
      <c r="E478" s="44"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4" t="n"/>
      <c r="E479" s="44"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4" t="n"/>
      <c r="E480" s="44"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4" t="n"/>
      <c r="E481" s="44"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4" t="n"/>
      <c r="E482" s="44"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4" t="n"/>
      <c r="E483" s="44"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4" t="n"/>
      <c r="E484" s="44"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4" t="n"/>
      <c r="E485" s="44"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4" t="n"/>
      <c r="E486" s="44"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4" t="n"/>
      <c r="E487" s="44"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4" t="n"/>
      <c r="E488" s="44"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4" t="n"/>
      <c r="E489" s="44"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4" t="n"/>
      <c r="E490" s="44"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4" t="n"/>
      <c r="E491" s="44"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4" t="n"/>
      <c r="E492" s="44"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4" t="n"/>
      <c r="E493" s="44"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4" t="n"/>
      <c r="E494" s="44"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4" t="n"/>
      <c r="E495" s="44"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4" t="n"/>
      <c r="E496" s="44"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4" t="n"/>
      <c r="E497" s="44"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4" t="n"/>
      <c r="E498" s="44"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4" t="n"/>
      <c r="E499" s="44"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4" t="n"/>
      <c r="E500" s="44"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4" t="n"/>
      <c r="E501" s="44"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4" t="n"/>
      <c r="E502" s="44"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4" t="n"/>
      <c r="E503" s="44"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4" t="n"/>
      <c r="E504" s="44"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4" t="n"/>
      <c r="E505" s="44"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4" t="n"/>
      <c r="E506" s="44"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4" t="n"/>
      <c r="E507" s="44"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4" t="n"/>
      <c r="E508" s="44"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4" t="n"/>
      <c r="E509" s="44"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4" t="n"/>
      <c r="E510" s="44"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4" t="n"/>
      <c r="E511" s="44"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4" t="n"/>
      <c r="E512" s="44"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4" t="n"/>
      <c r="E513" s="44"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4" t="n"/>
      <c r="E514" s="44"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4" t="n"/>
      <c r="E515" s="44"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4" t="n"/>
      <c r="E516" s="44"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4" t="n"/>
      <c r="E517" s="44"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4" t="n"/>
      <c r="E518" s="44"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4" t="n"/>
      <c r="E519" s="44"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4" t="n"/>
      <c r="E520" s="44"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4" t="n"/>
      <c r="E521" s="44"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4" t="n"/>
      <c r="E522" s="44"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4" t="n"/>
      <c r="E523" s="44"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4" t="n"/>
      <c r="E524" s="44"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4" t="n"/>
      <c r="E525" s="44"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4" t="n"/>
      <c r="E526" s="44"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4" t="n"/>
      <c r="E527" s="44"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4" t="n"/>
      <c r="E528" s="44"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4" t="n"/>
      <c r="E529" s="44"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4" t="n"/>
      <c r="E530" s="44"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4" t="n"/>
      <c r="E531" s="44"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4" t="n"/>
      <c r="E532" s="44"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4" t="n"/>
      <c r="E533" s="44"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4" t="n"/>
      <c r="E534" s="44"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4" t="n"/>
      <c r="E535" s="44"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4" t="n"/>
      <c r="E536" s="44"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4" t="n"/>
      <c r="E537" s="44"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4" t="n"/>
      <c r="E538" s="44"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4" t="n"/>
      <c r="E539" s="44"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4" t="n"/>
      <c r="E540" s="44"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4" t="n"/>
      <c r="E541" s="44"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4" t="n"/>
      <c r="E542" s="44"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4" t="n"/>
      <c r="E543" s="44"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4" t="n"/>
      <c r="E544" s="44"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4" t="n"/>
      <c r="E545" s="44"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4" t="n"/>
      <c r="E546" s="44"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4" t="n"/>
      <c r="E547" s="44"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4" t="n"/>
      <c r="E548" s="44"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4" t="n"/>
      <c r="E549" s="44"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4" t="n"/>
      <c r="E550" s="44"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4" t="n"/>
      <c r="E551" s="44"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4" t="n"/>
      <c r="E552" s="44"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4" t="n"/>
      <c r="E553" s="44"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4" t="n"/>
      <c r="E554" s="44"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4" t="n"/>
      <c r="E555" s="44"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4" t="n"/>
      <c r="E556" s="44"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4" t="n"/>
      <c r="E557" s="44"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4" t="n"/>
      <c r="E558" s="44"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4" t="n"/>
      <c r="E559" s="44"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4" t="n"/>
      <c r="E560" s="44"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4" t="n"/>
      <c r="E561" s="44"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4" t="n"/>
      <c r="E562" s="44"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4" t="n"/>
      <c r="E563" s="44"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4" t="n"/>
      <c r="E564" s="44"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4" t="n"/>
      <c r="E565" s="44"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4" t="n"/>
      <c r="E566" s="44"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4" t="n"/>
      <c r="E567" s="44"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4" t="n"/>
      <c r="E568" s="44"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4" t="n"/>
      <c r="E569" s="44"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4" t="n"/>
      <c r="E570" s="44"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4" t="n"/>
      <c r="E571" s="44"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4" t="n"/>
      <c r="E572" s="44"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4" t="n"/>
      <c r="E573" s="44"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4" t="n"/>
      <c r="E574" s="44"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4" t="n"/>
      <c r="E575" s="44"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4" t="n"/>
      <c r="E576" s="44"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4" t="n"/>
      <c r="E577" s="44"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4" t="n"/>
      <c r="E578" s="44"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4" t="n"/>
      <c r="E579" s="44"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4" t="n"/>
      <c r="E580" s="44"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4" t="n"/>
      <c r="E581" s="44"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4" t="n"/>
      <c r="E582" s="44"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4" t="n"/>
      <c r="E583" s="44"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4" t="n"/>
      <c r="E584" s="44"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4" t="n"/>
      <c r="E585" s="44"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4" t="n"/>
      <c r="E586" s="44"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4" t="n"/>
      <c r="E587" s="44"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4" t="n"/>
      <c r="E588" s="44"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4" t="n"/>
      <c r="E589" s="44"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4" t="n"/>
      <c r="E590" s="44"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4" t="n"/>
      <c r="E591" s="44"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4" t="n"/>
      <c r="E592" s="44"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4" t="n"/>
      <c r="E593" s="44"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4" t="n"/>
      <c r="E594" s="44"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4" t="n"/>
      <c r="E595" s="44"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4" t="n"/>
      <c r="E596" s="44"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4" t="n"/>
      <c r="E597" s="44"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4" t="n"/>
      <c r="E598" s="44"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4" t="n"/>
      <c r="E599" s="44"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4" t="n"/>
      <c r="E600" s="44"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4" t="n"/>
      <c r="E601" s="44"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4" t="n"/>
      <c r="E602" s="44"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4" t="n"/>
      <c r="E603" s="44"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4" t="n"/>
      <c r="E604" s="44"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4" t="n"/>
      <c r="E605" s="44"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4" t="n"/>
      <c r="E606" s="44"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4" t="n"/>
      <c r="E607" s="44"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4" t="n"/>
      <c r="E608" s="44"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4" t="n"/>
      <c r="E609" s="44"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4" t="n"/>
      <c r="E610" s="44"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4" t="n"/>
      <c r="E611" s="44"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4" t="n"/>
      <c r="E612" s="44"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4" t="n"/>
      <c r="E613" s="44"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4" t="n"/>
      <c r="E614" s="44"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4" t="n"/>
      <c r="E615" s="44"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4" t="n"/>
      <c r="E616" s="44"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4" t="n"/>
      <c r="E617" s="44"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4" t="n"/>
      <c r="E618" s="44"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4" t="n"/>
      <c r="E619" s="44"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4" t="n"/>
      <c r="E620" s="44"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4" t="n"/>
      <c r="E621" s="44"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4" t="n"/>
      <c r="E622" s="44"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4" t="n"/>
      <c r="E623" s="44"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4" t="n"/>
      <c r="E624" s="44"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4" t="n"/>
      <c r="E625" s="44"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4" t="n"/>
      <c r="E626" s="44"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4" t="n"/>
      <c r="E627" s="44"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4" t="n"/>
      <c r="E628" s="44"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4" t="n"/>
      <c r="E629" s="44"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4" t="n"/>
      <c r="E630" s="44"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4" t="n"/>
      <c r="E631" s="44"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4" t="n"/>
      <c r="E632" s="44"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4" t="n"/>
      <c r="E633" s="44"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4" t="n"/>
      <c r="E634" s="44"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4" t="n"/>
      <c r="E635" s="44"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4" t="n"/>
      <c r="E636" s="44"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4" t="n"/>
      <c r="E637" s="44"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4" t="n"/>
      <c r="E638" s="44"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4" t="n"/>
      <c r="E639" s="44"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4" t="n"/>
      <c r="E640" s="44"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4" t="n"/>
      <c r="E641" s="44"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4" t="n"/>
      <c r="E642" s="44"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4" t="n"/>
      <c r="E643" s="44"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4" t="n"/>
      <c r="E644" s="44"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4" t="n"/>
      <c r="E645" s="44"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4" t="n"/>
      <c r="E646" s="44"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4" t="n"/>
      <c r="E647" s="44"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4" t="n"/>
      <c r="E648" s="44"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4" t="n"/>
      <c r="E649" s="44"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4" t="n"/>
      <c r="E650" s="44"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4" t="n"/>
      <c r="E651" s="44"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4" t="n"/>
      <c r="E652" s="44"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4" t="n"/>
      <c r="E653" s="44"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4" t="n"/>
      <c r="E654" s="44"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4" t="n"/>
      <c r="E655" s="44"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4" t="n"/>
      <c r="E656" s="44"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4" t="n"/>
      <c r="E657" s="44"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4" t="n"/>
      <c r="E658" s="44"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4" t="n"/>
      <c r="E659" s="44"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4" t="n"/>
      <c r="E660" s="44"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4" t="n"/>
      <c r="E661" s="44"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4" t="n"/>
      <c r="E662" s="44"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4" t="n"/>
      <c r="E663" s="44"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4" t="n"/>
      <c r="E664" s="44"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4" t="n"/>
      <c r="E665" s="44"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4" t="n"/>
      <c r="E666" s="44"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4" t="n"/>
      <c r="E667" s="44"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4" t="n"/>
      <c r="E668" s="44"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4" t="n"/>
      <c r="E669" s="44"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4" t="n"/>
      <c r="E670" s="44"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4" t="n"/>
      <c r="E671" s="44"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4" t="n"/>
      <c r="E672" s="44"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4" t="n"/>
      <c r="E673" s="44"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4" t="n"/>
      <c r="E674" s="44"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4" t="n"/>
      <c r="E675" s="44"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4" t="n"/>
      <c r="E676" s="44"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4" t="n"/>
      <c r="E677" s="44"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4" t="n"/>
      <c r="E678" s="44"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4" t="n"/>
      <c r="E679" s="44"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4" t="n"/>
      <c r="E680" s="44"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4" t="n"/>
      <c r="E681" s="44"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4" t="n"/>
      <c r="E682" s="44"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4" t="n"/>
      <c r="E683" s="44"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4" t="n"/>
      <c r="E684" s="44"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4" t="n"/>
      <c r="E685" s="44"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4" t="n"/>
      <c r="E686" s="44"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4" t="n"/>
      <c r="E687" s="44"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4" t="n"/>
      <c r="E688" s="44"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4" t="n"/>
      <c r="E689" s="44"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4" t="n"/>
      <c r="E690" s="44"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4" t="n"/>
      <c r="E691" s="44"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4" t="n"/>
      <c r="E692" s="44"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4" t="n"/>
      <c r="E693" s="44"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4" t="n"/>
      <c r="E694" s="44"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4" t="n"/>
      <c r="E695" s="44"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4" t="n"/>
      <c r="E696" s="44"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4" t="n"/>
      <c r="E697" s="44"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4" t="n"/>
      <c r="E698" s="44"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4" t="n"/>
      <c r="E699" s="44"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4" t="n"/>
      <c r="E700" s="44"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4" t="n"/>
      <c r="E701" s="44"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4" t="n"/>
      <c r="E702" s="44"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4" t="n"/>
      <c r="E703" s="44"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4" t="n"/>
      <c r="E704" s="44"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4" t="n"/>
      <c r="E705" s="44"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4" t="n"/>
      <c r="E706" s="44"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4" t="n"/>
      <c r="E707" s="44"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4" t="n"/>
      <c r="E708" s="44"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4" t="n"/>
      <c r="E709" s="44"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4" t="n"/>
      <c r="E710" s="44"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4" t="n"/>
      <c r="E711" s="44"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4" t="n"/>
      <c r="E712" s="44"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4" t="n"/>
      <c r="E713" s="44"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4" t="n"/>
      <c r="E714" s="44"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4" t="n"/>
      <c r="E715" s="44"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4" t="n"/>
      <c r="E716" s="44"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4" t="n"/>
      <c r="E717" s="44"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4" t="n"/>
      <c r="E718" s="44"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4" t="n"/>
      <c r="E719" s="44"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4" t="n"/>
      <c r="E720" s="44"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4" t="n"/>
      <c r="E721" s="44"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4" t="n"/>
      <c r="E722" s="44"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4" t="n"/>
      <c r="E723" s="44"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4" t="n"/>
      <c r="E724" s="44"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4" t="n"/>
      <c r="E725" s="44"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4" t="n"/>
      <c r="E726" s="44"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4" t="n"/>
      <c r="E727" s="44"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4" t="n"/>
      <c r="E728" s="44"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4" t="n"/>
      <c r="E729" s="44"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4" t="n"/>
      <c r="E730" s="44"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4" t="n"/>
      <c r="E731" s="44"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4" t="n"/>
      <c r="E732" s="44"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4" t="n"/>
      <c r="E733" s="44"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4" t="n"/>
      <c r="E734" s="44"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4" t="n"/>
      <c r="E735" s="44"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4" t="n"/>
      <c r="E736" s="44"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4" t="n"/>
      <c r="E737" s="44"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4" t="n"/>
      <c r="E738" s="44"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4" t="n"/>
      <c r="E739" s="44"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4" t="n"/>
      <c r="E740" s="44"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4" t="n"/>
      <c r="E741" s="44"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4" t="n"/>
      <c r="E742" s="44"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4" t="n"/>
      <c r="E743" s="44"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4" t="n"/>
      <c r="E744" s="44"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4" t="n"/>
      <c r="E745" s="44"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4" t="n"/>
      <c r="E746" s="44"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4" t="n"/>
      <c r="E747" s="44"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4" t="n"/>
      <c r="E748" s="44"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4" t="n"/>
      <c r="E749" s="44"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4" t="n"/>
      <c r="E750" s="44"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4" t="n"/>
      <c r="E751" s="44"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4" t="n"/>
      <c r="E752" s="44"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4" t="n"/>
      <c r="E753" s="44"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4" t="n"/>
      <c r="E754" s="44"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4" t="n"/>
      <c r="E755" s="44"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4" t="n"/>
      <c r="E756" s="44"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4" t="n"/>
      <c r="E757" s="44"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4" t="n"/>
      <c r="E758" s="44"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4" t="n"/>
      <c r="E759" s="44"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4" t="n"/>
      <c r="E760" s="44"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4" t="n"/>
      <c r="E761" s="44"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4" t="n"/>
      <c r="E762" s="44"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4" t="n"/>
      <c r="E763" s="44"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4" t="n"/>
      <c r="E764" s="44"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4" t="n"/>
      <c r="E765" s="44"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4" t="n"/>
      <c r="E766" s="44"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4" t="n"/>
      <c r="E767" s="44"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4" t="n"/>
      <c r="E768" s="44"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4" t="n"/>
      <c r="E769" s="44"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4" t="n"/>
      <c r="E770" s="44"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4" t="n"/>
      <c r="E771" s="44"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4" t="n"/>
      <c r="E772" s="44"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4" t="n"/>
      <c r="E773" s="44"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4" t="n"/>
      <c r="E774" s="44"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4" t="n"/>
      <c r="E775" s="44"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4" t="n"/>
      <c r="E776" s="44"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4" t="n"/>
      <c r="E777" s="44"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4" t="n"/>
      <c r="E778" s="44"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4" t="n"/>
      <c r="E779" s="44"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4" t="n"/>
      <c r="E780" s="44"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4" t="n"/>
      <c r="E781" s="44"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4" t="n"/>
      <c r="E782" s="44"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4" t="n"/>
      <c r="E783" s="44"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4" t="n"/>
      <c r="E784" s="44"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4" t="n"/>
      <c r="E785" s="44"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4" t="n"/>
      <c r="E786" s="44"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4" t="n"/>
      <c r="E787" s="44"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4" t="n"/>
      <c r="E788" s="44"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4" t="n"/>
      <c r="E789" s="44"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4" t="n"/>
      <c r="E790" s="44"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4" t="n"/>
      <c r="E791" s="44"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4" t="n"/>
      <c r="E792" s="44"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4" t="n"/>
      <c r="E793" s="44"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4" t="n"/>
      <c r="E794" s="44"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4" t="n"/>
      <c r="E795" s="44"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4" t="n"/>
      <c r="E796" s="44"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4" t="n"/>
      <c r="E797" s="44"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4" t="n"/>
      <c r="E798" s="44"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4" t="n"/>
      <c r="E799" s="44"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4" t="n"/>
      <c r="E800" s="44"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4" t="n"/>
      <c r="E801" s="44"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4" t="n"/>
      <c r="E802" s="44"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4" t="n"/>
      <c r="E803" s="44"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4" t="n"/>
      <c r="E804" s="44"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4" t="n"/>
      <c r="E805" s="44"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4" t="n"/>
      <c r="E806" s="44"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4" t="n"/>
      <c r="E807" s="44"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4" t="n"/>
      <c r="E808" s="44"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4" t="n"/>
      <c r="E809" s="44"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4" t="n"/>
      <c r="E810" s="44"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4" t="n"/>
      <c r="E811" s="44"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4" t="n"/>
      <c r="E812" s="44"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4" t="n"/>
      <c r="E813" s="44"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4" t="n"/>
      <c r="E814" s="44"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4" t="n"/>
      <c r="E815" s="44"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4" t="n"/>
      <c r="E816" s="44"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4" t="n"/>
      <c r="E817" s="44"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4" t="n"/>
      <c r="E818" s="44"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4" t="n"/>
      <c r="E819" s="44"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4" t="n"/>
      <c r="E820" s="44"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4" t="n"/>
      <c r="E821" s="44"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4" t="n"/>
      <c r="E822" s="44"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4" t="n"/>
      <c r="E823" s="44"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4" t="n"/>
      <c r="E824" s="44"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4" t="n"/>
      <c r="E825" s="44"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4" t="n"/>
      <c r="E826" s="44"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4" t="n"/>
      <c r="E827" s="44"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4" t="n"/>
      <c r="E828" s="44"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4" t="n"/>
      <c r="E829" s="44"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4" t="n"/>
      <c r="E830" s="44"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4" t="n"/>
      <c r="E831" s="44"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4" t="n"/>
      <c r="E832" s="44"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4" t="n"/>
      <c r="E833" s="44"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4" t="n"/>
      <c r="E834" s="44"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4" t="n"/>
      <c r="E835" s="44"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4" t="n"/>
      <c r="E836" s="44"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4" t="n"/>
      <c r="E837" s="44"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4" t="n"/>
      <c r="E838" s="44"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4" t="n"/>
      <c r="E839" s="44"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4" t="n"/>
      <c r="E840" s="44"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4" t="n"/>
      <c r="E841" s="44"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4" t="n"/>
      <c r="E842" s="44"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4" t="n"/>
      <c r="E843" s="44"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4" t="n"/>
      <c r="E844" s="44"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4" t="n"/>
      <c r="E845" s="44"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4" t="n"/>
      <c r="E846" s="44"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4" t="n"/>
      <c r="E847" s="44"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4" t="n"/>
      <c r="E848" s="44"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4" t="n"/>
      <c r="E849" s="44"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4" t="n"/>
      <c r="E850" s="44"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4" t="n"/>
      <c r="E851" s="44"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4" t="n"/>
      <c r="E852" s="44"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4" t="n"/>
      <c r="E853" s="44"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4" t="n"/>
      <c r="E854" s="44"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4" t="n"/>
      <c r="E855" s="44"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4" t="n"/>
      <c r="E856" s="44"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4" t="n"/>
      <c r="E857" s="44"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4" t="n"/>
      <c r="E858" s="44"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4" t="n"/>
      <c r="E859" s="44"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4" t="n"/>
      <c r="E860" s="44"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4" t="n"/>
      <c r="E861" s="44"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4" t="n"/>
      <c r="E862" s="44"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4" t="n"/>
      <c r="E863" s="44"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4" t="n"/>
      <c r="E864" s="44"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4" t="n"/>
      <c r="E865" s="44"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4" t="n"/>
      <c r="E866" s="44"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4" t="n"/>
      <c r="E867" s="44"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4" t="n"/>
      <c r="E868" s="44"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4" t="n"/>
      <c r="E869" s="44"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4" t="n"/>
      <c r="E870" s="44"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4" t="n"/>
      <c r="E871" s="44"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4" t="n"/>
      <c r="E872" s="44"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4" t="n"/>
      <c r="E873" s="44"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4" t="n"/>
      <c r="E874" s="44"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4" t="n"/>
      <c r="E875" s="44"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4" t="n"/>
      <c r="E876" s="44"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4" t="n"/>
      <c r="E877" s="44"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4" t="n"/>
      <c r="E878" s="44"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4" t="n"/>
      <c r="E879" s="44"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4" t="n"/>
      <c r="E880" s="44"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4" t="n"/>
      <c r="E881" s="44"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4" t="n"/>
      <c r="E882" s="44"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4" t="n"/>
      <c r="E883" s="44"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4" t="n"/>
      <c r="E884" s="44"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4" t="n"/>
      <c r="E885" s="44"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4" t="n"/>
      <c r="E886" s="44"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4" t="n"/>
      <c r="E887" s="44"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4" t="n"/>
      <c r="E888" s="44"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4" t="n"/>
      <c r="E889" s="44"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4" t="n"/>
      <c r="E890" s="44"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4" t="n"/>
      <c r="E891" s="44"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4" t="n"/>
      <c r="E892" s="44"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4" t="n"/>
      <c r="E893" s="44"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4" t="n"/>
      <c r="E894" s="44"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4" t="n"/>
      <c r="E895" s="44"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4" t="n"/>
      <c r="E896" s="44"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4" t="n"/>
      <c r="E897" s="44"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4" t="n"/>
      <c r="E898" s="44"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4" t="n"/>
      <c r="E899" s="44"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4" t="n"/>
      <c r="E900" s="44"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4" t="n"/>
      <c r="E901" s="44"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4" t="n"/>
      <c r="E902" s="44"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4" t="n"/>
      <c r="E903" s="44"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4" t="n"/>
      <c r="E904" s="44"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4" t="n"/>
      <c r="E905" s="44"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2.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Classroom MINUTES STILL OWED (there is no attendance allowance - every missed minute is made up);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Advisory At</t>
        </is>
      </c>
      <c r="I5" s="12" t="inlineStr">
        <is>
          <t>Cl Owed (min)</t>
        </is>
      </c>
      <c r="J5" s="12" t="inlineStr">
        <is>
          <t>Cl Tier</t>
        </is>
      </c>
      <c r="K5" s="12" t="inlineStr">
        <is>
          <t>Cl Clear?</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IF($B6="","",cfgMakeupAdvisoryMin)</f>
        <v/>
      </c>
      <c r="I6" s="45">
        <f>IF($B6="","",MAX(0,$E6-$F6))</f>
        <v/>
      </c>
      <c r="J6" s="17">
        <f>IF($B6="","",IF($I6=0,"OK",IF($I6&gt;=cfgMakeupCriticalMin,"CRITICAL",IF($I6&gt;=cfgMakeupAdvisoryMin,"Advisory","Owes time"))))</f>
        <v/>
      </c>
      <c r="K6" s="17">
        <f>IF($B6="","",IF($I6=0,"Yes","No"))</f>
        <v/>
      </c>
      <c r="L6" s="17">
        <f>IF($B6="","",MAX(0,$E6-$F6))</f>
        <v/>
      </c>
      <c r="M6" s="17">
        <f>IF($B6="","",SUMIFS(nrAT_Sess,nrAT_PID,$B6,nrAT_Counts,"Yes",nrAT_IsPT,"Yes"))</f>
        <v/>
      </c>
      <c r="N6" s="17">
        <f>IF($B6="","",SUMIFS(nrAT_MadeUpSess,nrAT_PID,$B6,nrAT_Counts,"Yes",nrAT_IsPT,"Yes"))</f>
        <v/>
      </c>
      <c r="O6" s="17">
        <f>IF($B6="","",MAX(0,$M6-$N6))</f>
        <v/>
      </c>
      <c r="P6" s="17">
        <f>IF($B6="","",cfgPTCapSessions)</f>
        <v/>
      </c>
      <c r="Q6" s="46">
        <f>IF($B6="","",IF($P6=0,0,$O6/$P6))</f>
        <v/>
      </c>
      <c r="R6" s="17">
        <f>IF($B6="","",IF($Q6&gt;=1,"AT CAP (5 sessions)",IF($Q6&gt;=cfgAttendanceCriticalPct,"Critical",IF($Q6&gt;=cfgAttendanceAdvisoryPct,"Advisory","OK"))))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IF($B7="","",cfgMakeupAdvisoryMin)</f>
        <v/>
      </c>
      <c r="I7" s="45">
        <f>IF($B7="","",MAX(0,$E7-$F7))</f>
        <v/>
      </c>
      <c r="J7" s="17">
        <f>IF($B7="","",IF($I7=0,"OK",IF($I7&gt;=cfgMakeupCriticalMin,"CRITICAL",IF($I7&gt;=cfgMakeupAdvisoryMin,"Advisory","Owes time"))))</f>
        <v/>
      </c>
      <c r="K7" s="17">
        <f>IF($B7="","",IF($I7=0,"Yes","No"))</f>
        <v/>
      </c>
      <c r="L7" s="17">
        <f>IF($B7="","",MAX(0,$E7-$F7))</f>
        <v/>
      </c>
      <c r="M7" s="17">
        <f>IF($B7="","",SUMIFS(nrAT_Sess,nrAT_PID,$B7,nrAT_Counts,"Yes",nrAT_IsPT,"Yes"))</f>
        <v/>
      </c>
      <c r="N7" s="17">
        <f>IF($B7="","",SUMIFS(nrAT_MadeUpSess,nrAT_PID,$B7,nrAT_Counts,"Yes",nrAT_IsPT,"Yes"))</f>
        <v/>
      </c>
      <c r="O7" s="17">
        <f>IF($B7="","",MAX(0,$M7-$N7))</f>
        <v/>
      </c>
      <c r="P7" s="17">
        <f>IF($B7="","",cfgPTCapSessions)</f>
        <v/>
      </c>
      <c r="Q7" s="46">
        <f>IF($B7="","",IF($P7=0,0,$O7/$P7))</f>
        <v/>
      </c>
      <c r="R7" s="17">
        <f>IF($B7="","",IF($Q7&gt;=1,"AT CAP (5 sessions)",IF($Q7&gt;=cfgAttendanceCriticalPct,"Critical",IF($Q7&gt;=cfgAttendanceAdvisoryPct,"Advisory","OK"))))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IF($B8="","",cfgMakeupAdvisoryMin)</f>
        <v/>
      </c>
      <c r="I8" s="45">
        <f>IF($B8="","",MAX(0,$E8-$F8))</f>
        <v/>
      </c>
      <c r="J8" s="17">
        <f>IF($B8="","",IF($I8=0,"OK",IF($I8&gt;=cfgMakeupCriticalMin,"CRITICAL",IF($I8&gt;=cfgMakeupAdvisoryMin,"Advisory","Owes time"))))</f>
        <v/>
      </c>
      <c r="K8" s="17">
        <f>IF($B8="","",IF($I8=0,"Yes","No"))</f>
        <v/>
      </c>
      <c r="L8" s="17">
        <f>IF($B8="","",MAX(0,$E8-$F8))</f>
        <v/>
      </c>
      <c r="M8" s="17">
        <f>IF($B8="","",SUMIFS(nrAT_Sess,nrAT_PID,$B8,nrAT_Counts,"Yes",nrAT_IsPT,"Yes"))</f>
        <v/>
      </c>
      <c r="N8" s="17">
        <f>IF($B8="","",SUMIFS(nrAT_MadeUpSess,nrAT_PID,$B8,nrAT_Counts,"Yes",nrAT_IsPT,"Yes"))</f>
        <v/>
      </c>
      <c r="O8" s="17">
        <f>IF($B8="","",MAX(0,$M8-$N8))</f>
        <v/>
      </c>
      <c r="P8" s="17">
        <f>IF($B8="","",cfgPTCapSessions)</f>
        <v/>
      </c>
      <c r="Q8" s="46">
        <f>IF($B8="","",IF($P8=0,0,$O8/$P8))</f>
        <v/>
      </c>
      <c r="R8" s="17">
        <f>IF($B8="","",IF($Q8&gt;=1,"AT CAP (5 sessions)",IF($Q8&gt;=cfgAttendanceCriticalPct,"Critical",IF($Q8&gt;=cfgAttendanceAdvisoryPct,"Advisory","OK"))))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IF($B9="","",cfgMakeupAdvisoryMin)</f>
        <v/>
      </c>
      <c r="I9" s="45">
        <f>IF($B9="","",MAX(0,$E9-$F9))</f>
        <v/>
      </c>
      <c r="J9" s="17">
        <f>IF($B9="","",IF($I9=0,"OK",IF($I9&gt;=cfgMakeupCriticalMin,"CRITICAL",IF($I9&gt;=cfgMakeupAdvisoryMin,"Advisory","Owes time"))))</f>
        <v/>
      </c>
      <c r="K9" s="17">
        <f>IF($B9="","",IF($I9=0,"Yes","No"))</f>
        <v/>
      </c>
      <c r="L9" s="17">
        <f>IF($B9="","",MAX(0,$E9-$F9))</f>
        <v/>
      </c>
      <c r="M9" s="17">
        <f>IF($B9="","",SUMIFS(nrAT_Sess,nrAT_PID,$B9,nrAT_Counts,"Yes",nrAT_IsPT,"Yes"))</f>
        <v/>
      </c>
      <c r="N9" s="17">
        <f>IF($B9="","",SUMIFS(nrAT_MadeUpSess,nrAT_PID,$B9,nrAT_Counts,"Yes",nrAT_IsPT,"Yes"))</f>
        <v/>
      </c>
      <c r="O9" s="17">
        <f>IF($B9="","",MAX(0,$M9-$N9))</f>
        <v/>
      </c>
      <c r="P9" s="17">
        <f>IF($B9="","",cfgPTCapSessions)</f>
        <v/>
      </c>
      <c r="Q9" s="46">
        <f>IF($B9="","",IF($P9=0,0,$O9/$P9))</f>
        <v/>
      </c>
      <c r="R9" s="17">
        <f>IF($B9="","",IF($Q9&gt;=1,"AT CAP (5 sessions)",IF($Q9&gt;=cfgAttendanceCriticalPct,"Critical",IF($Q9&gt;=cfgAttendanceAdvisoryPct,"Advisory","OK"))))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IF($B10="","",cfgMakeupAdvisoryMin)</f>
        <v/>
      </c>
      <c r="I10" s="45">
        <f>IF($B10="","",MAX(0,$E10-$F10))</f>
        <v/>
      </c>
      <c r="J10" s="17">
        <f>IF($B10="","",IF($I10=0,"OK",IF($I10&gt;=cfgMakeupCriticalMin,"CRITICAL",IF($I10&gt;=cfgMakeupAdvisoryMin,"Advisory","Owes time"))))</f>
        <v/>
      </c>
      <c r="K10" s="17">
        <f>IF($B10="","",IF($I10=0,"Yes","No"))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6">
        <f>IF($B10="","",IF($P10=0,0,$O10/$P10))</f>
        <v/>
      </c>
      <c r="R10" s="17">
        <f>IF($B10="","",IF($Q10&gt;=1,"AT CAP (5 sessions)",IF($Q10&gt;=cfgAttendanceCriticalPct,"Critical",IF($Q10&gt;=cfgAttendanceAdvisoryPct,"Advisory","OK"))))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IF($B11="","",cfgMakeupAdvisoryMin)</f>
        <v/>
      </c>
      <c r="I11" s="45">
        <f>IF($B11="","",MAX(0,$E11-$F11))</f>
        <v/>
      </c>
      <c r="J11" s="17">
        <f>IF($B11="","",IF($I11=0,"OK",IF($I11&gt;=cfgMakeupCriticalMin,"CRITICAL",IF($I11&gt;=cfgMakeupAdvisoryMin,"Advisory","Owes time"))))</f>
        <v/>
      </c>
      <c r="K11" s="17">
        <f>IF($B11="","",IF($I11=0,"Yes","No"))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6">
        <f>IF($B11="","",IF($P11=0,0,$O11/$P11))</f>
        <v/>
      </c>
      <c r="R11" s="17">
        <f>IF($B11="","",IF($Q11&gt;=1,"AT CAP (5 sessions)",IF($Q11&gt;=cfgAttendanceCriticalPct,"Critical",IF($Q11&gt;=cfgAttendanceAdvisoryPct,"Advisory","OK"))))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IF($B12="","",cfgMakeupAdvisoryMin)</f>
        <v/>
      </c>
      <c r="I12" s="45">
        <f>IF($B12="","",MAX(0,$E12-$F12))</f>
        <v/>
      </c>
      <c r="J12" s="17">
        <f>IF($B12="","",IF($I12=0,"OK",IF($I12&gt;=cfgMakeupCriticalMin,"CRITICAL",IF($I12&gt;=cfgMakeupAdvisoryMin,"Advisory","Owes time"))))</f>
        <v/>
      </c>
      <c r="K12" s="17">
        <f>IF($B12="","",IF($I12=0,"Yes","No"))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6">
        <f>IF($B12="","",IF($P12=0,0,$O12/$P12))</f>
        <v/>
      </c>
      <c r="R12" s="17">
        <f>IF($B12="","",IF($Q12&gt;=1,"AT CAP (5 sessions)",IF($Q12&gt;=cfgAttendanceCriticalPct,"Critical",IF($Q12&gt;=cfgAttendanceAdvisoryPct,"Advisory","OK"))))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IF($B13="","",cfgMakeupAdvisoryMin)</f>
        <v/>
      </c>
      <c r="I13" s="45">
        <f>IF($B13="","",MAX(0,$E13-$F13))</f>
        <v/>
      </c>
      <c r="J13" s="17">
        <f>IF($B13="","",IF($I13=0,"OK",IF($I13&gt;=cfgMakeupCriticalMin,"CRITICAL",IF($I13&gt;=cfgMakeupAdvisoryMin,"Advisory","Owes time"))))</f>
        <v/>
      </c>
      <c r="K13" s="17">
        <f>IF($B13="","",IF($I13=0,"Yes","No"))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6">
        <f>IF($B13="","",IF($P13=0,0,$O13/$P13))</f>
        <v/>
      </c>
      <c r="R13" s="17">
        <f>IF($B13="","",IF($Q13&gt;=1,"AT CAP (5 sessions)",IF($Q13&gt;=cfgAttendanceCriticalPct,"Critical",IF($Q13&gt;=cfgAttendanceAdvisoryPct,"Advisory","OK"))))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IF($B14="","",cfgMakeupAdvisoryMin)</f>
        <v/>
      </c>
      <c r="I14" s="45">
        <f>IF($B14="","",MAX(0,$E14-$F14))</f>
        <v/>
      </c>
      <c r="J14" s="17">
        <f>IF($B14="","",IF($I14=0,"OK",IF($I14&gt;=cfgMakeupCriticalMin,"CRITICAL",IF($I14&gt;=cfgMakeupAdvisoryMin,"Advisory","Owes time"))))</f>
        <v/>
      </c>
      <c r="K14" s="17">
        <f>IF($B14="","",IF($I14=0,"Yes","No"))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6">
        <f>IF($B14="","",IF($P14=0,0,$O14/$P14))</f>
        <v/>
      </c>
      <c r="R14" s="17">
        <f>IF($B14="","",IF($Q14&gt;=1,"AT CAP (5 sessions)",IF($Q14&gt;=cfgAttendanceCriticalPct,"Critical",IF($Q14&gt;=cfgAttendanceAdvisoryPct,"Advisory","OK"))))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IF($B15="","",cfgMakeupAdvisoryMin)</f>
        <v/>
      </c>
      <c r="I15" s="45">
        <f>IF($B15="","",MAX(0,$E15-$F15))</f>
        <v/>
      </c>
      <c r="J15" s="17">
        <f>IF($B15="","",IF($I15=0,"OK",IF($I15&gt;=cfgMakeupCriticalMin,"CRITICAL",IF($I15&gt;=cfgMakeupAdvisoryMin,"Advisory","Owes time"))))</f>
        <v/>
      </c>
      <c r="K15" s="17">
        <f>IF($B15="","",IF($I15=0,"Yes","No"))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6">
        <f>IF($B15="","",IF($P15=0,0,$O15/$P15))</f>
        <v/>
      </c>
      <c r="R15" s="17">
        <f>IF($B15="","",IF($Q15&gt;=1,"AT CAP (5 sessions)",IF($Q15&gt;=cfgAttendanceCriticalPct,"Critical",IF($Q15&gt;=cfgAttendanceAdvisoryPct,"Advisory","OK"))))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IF($B16="","",cfgMakeupAdvisoryMin)</f>
        <v/>
      </c>
      <c r="I16" s="45">
        <f>IF($B16="","",MAX(0,$E16-$F16))</f>
        <v/>
      </c>
      <c r="J16" s="17">
        <f>IF($B16="","",IF($I16=0,"OK",IF($I16&gt;=cfgMakeupCriticalMin,"CRITICAL",IF($I16&gt;=cfgMakeupAdvisoryMin,"Advisory","Owes time"))))</f>
        <v/>
      </c>
      <c r="K16" s="17">
        <f>IF($B16="","",IF($I16=0,"Yes","No"))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6">
        <f>IF($B16="","",IF($P16=0,0,$O16/$P16))</f>
        <v/>
      </c>
      <c r="R16" s="17">
        <f>IF($B16="","",IF($Q16&gt;=1,"AT CAP (5 sessions)",IF($Q16&gt;=cfgAttendanceCriticalPct,"Critical",IF($Q16&gt;=cfgAttendanceAdvisoryPct,"Advisory","OK"))))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IF($B17="","",cfgMakeupAdvisoryMin)</f>
        <v/>
      </c>
      <c r="I17" s="45">
        <f>IF($B17="","",MAX(0,$E17-$F17))</f>
        <v/>
      </c>
      <c r="J17" s="17">
        <f>IF($B17="","",IF($I17=0,"OK",IF($I17&gt;=cfgMakeupCriticalMin,"CRITICAL",IF($I17&gt;=cfgMakeupAdvisoryMin,"Advisory","Owes time"))))</f>
        <v/>
      </c>
      <c r="K17" s="17">
        <f>IF($B17="","",IF($I17=0,"Yes","No"))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6">
        <f>IF($B17="","",IF($P17=0,0,$O17/$P17))</f>
        <v/>
      </c>
      <c r="R17" s="17">
        <f>IF($B17="","",IF($Q17&gt;=1,"AT CAP (5 sessions)",IF($Q17&gt;=cfgAttendanceCriticalPct,"Critical",IF($Q17&gt;=cfgAttendanceAdvisoryPct,"Advisory","OK"))))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IF($B18="","",cfgMakeupAdvisoryMin)</f>
        <v/>
      </c>
      <c r="I18" s="45">
        <f>IF($B18="","",MAX(0,$E18-$F18))</f>
        <v/>
      </c>
      <c r="J18" s="17">
        <f>IF($B18="","",IF($I18=0,"OK",IF($I18&gt;=cfgMakeupCriticalMin,"CRITICAL",IF($I18&gt;=cfgMakeupAdvisoryMin,"Advisory","Owes time"))))</f>
        <v/>
      </c>
      <c r="K18" s="17">
        <f>IF($B18="","",IF($I18=0,"Yes","No"))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6">
        <f>IF($B18="","",IF($P18=0,0,$O18/$P18))</f>
        <v/>
      </c>
      <c r="R18" s="17">
        <f>IF($B18="","",IF($Q18&gt;=1,"AT CAP (5 sessions)",IF($Q18&gt;=cfgAttendanceCriticalPct,"Critical",IF($Q18&gt;=cfgAttendanceAdvisoryPct,"Advisory","OK"))))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IF($B19="","",cfgMakeupAdvisoryMin)</f>
        <v/>
      </c>
      <c r="I19" s="45">
        <f>IF($B19="","",MAX(0,$E19-$F19))</f>
        <v/>
      </c>
      <c r="J19" s="17">
        <f>IF($B19="","",IF($I19=0,"OK",IF($I19&gt;=cfgMakeupCriticalMin,"CRITICAL",IF($I19&gt;=cfgMakeupAdvisoryMin,"Advisory","Owes time"))))</f>
        <v/>
      </c>
      <c r="K19" s="17">
        <f>IF($B19="","",IF($I19=0,"Yes","No"))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6">
        <f>IF($B19="","",IF($P19=0,0,$O19/$P19))</f>
        <v/>
      </c>
      <c r="R19" s="17">
        <f>IF($B19="","",IF($Q19&gt;=1,"AT CAP (5 sessions)",IF($Q19&gt;=cfgAttendanceCriticalPct,"Critical",IF($Q19&gt;=cfgAttendanceAdvisoryPct,"Advisory","OK"))))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IF($B20="","",cfgMakeupAdvisoryMin)</f>
        <v/>
      </c>
      <c r="I20" s="45">
        <f>IF($B20="","",MAX(0,$E20-$F20))</f>
        <v/>
      </c>
      <c r="J20" s="17">
        <f>IF($B20="","",IF($I20=0,"OK",IF($I20&gt;=cfgMakeupCriticalMin,"CRITICAL",IF($I20&gt;=cfgMakeupAdvisoryMin,"Advisory","Owes time"))))</f>
        <v/>
      </c>
      <c r="K20" s="17">
        <f>IF($B20="","",IF($I20=0,"Yes","No"))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6">
        <f>IF($B20="","",IF($P20=0,0,$O20/$P20))</f>
        <v/>
      </c>
      <c r="R20" s="17">
        <f>IF($B20="","",IF($Q20&gt;=1,"AT CAP (5 sessions)",IF($Q20&gt;=cfgAttendanceCriticalPct,"Critical",IF($Q20&gt;=cfgAttendanceAdvisoryPct,"Advisory","OK"))))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IF($B21="","",cfgMakeupAdvisoryMin)</f>
        <v/>
      </c>
      <c r="I21" s="45">
        <f>IF($B21="","",MAX(0,$E21-$F21))</f>
        <v/>
      </c>
      <c r="J21" s="17">
        <f>IF($B21="","",IF($I21=0,"OK",IF($I21&gt;=cfgMakeupCriticalMin,"CRITICAL",IF($I21&gt;=cfgMakeupAdvisoryMin,"Advisory","Owes time"))))</f>
        <v/>
      </c>
      <c r="K21" s="17">
        <f>IF($B21="","",IF($I21=0,"Yes","No"))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6">
        <f>IF($B21="","",IF($P21=0,0,$O21/$P21))</f>
        <v/>
      </c>
      <c r="R21" s="17">
        <f>IF($B21="","",IF($Q21&gt;=1,"AT CAP (5 sessions)",IF($Q21&gt;=cfgAttendanceCriticalPct,"Critical",IF($Q21&gt;=cfgAttendanceAdvisoryPct,"Advisory","OK"))))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IF($B22="","",cfgMakeupAdvisoryMin)</f>
        <v/>
      </c>
      <c r="I22" s="45">
        <f>IF($B22="","",MAX(0,$E22-$F22))</f>
        <v/>
      </c>
      <c r="J22" s="17">
        <f>IF($B22="","",IF($I22=0,"OK",IF($I22&gt;=cfgMakeupCriticalMin,"CRITICAL",IF($I22&gt;=cfgMakeupAdvisoryMin,"Advisory","Owes time"))))</f>
        <v/>
      </c>
      <c r="K22" s="17">
        <f>IF($B22="","",IF($I22=0,"Yes","No"))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6">
        <f>IF($B22="","",IF($P22=0,0,$O22/$P22))</f>
        <v/>
      </c>
      <c r="R22" s="17">
        <f>IF($B22="","",IF($Q22&gt;=1,"AT CAP (5 sessions)",IF($Q22&gt;=cfgAttendanceCriticalPct,"Critical",IF($Q22&gt;=cfgAttendanceAdvisoryPct,"Advisory","OK"))))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IF($B23="","",cfgMakeupAdvisoryMin)</f>
        <v/>
      </c>
      <c r="I23" s="45">
        <f>IF($B23="","",MAX(0,$E23-$F23))</f>
        <v/>
      </c>
      <c r="J23" s="17">
        <f>IF($B23="","",IF($I23=0,"OK",IF($I23&gt;=cfgMakeupCriticalMin,"CRITICAL",IF($I23&gt;=cfgMakeupAdvisoryMin,"Advisory","Owes time"))))</f>
        <v/>
      </c>
      <c r="K23" s="17">
        <f>IF($B23="","",IF($I23=0,"Yes","No"))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6">
        <f>IF($B23="","",IF($P23=0,0,$O23/$P23))</f>
        <v/>
      </c>
      <c r="R23" s="17">
        <f>IF($B23="","",IF($Q23&gt;=1,"AT CAP (5 sessions)",IF($Q23&gt;=cfgAttendanceCriticalPct,"Critical",IF($Q23&gt;=cfgAttendanceAdvisoryPct,"Advisory","OK"))))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IF($B24="","",cfgMakeupAdvisoryMin)</f>
        <v/>
      </c>
      <c r="I24" s="45">
        <f>IF($B24="","",MAX(0,$E24-$F24))</f>
        <v/>
      </c>
      <c r="J24" s="17">
        <f>IF($B24="","",IF($I24=0,"OK",IF($I24&gt;=cfgMakeupCriticalMin,"CRITICAL",IF($I24&gt;=cfgMakeupAdvisoryMin,"Advisory","Owes time"))))</f>
        <v/>
      </c>
      <c r="K24" s="17">
        <f>IF($B24="","",IF($I24=0,"Yes","No"))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6">
        <f>IF($B24="","",IF($P24=0,0,$O24/$P24))</f>
        <v/>
      </c>
      <c r="R24" s="17">
        <f>IF($B24="","",IF($Q24&gt;=1,"AT CAP (5 sessions)",IF($Q24&gt;=cfgAttendanceCriticalPct,"Critical",IF($Q24&gt;=cfgAttendanceAdvisoryPct,"Advisory","OK"))))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IF($B25="","",cfgMakeupAdvisoryMin)</f>
        <v/>
      </c>
      <c r="I25" s="45">
        <f>IF($B25="","",MAX(0,$E25-$F25))</f>
        <v/>
      </c>
      <c r="J25" s="17">
        <f>IF($B25="","",IF($I25=0,"OK",IF($I25&gt;=cfgMakeupCriticalMin,"CRITICAL",IF($I25&gt;=cfgMakeupAdvisoryMin,"Advisory","Owes time"))))</f>
        <v/>
      </c>
      <c r="K25" s="17">
        <f>IF($B25="","",IF($I25=0,"Yes","No"))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6">
        <f>IF($B25="","",IF($P25=0,0,$O25/$P25))</f>
        <v/>
      </c>
      <c r="R25" s="17">
        <f>IF($B25="","",IF($Q25&gt;=1,"AT CAP (5 sessions)",IF($Q25&gt;=cfgAttendanceCriticalPct,"Critical",IF($Q25&gt;=cfgAttendanceAdvisoryPct,"Advisory","OK"))))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IF($B26="","",cfgMakeupAdvisoryMin)</f>
        <v/>
      </c>
      <c r="I26" s="45">
        <f>IF($B26="","",MAX(0,$E26-$F26))</f>
        <v/>
      </c>
      <c r="J26" s="17">
        <f>IF($B26="","",IF($I26=0,"OK",IF($I26&gt;=cfgMakeupCriticalMin,"CRITICAL",IF($I26&gt;=cfgMakeupAdvisoryMin,"Advisory","Owes time"))))</f>
        <v/>
      </c>
      <c r="K26" s="17">
        <f>IF($B26="","",IF($I26=0,"Yes","No"))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6">
        <f>IF($B26="","",IF($P26=0,0,$O26/$P26))</f>
        <v/>
      </c>
      <c r="R26" s="17">
        <f>IF($B26="","",IF($Q26&gt;=1,"AT CAP (5 sessions)",IF($Q26&gt;=cfgAttendanceCriticalPct,"Critical",IF($Q26&gt;=cfgAttendanceAdvisoryPct,"Advisory","OK"))))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IF($B27="","",cfgMakeupAdvisoryMin)</f>
        <v/>
      </c>
      <c r="I27" s="45">
        <f>IF($B27="","",MAX(0,$E27-$F27))</f>
        <v/>
      </c>
      <c r="J27" s="17">
        <f>IF($B27="","",IF($I27=0,"OK",IF($I27&gt;=cfgMakeupCriticalMin,"CRITICAL",IF($I27&gt;=cfgMakeupAdvisoryMin,"Advisory","Owes time"))))</f>
        <v/>
      </c>
      <c r="K27" s="17">
        <f>IF($B27="","",IF($I27=0,"Yes","No"))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6">
        <f>IF($B27="","",IF($P27=0,0,$O27/$P27))</f>
        <v/>
      </c>
      <c r="R27" s="17">
        <f>IF($B27="","",IF($Q27&gt;=1,"AT CAP (5 sessions)",IF($Q27&gt;=cfgAttendanceCriticalPct,"Critical",IF($Q27&gt;=cfgAttendanceAdvisoryPct,"Advisory","OK"))))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IF($B28="","",cfgMakeupAdvisoryMin)</f>
        <v/>
      </c>
      <c r="I28" s="45">
        <f>IF($B28="","",MAX(0,$E28-$F28))</f>
        <v/>
      </c>
      <c r="J28" s="17">
        <f>IF($B28="","",IF($I28=0,"OK",IF($I28&gt;=cfgMakeupCriticalMin,"CRITICAL",IF($I28&gt;=cfgMakeupAdvisoryMin,"Advisory","Owes time"))))</f>
        <v/>
      </c>
      <c r="K28" s="17">
        <f>IF($B28="","",IF($I28=0,"Yes","No"))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6">
        <f>IF($B28="","",IF($P28=0,0,$O28/$P28))</f>
        <v/>
      </c>
      <c r="R28" s="17">
        <f>IF($B28="","",IF($Q28&gt;=1,"AT CAP (5 sessions)",IF($Q28&gt;=cfgAttendanceCriticalPct,"Critical",IF($Q28&gt;=cfgAttendanceAdvisoryPct,"Advisory","OK"))))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IF($B29="","",cfgMakeupAdvisoryMin)</f>
        <v/>
      </c>
      <c r="I29" s="45">
        <f>IF($B29="","",MAX(0,$E29-$F29))</f>
        <v/>
      </c>
      <c r="J29" s="17">
        <f>IF($B29="","",IF($I29=0,"OK",IF($I29&gt;=cfgMakeupCriticalMin,"CRITICAL",IF($I29&gt;=cfgMakeupAdvisoryMin,"Advisory","Owes time"))))</f>
        <v/>
      </c>
      <c r="K29" s="17">
        <f>IF($B29="","",IF($I29=0,"Yes","No"))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6">
        <f>IF($B29="","",IF($P29=0,0,$O29/$P29))</f>
        <v/>
      </c>
      <c r="R29" s="17">
        <f>IF($B29="","",IF($Q29&gt;=1,"AT CAP (5 sessions)",IF($Q29&gt;=cfgAttendanceCriticalPct,"Critical",IF($Q29&gt;=cfgAttendanceAdvisoryPct,"Advisory","OK"))))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IF($B30="","",cfgMakeupAdvisoryMin)</f>
        <v/>
      </c>
      <c r="I30" s="45">
        <f>IF($B30="","",MAX(0,$E30-$F30))</f>
        <v/>
      </c>
      <c r="J30" s="17">
        <f>IF($B30="","",IF($I30=0,"OK",IF($I30&gt;=cfgMakeupCriticalMin,"CRITICAL",IF($I30&gt;=cfgMakeupAdvisoryMin,"Advisory","Owes time"))))</f>
        <v/>
      </c>
      <c r="K30" s="17">
        <f>IF($B30="","",IF($I30=0,"Yes","No"))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6">
        <f>IF($B30="","",IF($P30=0,0,$O30/$P30))</f>
        <v/>
      </c>
      <c r="R30" s="17">
        <f>IF($B30="","",IF($Q30&gt;=1,"AT CAP (5 sessions)",IF($Q30&gt;=cfgAttendanceCriticalPct,"Critical",IF($Q30&gt;=cfgAttendanceAdvisoryPct,"Advisory","OK"))))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IF($B31="","",cfgMakeupAdvisoryMin)</f>
        <v/>
      </c>
      <c r="I31" s="45">
        <f>IF($B31="","",MAX(0,$E31-$F31))</f>
        <v/>
      </c>
      <c r="J31" s="17">
        <f>IF($B31="","",IF($I31=0,"OK",IF($I31&gt;=cfgMakeupCriticalMin,"CRITICAL",IF($I31&gt;=cfgMakeupAdvisoryMin,"Advisory","Owes time"))))</f>
        <v/>
      </c>
      <c r="K31" s="17">
        <f>IF($B31="","",IF($I31=0,"Yes","No"))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6">
        <f>IF($B31="","",IF($P31=0,0,$O31/$P31))</f>
        <v/>
      </c>
      <c r="R31" s="17">
        <f>IF($B31="","",IF($Q31&gt;=1,"AT CAP (5 sessions)",IF($Q31&gt;=cfgAttendanceCriticalPct,"Critical",IF($Q31&gt;=cfgAttendanceAdvisoryPct,"Advisory","OK"))))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IF($B32="","",cfgMakeupAdvisoryMin)</f>
        <v/>
      </c>
      <c r="I32" s="45">
        <f>IF($B32="","",MAX(0,$E32-$F32))</f>
        <v/>
      </c>
      <c r="J32" s="17">
        <f>IF($B32="","",IF($I32=0,"OK",IF($I32&gt;=cfgMakeupCriticalMin,"CRITICAL",IF($I32&gt;=cfgMakeupAdvisoryMin,"Advisory","Owes time"))))</f>
        <v/>
      </c>
      <c r="K32" s="17">
        <f>IF($B32="","",IF($I32=0,"Yes","No"))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6">
        <f>IF($B32="","",IF($P32=0,0,$O32/$P32))</f>
        <v/>
      </c>
      <c r="R32" s="17">
        <f>IF($B32="","",IF($Q32&gt;=1,"AT CAP (5 sessions)",IF($Q32&gt;=cfgAttendanceCriticalPct,"Critical",IF($Q32&gt;=cfgAttendanceAdvisoryPct,"Advisory","OK"))))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IF($B33="","",cfgMakeupAdvisoryMin)</f>
        <v/>
      </c>
      <c r="I33" s="45">
        <f>IF($B33="","",MAX(0,$E33-$F33))</f>
        <v/>
      </c>
      <c r="J33" s="17">
        <f>IF($B33="","",IF($I33=0,"OK",IF($I33&gt;=cfgMakeupCriticalMin,"CRITICAL",IF($I33&gt;=cfgMakeupAdvisoryMin,"Advisory","Owes time"))))</f>
        <v/>
      </c>
      <c r="K33" s="17">
        <f>IF($B33="","",IF($I33=0,"Yes","No"))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6">
        <f>IF($B33="","",IF($P33=0,0,$O33/$P33))</f>
        <v/>
      </c>
      <c r="R33" s="17">
        <f>IF($B33="","",IF($Q33&gt;=1,"AT CAP (5 sessions)",IF($Q33&gt;=cfgAttendanceCriticalPct,"Critical",IF($Q33&gt;=cfgAttendanceAdvisoryPct,"Advisory","OK"))))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IF($B34="","",cfgMakeupAdvisoryMin)</f>
        <v/>
      </c>
      <c r="I34" s="45">
        <f>IF($B34="","",MAX(0,$E34-$F34))</f>
        <v/>
      </c>
      <c r="J34" s="17">
        <f>IF($B34="","",IF($I34=0,"OK",IF($I34&gt;=cfgMakeupCriticalMin,"CRITICAL",IF($I34&gt;=cfgMakeupAdvisoryMin,"Advisory","Owes time"))))</f>
        <v/>
      </c>
      <c r="K34" s="17">
        <f>IF($B34="","",IF($I34=0,"Yes","No"))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6">
        <f>IF($B34="","",IF($P34=0,0,$O34/$P34))</f>
        <v/>
      </c>
      <c r="R34" s="17">
        <f>IF($B34="","",IF($Q34&gt;=1,"AT CAP (5 sessions)",IF($Q34&gt;=cfgAttendanceCriticalPct,"Critical",IF($Q34&gt;=cfgAttendanceAdvisoryPct,"Advisory","OK"))))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IF($B35="","",cfgMakeupAdvisoryMin)</f>
        <v/>
      </c>
      <c r="I35" s="45">
        <f>IF($B35="","",MAX(0,$E35-$F35))</f>
        <v/>
      </c>
      <c r="J35" s="17">
        <f>IF($B35="","",IF($I35=0,"OK",IF($I35&gt;=cfgMakeupCriticalMin,"CRITICAL",IF($I35&gt;=cfgMakeupAdvisoryMin,"Advisory","Owes time"))))</f>
        <v/>
      </c>
      <c r="K35" s="17">
        <f>IF($B35="","",IF($I35=0,"Yes","No"))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6">
        <f>IF($B35="","",IF($P35=0,0,$O35/$P35))</f>
        <v/>
      </c>
      <c r="R35" s="17">
        <f>IF($B35="","",IF($Q35&gt;=1,"AT CAP (5 sessions)",IF($Q35&gt;=cfgAttendanceCriticalPct,"Critical",IF($Q35&gt;=cfgAttendanceAdvisoryPct,"Advisory","OK"))))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IF($B36="","",cfgMakeupAdvisoryMin)</f>
        <v/>
      </c>
      <c r="I36" s="45">
        <f>IF($B36="","",MAX(0,$E36-$F36))</f>
        <v/>
      </c>
      <c r="J36" s="17">
        <f>IF($B36="","",IF($I36=0,"OK",IF($I36&gt;=cfgMakeupCriticalMin,"CRITICAL",IF($I36&gt;=cfgMakeupAdvisoryMin,"Advisory","Owes time"))))</f>
        <v/>
      </c>
      <c r="K36" s="17">
        <f>IF($B36="","",IF($I36=0,"Yes","No"))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6">
        <f>IF($B36="","",IF($P36=0,0,$O36/$P36))</f>
        <v/>
      </c>
      <c r="R36" s="17">
        <f>IF($B36="","",IF($Q36&gt;=1,"AT CAP (5 sessions)",IF($Q36&gt;=cfgAttendanceCriticalPct,"Critical",IF($Q36&gt;=cfgAttendanceAdvisoryPct,"Advisory","OK"))))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IF($B37="","",cfgMakeupAdvisoryMin)</f>
        <v/>
      </c>
      <c r="I37" s="45">
        <f>IF($B37="","",MAX(0,$E37-$F37))</f>
        <v/>
      </c>
      <c r="J37" s="17">
        <f>IF($B37="","",IF($I37=0,"OK",IF($I37&gt;=cfgMakeupCriticalMin,"CRITICAL",IF($I37&gt;=cfgMakeupAdvisoryMin,"Advisory","Owes time"))))</f>
        <v/>
      </c>
      <c r="K37" s="17">
        <f>IF($B37="","",IF($I37=0,"Yes","No"))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6">
        <f>IF($B37="","",IF($P37=0,0,$O37/$P37))</f>
        <v/>
      </c>
      <c r="R37" s="17">
        <f>IF($B37="","",IF($Q37&gt;=1,"AT CAP (5 sessions)",IF($Q37&gt;=cfgAttendanceCriticalPct,"Critical",IF($Q37&gt;=cfgAttendanceAdvisoryPct,"Advisory","OK"))))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IF($B38="","",cfgMakeupAdvisoryMin)</f>
        <v/>
      </c>
      <c r="I38" s="45">
        <f>IF($B38="","",MAX(0,$E38-$F38))</f>
        <v/>
      </c>
      <c r="J38" s="17">
        <f>IF($B38="","",IF($I38=0,"OK",IF($I38&gt;=cfgMakeupCriticalMin,"CRITICAL",IF($I38&gt;=cfgMakeupAdvisoryMin,"Advisory","Owes time"))))</f>
        <v/>
      </c>
      <c r="K38" s="17">
        <f>IF($B38="","",IF($I38=0,"Yes","No"))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6">
        <f>IF($B38="","",IF($P38=0,0,$O38/$P38))</f>
        <v/>
      </c>
      <c r="R38" s="17">
        <f>IF($B38="","",IF($Q38&gt;=1,"AT CAP (5 sessions)",IF($Q38&gt;=cfgAttendanceCriticalPct,"Critical",IF($Q38&gt;=cfgAttendanceAdvisoryPct,"Advisory","OK"))))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IF($B39="","",cfgMakeupAdvisoryMin)</f>
        <v/>
      </c>
      <c r="I39" s="45">
        <f>IF($B39="","",MAX(0,$E39-$F39))</f>
        <v/>
      </c>
      <c r="J39" s="17">
        <f>IF($B39="","",IF($I39=0,"OK",IF($I39&gt;=cfgMakeupCriticalMin,"CRITICAL",IF($I39&gt;=cfgMakeupAdvisoryMin,"Advisory","Owes time"))))</f>
        <v/>
      </c>
      <c r="K39" s="17">
        <f>IF($B39="","",IF($I39=0,"Yes","No"))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6">
        <f>IF($B39="","",IF($P39=0,0,$O39/$P39))</f>
        <v/>
      </c>
      <c r="R39" s="17">
        <f>IF($B39="","",IF($Q39&gt;=1,"AT CAP (5 sessions)",IF($Q39&gt;=cfgAttendanceCriticalPct,"Critical",IF($Q39&gt;=cfgAttendanceAdvisoryPct,"Advisory","OK"))))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IF($B40="","",cfgMakeupAdvisoryMin)</f>
        <v/>
      </c>
      <c r="I40" s="45">
        <f>IF($B40="","",MAX(0,$E40-$F40))</f>
        <v/>
      </c>
      <c r="J40" s="17">
        <f>IF($B40="","",IF($I40=0,"OK",IF($I40&gt;=cfgMakeupCriticalMin,"CRITICAL",IF($I40&gt;=cfgMakeupAdvisoryMin,"Advisory","Owes time"))))</f>
        <v/>
      </c>
      <c r="K40" s="17">
        <f>IF($B40="","",IF($I40=0,"Yes","No"))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6">
        <f>IF($B40="","",IF($P40=0,0,$O40/$P40))</f>
        <v/>
      </c>
      <c r="R40" s="17">
        <f>IF($B40="","",IF($Q40&gt;=1,"AT CAP (5 sessions)",IF($Q40&gt;=cfgAttendanceCriticalPct,"Critical",IF($Q40&gt;=cfgAttendanceAdvisoryPct,"Advisory","OK"))))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IF($B41="","",cfgMakeupAdvisoryMin)</f>
        <v/>
      </c>
      <c r="I41" s="45">
        <f>IF($B41="","",MAX(0,$E41-$F41))</f>
        <v/>
      </c>
      <c r="J41" s="17">
        <f>IF($B41="","",IF($I41=0,"OK",IF($I41&gt;=cfgMakeupCriticalMin,"CRITICAL",IF($I41&gt;=cfgMakeupAdvisoryMin,"Advisory","Owes time"))))</f>
        <v/>
      </c>
      <c r="K41" s="17">
        <f>IF($B41="","",IF($I41=0,"Yes","No"))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6">
        <f>IF($B41="","",IF($P41=0,0,$O41/$P41))</f>
        <v/>
      </c>
      <c r="R41" s="17">
        <f>IF($B41="","",IF($Q41&gt;=1,"AT CAP (5 sessions)",IF($Q41&gt;=cfgAttendanceCriticalPct,"Critical",IF($Q41&gt;=cfgAttendanceAdvisoryPct,"Advisory","OK"))))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IF($B42="","",cfgMakeupAdvisoryMin)</f>
        <v/>
      </c>
      <c r="I42" s="45">
        <f>IF($B42="","",MAX(0,$E42-$F42))</f>
        <v/>
      </c>
      <c r="J42" s="17">
        <f>IF($B42="","",IF($I42=0,"OK",IF($I42&gt;=cfgMakeupCriticalMin,"CRITICAL",IF($I42&gt;=cfgMakeupAdvisoryMin,"Advisory","Owes time"))))</f>
        <v/>
      </c>
      <c r="K42" s="17">
        <f>IF($B42="","",IF($I42=0,"Yes","No"))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6">
        <f>IF($B42="","",IF($P42=0,0,$O42/$P42))</f>
        <v/>
      </c>
      <c r="R42" s="17">
        <f>IF($B42="","",IF($Q42&gt;=1,"AT CAP (5 sessions)",IF($Q42&gt;=cfgAttendanceCriticalPct,"Critical",IF($Q42&gt;=cfgAttendanceAdvisoryPct,"Advisory","OK"))))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IF($B43="","",cfgMakeupAdvisoryMin)</f>
        <v/>
      </c>
      <c r="I43" s="45">
        <f>IF($B43="","",MAX(0,$E43-$F43))</f>
        <v/>
      </c>
      <c r="J43" s="17">
        <f>IF($B43="","",IF($I43=0,"OK",IF($I43&gt;=cfgMakeupCriticalMin,"CRITICAL",IF($I43&gt;=cfgMakeupAdvisoryMin,"Advisory","Owes time"))))</f>
        <v/>
      </c>
      <c r="K43" s="17">
        <f>IF($B43="","",IF($I43=0,"Yes","No"))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6">
        <f>IF($B43="","",IF($P43=0,0,$O43/$P43))</f>
        <v/>
      </c>
      <c r="R43" s="17">
        <f>IF($B43="","",IF($Q43&gt;=1,"AT CAP (5 sessions)",IF($Q43&gt;=cfgAttendanceCriticalPct,"Critical",IF($Q43&gt;=cfgAttendanceAdvisoryPct,"Advisory","OK"))))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IF($B44="","",cfgMakeupAdvisoryMin)</f>
        <v/>
      </c>
      <c r="I44" s="45">
        <f>IF($B44="","",MAX(0,$E44-$F44))</f>
        <v/>
      </c>
      <c r="J44" s="17">
        <f>IF($B44="","",IF($I44=0,"OK",IF($I44&gt;=cfgMakeupCriticalMin,"CRITICAL",IF($I44&gt;=cfgMakeupAdvisoryMin,"Advisory","Owes time"))))</f>
        <v/>
      </c>
      <c r="K44" s="17">
        <f>IF($B44="","",IF($I44=0,"Yes","No"))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6">
        <f>IF($B44="","",IF($P44=0,0,$O44/$P44))</f>
        <v/>
      </c>
      <c r="R44" s="17">
        <f>IF($B44="","",IF($Q44&gt;=1,"AT CAP (5 sessions)",IF($Q44&gt;=cfgAttendanceCriticalPct,"Critical",IF($Q44&gt;=cfgAttendanceAdvisoryPct,"Advisory","OK"))))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IF($B45="","",cfgMakeupAdvisoryMin)</f>
        <v/>
      </c>
      <c r="I45" s="45">
        <f>IF($B45="","",MAX(0,$E45-$F45))</f>
        <v/>
      </c>
      <c r="J45" s="17">
        <f>IF($B45="","",IF($I45=0,"OK",IF($I45&gt;=cfgMakeupCriticalMin,"CRITICAL",IF($I45&gt;=cfgMakeupAdvisoryMin,"Advisory","Owes time"))))</f>
        <v/>
      </c>
      <c r="K45" s="17">
        <f>IF($B45="","",IF($I45=0,"Yes","No"))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6">
        <f>IF($B45="","",IF($P45=0,0,$O45/$P45))</f>
        <v/>
      </c>
      <c r="R45" s="17">
        <f>IF($B45="","",IF($Q45&gt;=1,"AT CAP (5 sessions)",IF($Q45&gt;=cfgAttendanceCriticalPct,"Critical",IF($Q45&gt;=cfgAttendanceAdvisoryPct,"Advisory","OK"))))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IF($B46="","",cfgMakeupAdvisoryMin)</f>
        <v/>
      </c>
      <c r="I46" s="45">
        <f>IF($B46="","",MAX(0,$E46-$F46))</f>
        <v/>
      </c>
      <c r="J46" s="17">
        <f>IF($B46="","",IF($I46=0,"OK",IF($I46&gt;=cfgMakeupCriticalMin,"CRITICAL",IF($I46&gt;=cfgMakeupAdvisoryMin,"Advisory","Owes time"))))</f>
        <v/>
      </c>
      <c r="K46" s="17">
        <f>IF($B46="","",IF($I46=0,"Yes","No"))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6">
        <f>IF($B46="","",IF($P46=0,0,$O46/$P46))</f>
        <v/>
      </c>
      <c r="R46" s="17">
        <f>IF($B46="","",IF($Q46&gt;=1,"AT CAP (5 sessions)",IF($Q46&gt;=cfgAttendanceCriticalPct,"Critical",IF($Q46&gt;=cfgAttendanceAdvisoryPct,"Advisory","OK"))))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IF($B47="","",cfgMakeupAdvisoryMin)</f>
        <v/>
      </c>
      <c r="I47" s="45">
        <f>IF($B47="","",MAX(0,$E47-$F47))</f>
        <v/>
      </c>
      <c r="J47" s="17">
        <f>IF($B47="","",IF($I47=0,"OK",IF($I47&gt;=cfgMakeupCriticalMin,"CRITICAL",IF($I47&gt;=cfgMakeupAdvisoryMin,"Advisory","Owes time"))))</f>
        <v/>
      </c>
      <c r="K47" s="17">
        <f>IF($B47="","",IF($I47=0,"Yes","No"))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6">
        <f>IF($B47="","",IF($P47=0,0,$O47/$P47))</f>
        <v/>
      </c>
      <c r="R47" s="17">
        <f>IF($B47="","",IF($Q47&gt;=1,"AT CAP (5 sessions)",IF($Q47&gt;=cfgAttendanceCriticalPct,"Critical",IF($Q47&gt;=cfgAttendanceAdvisoryPct,"Advisory","OK"))))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IF($B48="","",cfgMakeupAdvisoryMin)</f>
        <v/>
      </c>
      <c r="I48" s="45">
        <f>IF($B48="","",MAX(0,$E48-$F48))</f>
        <v/>
      </c>
      <c r="J48" s="17">
        <f>IF($B48="","",IF($I48=0,"OK",IF($I48&gt;=cfgMakeupCriticalMin,"CRITICAL",IF($I48&gt;=cfgMakeupAdvisoryMin,"Advisory","Owes time"))))</f>
        <v/>
      </c>
      <c r="K48" s="17">
        <f>IF($B48="","",IF($I48=0,"Yes","No"))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6">
        <f>IF($B48="","",IF($P48=0,0,$O48/$P48))</f>
        <v/>
      </c>
      <c r="R48" s="17">
        <f>IF($B48="","",IF($Q48&gt;=1,"AT CAP (5 sessions)",IF($Q48&gt;=cfgAttendanceCriticalPct,"Critical",IF($Q48&gt;=cfgAttendanceAdvisoryPct,"Advisory","OK"))))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IF($B49="","",cfgMakeupAdvisoryMin)</f>
        <v/>
      </c>
      <c r="I49" s="45">
        <f>IF($B49="","",MAX(0,$E49-$F49))</f>
        <v/>
      </c>
      <c r="J49" s="17">
        <f>IF($B49="","",IF($I49=0,"OK",IF($I49&gt;=cfgMakeupCriticalMin,"CRITICAL",IF($I49&gt;=cfgMakeupAdvisoryMin,"Advisory","Owes time"))))</f>
        <v/>
      </c>
      <c r="K49" s="17">
        <f>IF($B49="","",IF($I49=0,"Yes","No"))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6">
        <f>IF($B49="","",IF($P49=0,0,$O49/$P49))</f>
        <v/>
      </c>
      <c r="R49" s="17">
        <f>IF($B49="","",IF($Q49&gt;=1,"AT CAP (5 sessions)",IF($Q49&gt;=cfgAttendanceCriticalPct,"Critical",IF($Q49&gt;=cfgAttendanceAdvisoryPct,"Advisory","OK"))))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IF($B50="","",cfgMakeupAdvisoryMin)</f>
        <v/>
      </c>
      <c r="I50" s="45">
        <f>IF($B50="","",MAX(0,$E50-$F50))</f>
        <v/>
      </c>
      <c r="J50" s="17">
        <f>IF($B50="","",IF($I50=0,"OK",IF($I50&gt;=cfgMakeupCriticalMin,"CRITICAL",IF($I50&gt;=cfgMakeupAdvisoryMin,"Advisory","Owes time"))))</f>
        <v/>
      </c>
      <c r="K50" s="17">
        <f>IF($B50="","",IF($I50=0,"Yes","No"))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6">
        <f>IF($B50="","",IF($P50=0,0,$O50/$P50))</f>
        <v/>
      </c>
      <c r="R50" s="17">
        <f>IF($B50="","",IF($Q50&gt;=1,"AT CAP (5 sessions)",IF($Q50&gt;=cfgAttendanceCriticalPct,"Critical",IF($Q50&gt;=cfgAttendanceAdvisoryPct,"Advisory","OK"))))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IF($B51="","",cfgMakeupAdvisoryMin)</f>
        <v/>
      </c>
      <c r="I51" s="45">
        <f>IF($B51="","",MAX(0,$E51-$F51))</f>
        <v/>
      </c>
      <c r="J51" s="17">
        <f>IF($B51="","",IF($I51=0,"OK",IF($I51&gt;=cfgMakeupCriticalMin,"CRITICAL",IF($I51&gt;=cfgMakeupAdvisoryMin,"Advisory","Owes time"))))</f>
        <v/>
      </c>
      <c r="K51" s="17">
        <f>IF($B51="","",IF($I51=0,"Yes","No"))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6">
        <f>IF($B51="","",IF($P51=0,0,$O51/$P51))</f>
        <v/>
      </c>
      <c r="R51" s="17">
        <f>IF($B51="","",IF($Q51&gt;=1,"AT CAP (5 sessions)",IF($Q51&gt;=cfgAttendanceCriticalPct,"Critical",IF($Q51&gt;=cfgAttendanceAdvisoryPct,"Advisory","OK"))))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IF($B52="","",cfgMakeupAdvisoryMin)</f>
        <v/>
      </c>
      <c r="I52" s="45">
        <f>IF($B52="","",MAX(0,$E52-$F52))</f>
        <v/>
      </c>
      <c r="J52" s="17">
        <f>IF($B52="","",IF($I52=0,"OK",IF($I52&gt;=cfgMakeupCriticalMin,"CRITICAL",IF($I52&gt;=cfgMakeupAdvisoryMin,"Advisory","Owes time"))))</f>
        <v/>
      </c>
      <c r="K52" s="17">
        <f>IF($B52="","",IF($I52=0,"Yes","No"))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6">
        <f>IF($B52="","",IF($P52=0,0,$O52/$P52))</f>
        <v/>
      </c>
      <c r="R52" s="17">
        <f>IF($B52="","",IF($Q52&gt;=1,"AT CAP (5 sessions)",IF($Q52&gt;=cfgAttendanceCriticalPct,"Critical",IF($Q52&gt;=cfgAttendanceAdvisoryPct,"Advisory","OK"))))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IF($B53="","",cfgMakeupAdvisoryMin)</f>
        <v/>
      </c>
      <c r="I53" s="45">
        <f>IF($B53="","",MAX(0,$E53-$F53))</f>
        <v/>
      </c>
      <c r="J53" s="17">
        <f>IF($B53="","",IF($I53=0,"OK",IF($I53&gt;=cfgMakeupCriticalMin,"CRITICAL",IF($I53&gt;=cfgMakeupAdvisoryMin,"Advisory","Owes time"))))</f>
        <v/>
      </c>
      <c r="K53" s="17">
        <f>IF($B53="","",IF($I53=0,"Yes","No"))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6">
        <f>IF($B53="","",IF($P53=0,0,$O53/$P53))</f>
        <v/>
      </c>
      <c r="R53" s="17">
        <f>IF($B53="","",IF($Q53&gt;=1,"AT CAP (5 sessions)",IF($Q53&gt;=cfgAttendanceCriticalPct,"Critical",IF($Q53&gt;=cfgAttendanceAdvisoryPct,"Advisory","OK"))))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IF($B54="","",cfgMakeupAdvisoryMin)</f>
        <v/>
      </c>
      <c r="I54" s="45">
        <f>IF($B54="","",MAX(0,$E54-$F54))</f>
        <v/>
      </c>
      <c r="J54" s="17">
        <f>IF($B54="","",IF($I54=0,"OK",IF($I54&gt;=cfgMakeupCriticalMin,"CRITICAL",IF($I54&gt;=cfgMakeupAdvisoryMin,"Advisory","Owes time"))))</f>
        <v/>
      </c>
      <c r="K54" s="17">
        <f>IF($B54="","",IF($I54=0,"Yes","No"))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6">
        <f>IF($B54="","",IF($P54=0,0,$O54/$P54))</f>
        <v/>
      </c>
      <c r="R54" s="17">
        <f>IF($B54="","",IF($Q54&gt;=1,"AT CAP (5 sessions)",IF($Q54&gt;=cfgAttendanceCriticalPct,"Critical",IF($Q54&gt;=cfgAttendanceAdvisoryPct,"Advisory","OK"))))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IF($B55="","",cfgMakeupAdvisoryMin)</f>
        <v/>
      </c>
      <c r="I55" s="45">
        <f>IF($B55="","",MAX(0,$E55-$F55))</f>
        <v/>
      </c>
      <c r="J55" s="17">
        <f>IF($B55="","",IF($I55=0,"OK",IF($I55&gt;=cfgMakeupCriticalMin,"CRITICAL",IF($I55&gt;=cfgMakeupAdvisoryMin,"Advisory","Owes time"))))</f>
        <v/>
      </c>
      <c r="K55" s="17">
        <f>IF($B55="","",IF($I55=0,"Yes","No"))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6">
        <f>IF($B55="","",IF($P55=0,0,$O55/$P55))</f>
        <v/>
      </c>
      <c r="R55" s="17">
        <f>IF($B55="","",IF($Q55&gt;=1,"AT CAP (5 sessions)",IF($Q55&gt;=cfgAttendanceCriticalPct,"Critical",IF($Q55&gt;=cfgAttendanceAdvisoryPct,"Advisory","OK"))))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U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IF($B6="","",IF(OR(N(sysAttendance!$I6)&gt;=cfgMakeupAdvisoryMin,sysAttendance!$Q6&gt;=cfgFlagAttendancePct),1,0))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IF($B7="","",IF(OR(N(sysAttendance!$I7)&gt;=cfgMakeupAdvisoryMin,sysAttendance!$Q7&gt;=cfgFlagAttendancePct),1,0))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IF($B8="","",IF(OR(N(sysAttendance!$I8)&gt;=cfgMakeupAdvisoryMin,sysAttendance!$Q8&gt;=cfgFlagAttendancePct),1,0))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IF($B9="","",IF(OR(N(sysAttendance!$I9)&gt;=cfgMakeupAdvisoryMin,sysAttendance!$Q9&gt;=cfgFlagAttendancePct),1,0))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IF($B10="","",IF(OR(N(sysAttendance!$I10)&gt;=cfgMakeupAdvisoryMin,sysAttendance!$Q10&gt;=cfgFlagAttendancePct),1,0))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IF($B11="","",IF(OR(N(sysAttendance!$I11)&gt;=cfgMakeupAdvisoryMin,sysAttendance!$Q11&gt;=cfgFlagAttendancePct),1,0))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IF($B12="","",IF(OR(N(sysAttendance!$I12)&gt;=cfgMakeupAdvisoryMin,sysAttendance!$Q12&gt;=cfgFlagAttendancePct),1,0))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IF($B13="","",IF(OR(N(sysAttendance!$I13)&gt;=cfgMakeupAdvisoryMin,sysAttendance!$Q13&gt;=cfgFlagAttendancePct),1,0))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IF($B14="","",IF(OR(N(sysAttendance!$I14)&gt;=cfgMakeupAdvisoryMin,sysAttendance!$Q14&gt;=cfgFlagAttendancePct),1,0))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IF($B15="","",IF(OR(N(sysAttendance!$I15)&gt;=cfgMakeupAdvisoryMin,sysAttendance!$Q15&gt;=cfgFlagAttendancePct),1,0))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IF($B16="","",IF(OR(N(sysAttendance!$I16)&gt;=cfgMakeupAdvisoryMin,sysAttendance!$Q16&gt;=cfgFlagAttendancePct),1,0))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IF($B17="","",IF(OR(N(sysAttendance!$I17)&gt;=cfgMakeupAdvisoryMin,sysAttendance!$Q17&gt;=cfgFlagAttendancePct),1,0))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IF($B18="","",IF(OR(N(sysAttendance!$I18)&gt;=cfgMakeupAdvisoryMin,sysAttendance!$Q18&gt;=cfgFlagAttendancePct),1,0))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IF($B19="","",IF(OR(N(sysAttendance!$I19)&gt;=cfgMakeupAdvisoryMin,sysAttendance!$Q19&gt;=cfgFlagAttendancePct),1,0))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IF($B20="","",IF(OR(N(sysAttendance!$I20)&gt;=cfgMakeupAdvisoryMin,sysAttendance!$Q20&gt;=cfgFlagAttendancePct),1,0))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IF($B21="","",IF(OR(N(sysAttendance!$I21)&gt;=cfgMakeupAdvisoryMin,sysAttendance!$Q21&gt;=cfgFlagAttendancePct),1,0))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IF($B22="","",IF(OR(N(sysAttendance!$I22)&gt;=cfgMakeupAdvisoryMin,sysAttendance!$Q22&gt;=cfgFlagAttendancePct),1,0))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IF($B23="","",IF(OR(N(sysAttendance!$I23)&gt;=cfgMakeupAdvisoryMin,sysAttendance!$Q23&gt;=cfgFlagAttendancePct),1,0))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IF($B24="","",IF(OR(N(sysAttendance!$I24)&gt;=cfgMakeupAdvisoryMin,sysAttendance!$Q24&gt;=cfgFlagAttendancePct),1,0))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IF($B25="","",IF(OR(N(sysAttendance!$I25)&gt;=cfgMakeupAdvisoryMin,sysAttendance!$Q25&gt;=cfgFlagAttendancePct),1,0))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IF($B26="","",IF(OR(N(sysAttendance!$I26)&gt;=cfgMakeupAdvisoryMin,sysAttendance!$Q26&gt;=cfgFlagAttendancePct),1,0))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IF($B27="","",IF(OR(N(sysAttendance!$I27)&gt;=cfgMakeupAdvisoryMin,sysAttendance!$Q27&gt;=cfgFlagAttendancePct),1,0))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IF($B28="","",IF(OR(N(sysAttendance!$I28)&gt;=cfgMakeupAdvisoryMin,sysAttendance!$Q28&gt;=cfgFlagAttendancePct),1,0))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IF($B29="","",IF(OR(N(sysAttendance!$I29)&gt;=cfgMakeupAdvisoryMin,sysAttendance!$Q29&gt;=cfgFlagAttendancePct),1,0))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IF($B30="","",IF(OR(N(sysAttendance!$I30)&gt;=cfgMakeupAdvisoryMin,sysAttendance!$Q30&gt;=cfgFlagAttendancePct),1,0))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IF($B31="","",IF(OR(N(sysAttendance!$I31)&gt;=cfgMakeupAdvisoryMin,sysAttendance!$Q31&gt;=cfgFlagAttendancePct),1,0))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IF($B32="","",IF(OR(N(sysAttendance!$I32)&gt;=cfgMakeupAdvisoryMin,sysAttendance!$Q32&gt;=cfgFlagAttendancePct),1,0))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IF($B33="","",IF(OR(N(sysAttendance!$I33)&gt;=cfgMakeupAdvisoryMin,sysAttendance!$Q33&gt;=cfgFlagAttendancePct),1,0))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IF($B34="","",IF(OR(N(sysAttendance!$I34)&gt;=cfgMakeupAdvisoryMin,sysAttendance!$Q34&gt;=cfgFlagAttendancePct),1,0))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IF($B35="","",IF(OR(N(sysAttendance!$I35)&gt;=cfgMakeupAdvisoryMin,sysAttendance!$Q35&gt;=cfgFlagAttendancePct),1,0))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IF($B36="","",IF(OR(N(sysAttendance!$I36)&gt;=cfgMakeupAdvisoryMin,sysAttendance!$Q36&gt;=cfgFlagAttendancePct),1,0))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IF($B37="","",IF(OR(N(sysAttendance!$I37)&gt;=cfgMakeupAdvisoryMin,sysAttendance!$Q37&gt;=cfgFlagAttendancePct),1,0))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IF($B38="","",IF(OR(N(sysAttendance!$I38)&gt;=cfgMakeupAdvisoryMin,sysAttendance!$Q38&gt;=cfgFlagAttendancePct),1,0))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IF($B39="","",IF(OR(N(sysAttendance!$I39)&gt;=cfgMakeupAdvisoryMin,sysAttendance!$Q39&gt;=cfgFlagAttendancePct),1,0))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IF($B40="","",IF(OR(N(sysAttendance!$I40)&gt;=cfgMakeupAdvisoryMin,sysAttendance!$Q40&gt;=cfgFlagAttendancePct),1,0))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IF($B41="","",IF(OR(N(sysAttendance!$I41)&gt;=cfgMakeupAdvisoryMin,sysAttendance!$Q41&gt;=cfgFlagAttendancePct),1,0))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IF($B42="","",IF(OR(N(sysAttendance!$I42)&gt;=cfgMakeupAdvisoryMin,sysAttendance!$Q42&gt;=cfgFlagAttendancePct),1,0))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IF($B43="","",IF(OR(N(sysAttendance!$I43)&gt;=cfgMakeupAdvisoryMin,sysAttendance!$Q43&gt;=cfgFlagAttendancePct),1,0))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IF($B44="","",IF(OR(N(sysAttendance!$I44)&gt;=cfgMakeupAdvisoryMin,sysAttendance!$Q44&gt;=cfgFlagAttendancePct),1,0))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IF($B45="","",IF(OR(N(sysAttendance!$I45)&gt;=cfgMakeupAdvisoryMin,sysAttendance!$Q45&gt;=cfgFlagAttendancePct),1,0))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IF($B46="","",IF(OR(N(sysAttendance!$I46)&gt;=cfgMakeupAdvisoryMin,sysAttendance!$Q46&gt;=cfgFlagAttendancePct),1,0))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IF($B47="","",IF(OR(N(sysAttendance!$I47)&gt;=cfgMakeupAdvisoryMin,sysAttendance!$Q47&gt;=cfgFlagAttendancePct),1,0))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IF($B48="","",IF(OR(N(sysAttendance!$I48)&gt;=cfgMakeupAdvisoryMin,sysAttendance!$Q48&gt;=cfgFlagAttendancePct),1,0))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IF($B49="","",IF(OR(N(sysAttendance!$I49)&gt;=cfgMakeupAdvisoryMin,sysAttendance!$Q49&gt;=cfgFlagAttendancePct),1,0))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IF($B50="","",IF(OR(N(sysAttendance!$I50)&gt;=cfgMakeupAdvisoryMin,sysAttendance!$Q50&gt;=cfgFlagAttendancePct),1,0))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IF($B51="","",IF(OR(N(sysAttendance!$I51)&gt;=cfgMakeupAdvisoryMin,sysAttendance!$Q51&gt;=cfgFlagAttendancePct),1,0))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IF($B52="","",IF(OR(N(sysAttendance!$I52)&gt;=cfgMakeupAdvisoryMin,sysAttendance!$Q52&gt;=cfgFlagAttendancePct),1,0))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IF($B53="","",IF(OR(N(sysAttendance!$I53)&gt;=cfgMakeupAdvisoryMin,sysAttendance!$Q53&gt;=cfgFlagAttendancePct),1,0))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IF($B54="","",IF(OR(N(sysAttendance!$I54)&gt;=cfgMakeupAdvisoryMin,sysAttendance!$Q54&gt;=cfgFlagAttendancePct),1,0))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IF($B55="","",IF(OR(N(sysAttendance!$I55)&gt;=cfgMakeupAdvisoryMin,sysAttendance!$Q55&gt;=cfgFlagAttendancePct),1,0))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X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c r="X5" s="12" t="inlineStr">
        <is>
          <t>Skills P/F</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IF($B6="","",IF(AND($E6="Yes",$F6="Yes",$G6="Yes",$H6="Yes",$I6="Yes",$J6="Yes",$K6="Yes",$L6="Yes",$Q6="Yes",$R6="Yes",$S6="Yes",$T6="Yes",$M6="No",$V6="Yes",$W6="Yes",$X6="Yes"),"Yes","No"))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","")&amp;IF($X6="Yes","",IF(SkillsCheck!$N6&lt;&gt;"","Skills FAILED ("&amp;SkillsCheck!$N6&amp;"); ","Skills not all passed ("&amp;SkillsCheck!$O6&amp;" not assessed);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c r="X6" s="17">
        <f>IF($B6="","",IF(SkillsCheck!$P6="No","No","Yes"))</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IF($B7="","",IF(AND($E7="Yes",$F7="Yes",$G7="Yes",$H7="Yes",$I7="Yes",$J7="Yes",$K7="Yes",$L7="Yes",$Q7="Yes",$R7="Yes",$S7="Yes",$T7="Yes",$M7="No",$V7="Yes",$W7="Yes",$X7="Yes"),"Yes","No"))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","")&amp;IF($X7="Yes","",IF(SkillsCheck!$N7&lt;&gt;"","Skills FAILED ("&amp;SkillsCheck!$N7&amp;"); ","Skills not all passed ("&amp;SkillsCheck!$O7&amp;" not assessed);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c r="X7" s="17">
        <f>IF($B7="","",IF(SkillsCheck!$P7="No","No","Yes"))</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IF($B8="","",IF(AND($E8="Yes",$F8="Yes",$G8="Yes",$H8="Yes",$I8="Yes",$J8="Yes",$K8="Yes",$L8="Yes",$Q8="Yes",$R8="Yes",$S8="Yes",$T8="Yes",$M8="No",$V8="Yes",$W8="Yes",$X8="Yes"),"Yes","No"))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","")&amp;IF($X8="Yes","",IF(SkillsCheck!$N8&lt;&gt;"","Skills FAILED ("&amp;SkillsCheck!$N8&amp;"); ","Skills not all passed ("&amp;SkillsCheck!$O8&amp;" not assessed);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c r="X8" s="17">
        <f>IF($B8="","",IF(SkillsCheck!$P8="No","No","Yes"))</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IF($B9="","",IF(AND($E9="Yes",$F9="Yes",$G9="Yes",$H9="Yes",$I9="Yes",$J9="Yes",$K9="Yes",$L9="Yes",$Q9="Yes",$R9="Yes",$S9="Yes",$T9="Yes",$M9="No",$V9="Yes",$W9="Yes",$X9="Yes"),"Yes","No"))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","")&amp;IF($X9="Yes","",IF(SkillsCheck!$N9&lt;&gt;"","Skills FAILED ("&amp;SkillsCheck!$N9&amp;"); ","Skills not all passed ("&amp;SkillsCheck!$O9&amp;" not assessed);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c r="X9" s="17">
        <f>IF($B9="","",IF(SkillsCheck!$P9="No","No","Yes"))</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IF($B10="","",IF(AND($E10="Yes",$F10="Yes",$G10="Yes",$H10="Yes",$I10="Yes",$J10="Yes",$K10="Yes",$L10="Yes",$Q10="Yes",$R10="Yes",$S10="Yes",$T10="Yes",$M10="No",$V10="Yes",$W10="Yes",$X10="Yes"),"Yes","No"))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","")&amp;IF($X10="Yes","",IF(SkillsCheck!$N10&lt;&gt;"","Skills FAILED ("&amp;SkillsCheck!$N10&amp;"); ","Skills not all passed ("&amp;SkillsCheck!$O10&amp;" not assessed);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c r="X10" s="17">
        <f>IF($B10="","",IF(SkillsCheck!$P10="No","No","Yes"))</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IF($B11="","",IF(AND($E11="Yes",$F11="Yes",$G11="Yes",$H11="Yes",$I11="Yes",$J11="Yes",$K11="Yes",$L11="Yes",$Q11="Yes",$R11="Yes",$S11="Yes",$T11="Yes",$M11="No",$V11="Yes",$W11="Yes",$X11="Yes"),"Yes","No"))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","")&amp;IF($X11="Yes","",IF(SkillsCheck!$N11&lt;&gt;"","Skills FAILED ("&amp;SkillsCheck!$N11&amp;"); ","Skills not all passed ("&amp;SkillsCheck!$O11&amp;" not assessed);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c r="X11" s="17">
        <f>IF($B11="","",IF(SkillsCheck!$P11="No","No","Yes"))</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IF($B12="","",IF(AND($E12="Yes",$F12="Yes",$G12="Yes",$H12="Yes",$I12="Yes",$J12="Yes",$K12="Yes",$L12="Yes",$Q12="Yes",$R12="Yes",$S12="Yes",$T12="Yes",$M12="No",$V12="Yes",$W12="Yes",$X12="Yes"),"Yes","No"))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","")&amp;IF($X12="Yes","",IF(SkillsCheck!$N12&lt;&gt;"","Skills FAILED ("&amp;SkillsCheck!$N12&amp;"); ","Skills not all passed ("&amp;SkillsCheck!$O12&amp;" not assessed);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c r="X12" s="17">
        <f>IF($B12="","",IF(SkillsCheck!$P12="No","No","Yes"))</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IF($B13="","",IF(AND($E13="Yes",$F13="Yes",$G13="Yes",$H13="Yes",$I13="Yes",$J13="Yes",$K13="Yes",$L13="Yes",$Q13="Yes",$R13="Yes",$S13="Yes",$T13="Yes",$M13="No",$V13="Yes",$W13="Yes",$X13="Yes"),"Yes","No"))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","")&amp;IF($X13="Yes","",IF(SkillsCheck!$N13&lt;&gt;"","Skills FAILED ("&amp;SkillsCheck!$N13&amp;"); ","Skills not all passed ("&amp;SkillsCheck!$O13&amp;" not assessed);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c r="X13" s="17">
        <f>IF($B13="","",IF(SkillsCheck!$P13="No","No","Yes"))</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IF($B14="","",IF(AND($E14="Yes",$F14="Yes",$G14="Yes",$H14="Yes",$I14="Yes",$J14="Yes",$K14="Yes",$L14="Yes",$Q14="Yes",$R14="Yes",$S14="Yes",$T14="Yes",$M14="No",$V14="Yes",$W14="Yes",$X14="Yes"),"Yes","No"))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","")&amp;IF($X14="Yes","",IF(SkillsCheck!$N14&lt;&gt;"","Skills FAILED ("&amp;SkillsCheck!$N14&amp;"); ","Skills not all passed ("&amp;SkillsCheck!$O14&amp;" not assessed);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c r="X14" s="17">
        <f>IF($B14="","",IF(SkillsCheck!$P14="No","No","Yes"))</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IF($B15="","",IF(AND($E15="Yes",$F15="Yes",$G15="Yes",$H15="Yes",$I15="Yes",$J15="Yes",$K15="Yes",$L15="Yes",$Q15="Yes",$R15="Yes",$S15="Yes",$T15="Yes",$M15="No",$V15="Yes",$W15="Yes",$X15="Yes"),"Yes","No"))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","")&amp;IF($X15="Yes","",IF(SkillsCheck!$N15&lt;&gt;"","Skills FAILED ("&amp;SkillsCheck!$N15&amp;"); ","Skills not all passed ("&amp;SkillsCheck!$O15&amp;" not assessed);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c r="X15" s="17">
        <f>IF($B15="","",IF(SkillsCheck!$P15="No","No","Yes"))</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IF($B16="","",IF(AND($E16="Yes",$F16="Yes",$G16="Yes",$H16="Yes",$I16="Yes",$J16="Yes",$K16="Yes",$L16="Yes",$Q16="Yes",$R16="Yes",$S16="Yes",$T16="Yes",$M16="No",$V16="Yes",$W16="Yes",$X16="Yes"),"Yes","No"))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","")&amp;IF($X16="Yes","",IF(SkillsCheck!$N16&lt;&gt;"","Skills FAILED ("&amp;SkillsCheck!$N16&amp;"); ","Skills not all passed ("&amp;SkillsCheck!$O16&amp;" not assessed);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c r="X16" s="17">
        <f>IF($B16="","",IF(SkillsCheck!$P16="No","No","Yes"))</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IF($B17="","",IF(AND($E17="Yes",$F17="Yes",$G17="Yes",$H17="Yes",$I17="Yes",$J17="Yes",$K17="Yes",$L17="Yes",$Q17="Yes",$R17="Yes",$S17="Yes",$T17="Yes",$M17="No",$V17="Yes",$W17="Yes",$X17="Yes"),"Yes","No"))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","")&amp;IF($X17="Yes","",IF(SkillsCheck!$N17&lt;&gt;"","Skills FAILED ("&amp;SkillsCheck!$N17&amp;"); ","Skills not all passed ("&amp;SkillsCheck!$O17&amp;" not assessed);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c r="X17" s="17">
        <f>IF($B17="","",IF(SkillsCheck!$P17="No","No","Yes"))</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IF($B18="","",IF(AND($E18="Yes",$F18="Yes",$G18="Yes",$H18="Yes",$I18="Yes",$J18="Yes",$K18="Yes",$L18="Yes",$Q18="Yes",$R18="Yes",$S18="Yes",$T18="Yes",$M18="No",$V18="Yes",$W18="Yes",$X18="Yes"),"Yes","No"))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","")&amp;IF($X18="Yes","",IF(SkillsCheck!$N18&lt;&gt;"","Skills FAILED ("&amp;SkillsCheck!$N18&amp;"); ","Skills not all passed ("&amp;SkillsCheck!$O18&amp;" not assessed);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c r="X18" s="17">
        <f>IF($B18="","",IF(SkillsCheck!$P18="No","No","Yes"))</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IF($B19="","",IF(AND($E19="Yes",$F19="Yes",$G19="Yes",$H19="Yes",$I19="Yes",$J19="Yes",$K19="Yes",$L19="Yes",$Q19="Yes",$R19="Yes",$S19="Yes",$T19="Yes",$M19="No",$V19="Yes",$W19="Yes",$X19="Yes"),"Yes","No"))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","")&amp;IF($X19="Yes","",IF(SkillsCheck!$N19&lt;&gt;"","Skills FAILED ("&amp;SkillsCheck!$N19&amp;"); ","Skills not all passed ("&amp;SkillsCheck!$O19&amp;" not assessed);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c r="X19" s="17">
        <f>IF($B19="","",IF(SkillsCheck!$P19="No","No","Yes"))</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IF($B20="","",IF(AND($E20="Yes",$F20="Yes",$G20="Yes",$H20="Yes",$I20="Yes",$J20="Yes",$K20="Yes",$L20="Yes",$Q20="Yes",$R20="Yes",$S20="Yes",$T20="Yes",$M20="No",$V20="Yes",$W20="Yes",$X20="Yes"),"Yes","No"))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","")&amp;IF($X20="Yes","",IF(SkillsCheck!$N20&lt;&gt;"","Skills FAILED ("&amp;SkillsCheck!$N20&amp;"); ","Skills not all passed ("&amp;SkillsCheck!$O20&amp;" not assessed);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c r="X20" s="17">
        <f>IF($B20="","",IF(SkillsCheck!$P20="No","No","Yes"))</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IF($B21="","",IF(AND($E21="Yes",$F21="Yes",$G21="Yes",$H21="Yes",$I21="Yes",$J21="Yes",$K21="Yes",$L21="Yes",$Q21="Yes",$R21="Yes",$S21="Yes",$T21="Yes",$M21="No",$V21="Yes",$W21="Yes",$X21="Yes"),"Yes","No"))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","")&amp;IF($X21="Yes","",IF(SkillsCheck!$N21&lt;&gt;"","Skills FAILED ("&amp;SkillsCheck!$N21&amp;"); ","Skills not all passed ("&amp;SkillsCheck!$O21&amp;" not assessed);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c r="X21" s="17">
        <f>IF($B21="","",IF(SkillsCheck!$P21="No","No","Yes"))</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IF($B22="","",IF(AND($E22="Yes",$F22="Yes",$G22="Yes",$H22="Yes",$I22="Yes",$J22="Yes",$K22="Yes",$L22="Yes",$Q22="Yes",$R22="Yes",$S22="Yes",$T22="Yes",$M22="No",$V22="Yes",$W22="Yes",$X22="Yes"),"Yes","No"))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","")&amp;IF($X22="Yes","",IF(SkillsCheck!$N22&lt;&gt;"","Skills FAILED ("&amp;SkillsCheck!$N22&amp;"); ","Skills not all passed ("&amp;SkillsCheck!$O22&amp;" not assessed);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c r="X22" s="17">
        <f>IF($B22="","",IF(SkillsCheck!$P22="No","No","Yes"))</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IF($B23="","",IF(AND($E23="Yes",$F23="Yes",$G23="Yes",$H23="Yes",$I23="Yes",$J23="Yes",$K23="Yes",$L23="Yes",$Q23="Yes",$R23="Yes",$S23="Yes",$T23="Yes",$M23="No",$V23="Yes",$W23="Yes",$X23="Yes"),"Yes","No"))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","")&amp;IF($X23="Yes","",IF(SkillsCheck!$N23&lt;&gt;"","Skills FAILED ("&amp;SkillsCheck!$N23&amp;"); ","Skills not all passed ("&amp;SkillsCheck!$O23&amp;" not assessed);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c r="X23" s="17">
        <f>IF($B23="","",IF(SkillsCheck!$P23="No","No","Yes"))</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IF($B24="","",IF(AND($E24="Yes",$F24="Yes",$G24="Yes",$H24="Yes",$I24="Yes",$J24="Yes",$K24="Yes",$L24="Yes",$Q24="Yes",$R24="Yes",$S24="Yes",$T24="Yes",$M24="No",$V24="Yes",$W24="Yes",$X24="Yes"),"Yes","No"))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","")&amp;IF($X24="Yes","",IF(SkillsCheck!$N24&lt;&gt;"","Skills FAILED ("&amp;SkillsCheck!$N24&amp;"); ","Skills not all passed ("&amp;SkillsCheck!$O24&amp;" not assessed);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c r="X24" s="17">
        <f>IF($B24="","",IF(SkillsCheck!$P24="No","No","Yes"))</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IF($B25="","",IF(AND($E25="Yes",$F25="Yes",$G25="Yes",$H25="Yes",$I25="Yes",$J25="Yes",$K25="Yes",$L25="Yes",$Q25="Yes",$R25="Yes",$S25="Yes",$T25="Yes",$M25="No",$V25="Yes",$W25="Yes",$X25="Yes"),"Yes","No"))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","")&amp;IF($X25="Yes","",IF(SkillsCheck!$N25&lt;&gt;"","Skills FAILED ("&amp;SkillsCheck!$N25&amp;"); ","Skills not all passed ("&amp;SkillsCheck!$O25&amp;" not assessed);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c r="X25" s="17">
        <f>IF($B25="","",IF(SkillsCheck!$P25="No","No","Yes"))</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IF($B26="","",IF(AND($E26="Yes",$F26="Yes",$G26="Yes",$H26="Yes",$I26="Yes",$J26="Yes",$K26="Yes",$L26="Yes",$Q26="Yes",$R26="Yes",$S26="Yes",$T26="Yes",$M26="No",$V26="Yes",$W26="Yes",$X26="Yes"),"Yes","No"))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","")&amp;IF($X26="Yes","",IF(SkillsCheck!$N26&lt;&gt;"","Skills FAILED ("&amp;SkillsCheck!$N26&amp;"); ","Skills not all passed ("&amp;SkillsCheck!$O26&amp;" not assessed);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c r="X26" s="17">
        <f>IF($B26="","",IF(SkillsCheck!$P26="No","No","Yes"))</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IF($B27="","",IF(AND($E27="Yes",$F27="Yes",$G27="Yes",$H27="Yes",$I27="Yes",$J27="Yes",$K27="Yes",$L27="Yes",$Q27="Yes",$R27="Yes",$S27="Yes",$T27="Yes",$M27="No",$V27="Yes",$W27="Yes",$X27="Yes"),"Yes","No"))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","")&amp;IF($X27="Yes","",IF(SkillsCheck!$N27&lt;&gt;"","Skills FAILED ("&amp;SkillsCheck!$N27&amp;"); ","Skills not all passed ("&amp;SkillsCheck!$O27&amp;" not assessed);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c r="X27" s="17">
        <f>IF($B27="","",IF(SkillsCheck!$P27="No","No","Yes"))</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IF($B28="","",IF(AND($E28="Yes",$F28="Yes",$G28="Yes",$H28="Yes",$I28="Yes",$J28="Yes",$K28="Yes",$L28="Yes",$Q28="Yes",$R28="Yes",$S28="Yes",$T28="Yes",$M28="No",$V28="Yes",$W28="Yes",$X28="Yes"),"Yes","No"))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","")&amp;IF($X28="Yes","",IF(SkillsCheck!$N28&lt;&gt;"","Skills FAILED ("&amp;SkillsCheck!$N28&amp;"); ","Skills not all passed ("&amp;SkillsCheck!$O28&amp;" not assessed);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c r="X28" s="17">
        <f>IF($B28="","",IF(SkillsCheck!$P28="No","No","Yes"))</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IF($B29="","",IF(AND($E29="Yes",$F29="Yes",$G29="Yes",$H29="Yes",$I29="Yes",$J29="Yes",$K29="Yes",$L29="Yes",$Q29="Yes",$R29="Yes",$S29="Yes",$T29="Yes",$M29="No",$V29="Yes",$W29="Yes",$X29="Yes"),"Yes","No"))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","")&amp;IF($X29="Yes","",IF(SkillsCheck!$N29&lt;&gt;"","Skills FAILED ("&amp;SkillsCheck!$N29&amp;"); ","Skills not all passed ("&amp;SkillsCheck!$O29&amp;" not assessed);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c r="X29" s="17">
        <f>IF($B29="","",IF(SkillsCheck!$P29="No","No","Yes"))</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IF($B30="","",IF(AND($E30="Yes",$F30="Yes",$G30="Yes",$H30="Yes",$I30="Yes",$J30="Yes",$K30="Yes",$L30="Yes",$Q30="Yes",$R30="Yes",$S30="Yes",$T30="Yes",$M30="No",$V30="Yes",$W30="Yes",$X30="Yes"),"Yes","No"))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","")&amp;IF($X30="Yes","",IF(SkillsCheck!$N30&lt;&gt;"","Skills FAILED ("&amp;SkillsCheck!$N30&amp;"); ","Skills not all passed ("&amp;SkillsCheck!$O30&amp;" not assessed);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c r="X30" s="17">
        <f>IF($B30="","",IF(SkillsCheck!$P30="No","No","Yes"))</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IF($B31="","",IF(AND($E31="Yes",$F31="Yes",$G31="Yes",$H31="Yes",$I31="Yes",$J31="Yes",$K31="Yes",$L31="Yes",$Q31="Yes",$R31="Yes",$S31="Yes",$T31="Yes",$M31="No",$V31="Yes",$W31="Yes",$X31="Yes"),"Yes","No"))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","")&amp;IF($X31="Yes","",IF(SkillsCheck!$N31&lt;&gt;"","Skills FAILED ("&amp;SkillsCheck!$N31&amp;"); ","Skills not all passed ("&amp;SkillsCheck!$O31&amp;" not assessed);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c r="X31" s="17">
        <f>IF($B31="","",IF(SkillsCheck!$P31="No","No","Yes"))</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IF($B32="","",IF(AND($E32="Yes",$F32="Yes",$G32="Yes",$H32="Yes",$I32="Yes",$J32="Yes",$K32="Yes",$L32="Yes",$Q32="Yes",$R32="Yes",$S32="Yes",$T32="Yes",$M32="No",$V32="Yes",$W32="Yes",$X32="Yes"),"Yes","No"))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","")&amp;IF($X32="Yes","",IF(SkillsCheck!$N32&lt;&gt;"","Skills FAILED ("&amp;SkillsCheck!$N32&amp;"); ","Skills not all passed ("&amp;SkillsCheck!$O32&amp;" not assessed);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c r="X32" s="17">
        <f>IF($B32="","",IF(SkillsCheck!$P32="No","No","Yes"))</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IF($B33="","",IF(AND($E33="Yes",$F33="Yes",$G33="Yes",$H33="Yes",$I33="Yes",$J33="Yes",$K33="Yes",$L33="Yes",$Q33="Yes",$R33="Yes",$S33="Yes",$T33="Yes",$M33="No",$V33="Yes",$W33="Yes",$X33="Yes"),"Yes","No"))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","")&amp;IF($X33="Yes","",IF(SkillsCheck!$N33&lt;&gt;"","Skills FAILED ("&amp;SkillsCheck!$N33&amp;"); ","Skills not all passed ("&amp;SkillsCheck!$O33&amp;" not assessed);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c r="X33" s="17">
        <f>IF($B33="","",IF(SkillsCheck!$P33="No","No","Yes"))</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IF($B34="","",IF(AND($E34="Yes",$F34="Yes",$G34="Yes",$H34="Yes",$I34="Yes",$J34="Yes",$K34="Yes",$L34="Yes",$Q34="Yes",$R34="Yes",$S34="Yes",$T34="Yes",$M34="No",$V34="Yes",$W34="Yes",$X34="Yes"),"Yes","No"))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","")&amp;IF($X34="Yes","",IF(SkillsCheck!$N34&lt;&gt;"","Skills FAILED ("&amp;SkillsCheck!$N34&amp;"); ","Skills not all passed ("&amp;SkillsCheck!$O34&amp;" not assessed);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c r="X34" s="17">
        <f>IF($B34="","",IF(SkillsCheck!$P34="No","No","Yes"))</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IF($B35="","",IF(AND($E35="Yes",$F35="Yes",$G35="Yes",$H35="Yes",$I35="Yes",$J35="Yes",$K35="Yes",$L35="Yes",$Q35="Yes",$R35="Yes",$S35="Yes",$T35="Yes",$M35="No",$V35="Yes",$W35="Yes",$X35="Yes"),"Yes","No"))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","")&amp;IF($X35="Yes","",IF(SkillsCheck!$N35&lt;&gt;"","Skills FAILED ("&amp;SkillsCheck!$N35&amp;"); ","Skills not all passed ("&amp;SkillsCheck!$O35&amp;" not assessed);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c r="X35" s="17">
        <f>IF($B35="","",IF(SkillsCheck!$P35="No","No","Yes"))</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IF($B36="","",IF(AND($E36="Yes",$F36="Yes",$G36="Yes",$H36="Yes",$I36="Yes",$J36="Yes",$K36="Yes",$L36="Yes",$Q36="Yes",$R36="Yes",$S36="Yes",$T36="Yes",$M36="No",$V36="Yes",$W36="Yes",$X36="Yes"),"Yes","No"))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","")&amp;IF($X36="Yes","",IF(SkillsCheck!$N36&lt;&gt;"","Skills FAILED ("&amp;SkillsCheck!$N36&amp;"); ","Skills not all passed ("&amp;SkillsCheck!$O36&amp;" not assessed);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c r="X36" s="17">
        <f>IF($B36="","",IF(SkillsCheck!$P36="No","No","Yes"))</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IF($B37="","",IF(AND($E37="Yes",$F37="Yes",$G37="Yes",$H37="Yes",$I37="Yes",$J37="Yes",$K37="Yes",$L37="Yes",$Q37="Yes",$R37="Yes",$S37="Yes",$T37="Yes",$M37="No",$V37="Yes",$W37="Yes",$X37="Yes"),"Yes","No"))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","")&amp;IF($X37="Yes","",IF(SkillsCheck!$N37&lt;&gt;"","Skills FAILED ("&amp;SkillsCheck!$N37&amp;"); ","Skills not all passed ("&amp;SkillsCheck!$O37&amp;" not assessed);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c r="X37" s="17">
        <f>IF($B37="","",IF(SkillsCheck!$P37="No","No","Yes"))</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IF($B38="","",IF(AND($E38="Yes",$F38="Yes",$G38="Yes",$H38="Yes",$I38="Yes",$J38="Yes",$K38="Yes",$L38="Yes",$Q38="Yes",$R38="Yes",$S38="Yes",$T38="Yes",$M38="No",$V38="Yes",$W38="Yes",$X38="Yes"),"Yes","No"))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","")&amp;IF($X38="Yes","",IF(SkillsCheck!$N38&lt;&gt;"","Skills FAILED ("&amp;SkillsCheck!$N38&amp;"); ","Skills not all passed ("&amp;SkillsCheck!$O38&amp;" not assessed);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c r="X38" s="17">
        <f>IF($B38="","",IF(SkillsCheck!$P38="No","No","Yes"))</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IF($B39="","",IF(AND($E39="Yes",$F39="Yes",$G39="Yes",$H39="Yes",$I39="Yes",$J39="Yes",$K39="Yes",$L39="Yes",$Q39="Yes",$R39="Yes",$S39="Yes",$T39="Yes",$M39="No",$V39="Yes",$W39="Yes",$X39="Yes"),"Yes","No"))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","")&amp;IF($X39="Yes","",IF(SkillsCheck!$N39&lt;&gt;"","Skills FAILED ("&amp;SkillsCheck!$N39&amp;"); ","Skills not all passed ("&amp;SkillsCheck!$O39&amp;" not assessed);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c r="X39" s="17">
        <f>IF($B39="","",IF(SkillsCheck!$P39="No","No","Yes"))</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IF($B40="","",IF(AND($E40="Yes",$F40="Yes",$G40="Yes",$H40="Yes",$I40="Yes",$J40="Yes",$K40="Yes",$L40="Yes",$Q40="Yes",$R40="Yes",$S40="Yes",$T40="Yes",$M40="No",$V40="Yes",$W40="Yes",$X40="Yes"),"Yes","No"))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","")&amp;IF($X40="Yes","",IF(SkillsCheck!$N40&lt;&gt;"","Skills FAILED ("&amp;SkillsCheck!$N40&amp;"); ","Skills not all passed ("&amp;SkillsCheck!$O40&amp;" not assessed);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c r="X40" s="17">
        <f>IF($B40="","",IF(SkillsCheck!$P40="No","No","Yes"))</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IF($B41="","",IF(AND($E41="Yes",$F41="Yes",$G41="Yes",$H41="Yes",$I41="Yes",$J41="Yes",$K41="Yes",$L41="Yes",$Q41="Yes",$R41="Yes",$S41="Yes",$T41="Yes",$M41="No",$V41="Yes",$W41="Yes",$X41="Yes"),"Yes","No"))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","")&amp;IF($X41="Yes","",IF(SkillsCheck!$N41&lt;&gt;"","Skills FAILED ("&amp;SkillsCheck!$N41&amp;"); ","Skills not all passed ("&amp;SkillsCheck!$O41&amp;" not assessed);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c r="X41" s="17">
        <f>IF($B41="","",IF(SkillsCheck!$P41="No","No","Yes"))</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IF($B42="","",IF(AND($E42="Yes",$F42="Yes",$G42="Yes",$H42="Yes",$I42="Yes",$J42="Yes",$K42="Yes",$L42="Yes",$Q42="Yes",$R42="Yes",$S42="Yes",$T42="Yes",$M42="No",$V42="Yes",$W42="Yes",$X42="Yes"),"Yes","No"))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","")&amp;IF($X42="Yes","",IF(SkillsCheck!$N42&lt;&gt;"","Skills FAILED ("&amp;SkillsCheck!$N42&amp;"); ","Skills not all passed ("&amp;SkillsCheck!$O42&amp;" not assessed);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c r="X42" s="17">
        <f>IF($B42="","",IF(SkillsCheck!$P42="No","No","Yes"))</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IF($B43="","",IF(AND($E43="Yes",$F43="Yes",$G43="Yes",$H43="Yes",$I43="Yes",$J43="Yes",$K43="Yes",$L43="Yes",$Q43="Yes",$R43="Yes",$S43="Yes",$T43="Yes",$M43="No",$V43="Yes",$W43="Yes",$X43="Yes"),"Yes","No"))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","")&amp;IF($X43="Yes","",IF(SkillsCheck!$N43&lt;&gt;"","Skills FAILED ("&amp;SkillsCheck!$N43&amp;"); ","Skills not all passed ("&amp;SkillsCheck!$O43&amp;" not assessed);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c r="X43" s="17">
        <f>IF($B43="","",IF(SkillsCheck!$P43="No","No","Yes"))</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IF($B44="","",IF(AND($E44="Yes",$F44="Yes",$G44="Yes",$H44="Yes",$I44="Yes",$J44="Yes",$K44="Yes",$L44="Yes",$Q44="Yes",$R44="Yes",$S44="Yes",$T44="Yes",$M44="No",$V44="Yes",$W44="Yes",$X44="Yes"),"Yes","No"))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","")&amp;IF($X44="Yes","",IF(SkillsCheck!$N44&lt;&gt;"","Skills FAILED ("&amp;SkillsCheck!$N44&amp;"); ","Skills not all passed ("&amp;SkillsCheck!$O44&amp;" not assessed);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c r="X44" s="17">
        <f>IF($B44="","",IF(SkillsCheck!$P44="No","No","Yes"))</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IF($B45="","",IF(AND($E45="Yes",$F45="Yes",$G45="Yes",$H45="Yes",$I45="Yes",$J45="Yes",$K45="Yes",$L45="Yes",$Q45="Yes",$R45="Yes",$S45="Yes",$T45="Yes",$M45="No",$V45="Yes",$W45="Yes",$X45="Yes"),"Yes","No"))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","")&amp;IF($X45="Yes","",IF(SkillsCheck!$N45&lt;&gt;"","Skills FAILED ("&amp;SkillsCheck!$N45&amp;"); ","Skills not all passed ("&amp;SkillsCheck!$O45&amp;" not assessed);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c r="X45" s="17">
        <f>IF($B45="","",IF(SkillsCheck!$P45="No","No","Yes"))</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IF($B46="","",IF(AND($E46="Yes",$F46="Yes",$G46="Yes",$H46="Yes",$I46="Yes",$J46="Yes",$K46="Yes",$L46="Yes",$Q46="Yes",$R46="Yes",$S46="Yes",$T46="Yes",$M46="No",$V46="Yes",$W46="Yes",$X46="Yes"),"Yes","No"))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","")&amp;IF($X46="Yes","",IF(SkillsCheck!$N46&lt;&gt;"","Skills FAILED ("&amp;SkillsCheck!$N46&amp;"); ","Skills not all passed ("&amp;SkillsCheck!$O46&amp;" not assessed);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c r="X46" s="17">
        <f>IF($B46="","",IF(SkillsCheck!$P46="No","No","Yes"))</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IF($B47="","",IF(AND($E47="Yes",$F47="Yes",$G47="Yes",$H47="Yes",$I47="Yes",$J47="Yes",$K47="Yes",$L47="Yes",$Q47="Yes",$R47="Yes",$S47="Yes",$T47="Yes",$M47="No",$V47="Yes",$W47="Yes",$X47="Yes"),"Yes","No"))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","")&amp;IF($X47="Yes","",IF(SkillsCheck!$N47&lt;&gt;"","Skills FAILED ("&amp;SkillsCheck!$N47&amp;"); ","Skills not all passed ("&amp;SkillsCheck!$O47&amp;" not assessed);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c r="X47" s="17">
        <f>IF($B47="","",IF(SkillsCheck!$P47="No","No","Yes"))</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IF($B48="","",IF(AND($E48="Yes",$F48="Yes",$G48="Yes",$H48="Yes",$I48="Yes",$J48="Yes",$K48="Yes",$L48="Yes",$Q48="Yes",$R48="Yes",$S48="Yes",$T48="Yes",$M48="No",$V48="Yes",$W48="Yes",$X48="Yes"),"Yes","No"))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","")&amp;IF($X48="Yes","",IF(SkillsCheck!$N48&lt;&gt;"","Skills FAILED ("&amp;SkillsCheck!$N48&amp;"); ","Skills not all passed ("&amp;SkillsCheck!$O48&amp;" not assessed);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c r="X48" s="17">
        <f>IF($B48="","",IF(SkillsCheck!$P48="No","No","Yes"))</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IF($B49="","",IF(AND($E49="Yes",$F49="Yes",$G49="Yes",$H49="Yes",$I49="Yes",$J49="Yes",$K49="Yes",$L49="Yes",$Q49="Yes",$R49="Yes",$S49="Yes",$T49="Yes",$M49="No",$V49="Yes",$W49="Yes",$X49="Yes"),"Yes","No"))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","")&amp;IF($X49="Yes","",IF(SkillsCheck!$N49&lt;&gt;"","Skills FAILED ("&amp;SkillsCheck!$N49&amp;"); ","Skills not all passed ("&amp;SkillsCheck!$O49&amp;" not assessed);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c r="X49" s="17">
        <f>IF($B49="","",IF(SkillsCheck!$P49="No","No","Yes"))</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IF($B50="","",IF(AND($E50="Yes",$F50="Yes",$G50="Yes",$H50="Yes",$I50="Yes",$J50="Yes",$K50="Yes",$L50="Yes",$Q50="Yes",$R50="Yes",$S50="Yes",$T50="Yes",$M50="No",$V50="Yes",$W50="Yes",$X50="Yes"),"Yes","No"))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","")&amp;IF($X50="Yes","",IF(SkillsCheck!$N50&lt;&gt;"","Skills FAILED ("&amp;SkillsCheck!$N50&amp;"); ","Skills not all passed ("&amp;SkillsCheck!$O50&amp;" not assessed);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c r="X50" s="17">
        <f>IF($B50="","",IF(SkillsCheck!$P50="No","No","Yes"))</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IF($B51="","",IF(AND($E51="Yes",$F51="Yes",$G51="Yes",$H51="Yes",$I51="Yes",$J51="Yes",$K51="Yes",$L51="Yes",$Q51="Yes",$R51="Yes",$S51="Yes",$T51="Yes",$M51="No",$V51="Yes",$W51="Yes",$X51="Yes"),"Yes","No"))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","")&amp;IF($X51="Yes","",IF(SkillsCheck!$N51&lt;&gt;"","Skills FAILED ("&amp;SkillsCheck!$N51&amp;"); ","Skills not all passed ("&amp;SkillsCheck!$O51&amp;" not assessed);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c r="X51" s="17">
        <f>IF($B51="","",IF(SkillsCheck!$P51="No","No","Yes"))</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IF($B52="","",IF(AND($E52="Yes",$F52="Yes",$G52="Yes",$H52="Yes",$I52="Yes",$J52="Yes",$K52="Yes",$L52="Yes",$Q52="Yes",$R52="Yes",$S52="Yes",$T52="Yes",$M52="No",$V52="Yes",$W52="Yes",$X52="Yes"),"Yes","No"))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","")&amp;IF($X52="Yes","",IF(SkillsCheck!$N52&lt;&gt;"","Skills FAILED ("&amp;SkillsCheck!$N52&amp;"); ","Skills not all passed ("&amp;SkillsCheck!$O52&amp;" not assessed);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c r="X52" s="17">
        <f>IF($B52="","",IF(SkillsCheck!$P52="No","No","Yes"))</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IF($B53="","",IF(AND($E53="Yes",$F53="Yes",$G53="Yes",$H53="Yes",$I53="Yes",$J53="Yes",$K53="Yes",$L53="Yes",$Q53="Yes",$R53="Yes",$S53="Yes",$T53="Yes",$M53="No",$V53="Yes",$W53="Yes",$X53="Yes"),"Yes","No"))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","")&amp;IF($X53="Yes","",IF(SkillsCheck!$N53&lt;&gt;"","Skills FAILED ("&amp;SkillsCheck!$N53&amp;"); ","Skills not all passed ("&amp;SkillsCheck!$O53&amp;" not assessed);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c r="X53" s="17">
        <f>IF($B53="","",IF(SkillsCheck!$P53="No","No","Yes"))</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IF($B54="","",IF(AND($E54="Yes",$F54="Yes",$G54="Yes",$H54="Yes",$I54="Yes",$J54="Yes",$K54="Yes",$L54="Yes",$Q54="Yes",$R54="Yes",$S54="Yes",$T54="Yes",$M54="No",$V54="Yes",$W54="Yes",$X54="Yes"),"Yes","No"))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","")&amp;IF($X54="Yes","",IF(SkillsCheck!$N54&lt;&gt;"","Skills FAILED ("&amp;SkillsCheck!$N54&amp;"); ","Skills not all passed ("&amp;SkillsCheck!$O54&amp;" not assessed);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c r="X54" s="17">
        <f>IF($B54="","",IF(SkillsCheck!$P54="No","No","Yes"))</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IF($B55="","",IF(AND($E55="Yes",$F55="Yes",$G55="Yes",$H55="Yes",$I55="Yes",$J55="Yes",$K55="Yes",$L55="Yes",$Q55="Yes",$R55="Yes",$S55="Yes",$T55="Yes",$M55="No",$V55="Yes",$W55="Yes",$X55="Yes"),"Yes","No"))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","")&amp;IF($X55="Yes","",IF(SkillsCheck!$N55&lt;&gt;"","Skills FAILED ("&amp;SkillsCheck!$N55&amp;"); ","Skills not all passed ("&amp;SkillsCheck!$O55&amp;" not assessed);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c r="X55" s="17">
        <f>IF($B55="","",IF(SkillsCheck!$P55="No","No","Yes"))</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24" t="n"/>
      <c r="F6" s="28">
        <f>IF($E6&lt;&gt;"",$E6,$C6)</f>
        <v/>
      </c>
      <c r="G6" s="24" t="n"/>
    </row>
    <row r="7" ht="30" customHeight="1">
      <c r="B7" s="3" t="inlineStr">
        <is>
          <t>Physical Fitness</t>
        </is>
      </c>
      <c r="C7" s="17">
        <f>IFERROR(INDEX(rngCadetNames,MATCH(MAX(nrPT_FinalPts),nrPT_FinalPts,0)),"")</f>
        <v/>
      </c>
      <c r="D7" s="15">
        <f>"Top final PT points: "&amp;IFERROR(MAX(nrPT_FinalPts),"n/a")</f>
        <v/>
      </c>
      <c r="E7" s="24" t="n"/>
      <c r="F7" s="28">
        <f>IF($E7&lt;&gt;"",$E7,$C7)</f>
        <v/>
      </c>
      <c r="G7" s="24" t="n"/>
    </row>
    <row r="8" ht="30" customHeight="1">
      <c r="B8" s="3" t="inlineStr">
        <is>
          <t>Top Gun</t>
        </is>
      </c>
      <c r="C8" s="17">
        <f>IFERROR(INDEX(rngCadetNames,MATCH(MAX(nrSKfirearmsAvg),nrSKfirearmsAvg,0)),"")</f>
        <v/>
      </c>
      <c r="D8" s="15">
        <f>"Top firearms average: "&amp;IFERROR(ROUND(MAX(nrSKfirearmsAvg),2),"n/a")</f>
        <v/>
      </c>
      <c r="E8" s="24" t="n"/>
      <c r="F8" s="28">
        <f>IF($E8&lt;&gt;"",$E8,$C8)</f>
        <v/>
      </c>
      <c r="G8" s="24"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24" t="n"/>
      <c r="F9" s="28">
        <f>IF($E9&lt;&gt;"",$E9,$C9)</f>
        <v/>
      </c>
      <c r="G9" s="24"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H41"/>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7">
        <f>nrCHtotalDelivered</f>
        <v/>
      </c>
      <c r="D6" s="20">
        <f>cfgRequiredHours</f>
        <v/>
      </c>
      <c r="E6" s="28">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7">
        <f>SUMPRODUCT((nrCHdeliv&lt;&gt;"")*(nrCHdeliv&lt;&gt;0)*(nrCHdeliv&lt;nrCHmin))</f>
        <v/>
      </c>
      <c r="D7" s="20" t="n">
        <v>0</v>
      </c>
      <c r="E7" s="28">
        <f>IF(SUMPRODUCT((nrCHdeliv&lt;&gt;"")*(nrCHdeliv&lt;&gt;0)*(nrCHdeliv&lt;nrCHmin))=0,"OK","CHECK")</f>
        <v/>
      </c>
      <c r="F7" s="15">
        <f>"Rule 218.1(C)(4): failure to meet minimum course length = denial of training"</f>
        <v/>
      </c>
    </row>
    <row r="8">
      <c r="B8" s="3" t="inlineStr">
        <is>
          <t>Chapter training files incomplete</t>
        </is>
      </c>
      <c r="C8" s="27">
        <f>SUMPRODUCT((nrCHname&lt;&gt;"")*(nrCHfileOK="No"))</f>
        <v/>
      </c>
      <c r="D8" s="20" t="n">
        <v>0</v>
      </c>
      <c r="E8" s="28">
        <f>IF(SUMPRODUCT((nrCHname&lt;&gt;"")*(nrCHfileOK="No"))=0,"OK","CHECK")</f>
        <v/>
      </c>
      <c r="F8" s="15">
        <f>"SME lesson plan, instructor bio, sign-ins w/ PID, assessment, grade sheet, eval"</f>
        <v/>
      </c>
    </row>
    <row r="9">
      <c r="B9" s="3" t="inlineStr">
        <is>
          <t>Special TCOLE chapter requirements unmet</t>
        </is>
      </c>
      <c r="C9" s="27">
        <f>SUMPRODUCT((nrCHspecial&lt;&gt;"")*(nrCHspecialMet&lt;&gt;"Yes")*(nrCHspecialMet&lt;&gt;"N/A"))</f>
        <v/>
      </c>
      <c r="D9" s="20" t="n">
        <v>0</v>
      </c>
      <c r="E9" s="28">
        <f>IF(SUMPRODUCT((nrCHspecial&lt;&gt;"")*(nrCHspecialMet&lt;&gt;"Yes")*(nrCHspecialMet&lt;&gt;"N/A"))=0,"OK","CHECK")</f>
        <v/>
      </c>
      <c r="F9" s="15">
        <f>"TIM, SFST, ALERRT, CPR/AED, TCIC #4800, Crime Stoppers, Seven Step, canine scenarios, CIT lead, SIT 3232"</f>
        <v/>
      </c>
    </row>
    <row r="10">
      <c r="B10" s="3" t="inlineStr">
        <is>
          <t>Chapters without evals collected</t>
        </is>
      </c>
      <c r="C10" s="27">
        <f>SUMPRODUCT((nrCHname&lt;&gt;"")*(nrCHevals&lt;&gt;"On File")*(nrCHevals&lt;&gt;"N/A"))</f>
        <v/>
      </c>
      <c r="D10" s="20" t="n">
        <v>0</v>
      </c>
      <c r="E10" s="28">
        <f>IF(SUMPRODUCT((nrCHname&lt;&gt;"")*(nrCHevals&lt;&gt;"On File")*(nrCHevals&lt;&gt;"N/A"))=0,"OK","CHECK")</f>
        <v/>
      </c>
      <c r="F10" s="15">
        <f>"Course critiques per chapter (print from Print Center)"</f>
        <v/>
      </c>
    </row>
    <row r="11">
      <c r="B11" s="3" t="inlineStr">
        <is>
          <t>Program requirements unchecked (Audit sheet)</t>
        </is>
      </c>
      <c r="C11" s="27">
        <f>SUMPRODUCT((nrPRGitems&lt;&gt;"")*(nrPRGmet&lt;&gt;"Yes")*(nrPRGmet&lt;&gt;"N/A"))</f>
        <v/>
      </c>
      <c r="D11" s="20" t="n">
        <v>0</v>
      </c>
      <c r="E11" s="28">
        <f>IF(SUMPRODUCT((nrPRGitems&lt;&gt;"")*(nrPRGmet&lt;&gt;"Yes")*(nrPRGmet&lt;&gt;"N/A"))=0,"OK","CHECK")</f>
        <v/>
      </c>
      <c r="F11" s="15">
        <f>"Rule 215.9 distribution, TCLEDDS roster, 736 exact reporting, facility, assessments"</f>
        <v/>
      </c>
    </row>
    <row r="12">
      <c r="B12" s="3" t="inlineStr">
        <is>
          <t>Teaching instructors lacking documentation</t>
        </is>
      </c>
      <c r="C12" s="27">
        <f>SUMPRODUCT((nrInstrOnSched="Yes")*(nrInstrReady="No"))</f>
        <v/>
      </c>
      <c r="D12" s="20" t="n">
        <v>0</v>
      </c>
      <c r="E12" s="28">
        <f>IF(SUMPRODUCT((nrInstrOnSched="Yes")*(nrInstrReady="No"))=0,"OK","CHECK")</f>
        <v/>
      </c>
      <c r="F12" s="15">
        <f>"IRG: every instructor/co-teacher teaching an LO needs bio + TCOLE cert or SME letter"</f>
        <v/>
      </c>
    </row>
    <row r="13">
      <c r="B13" s="3" t="inlineStr">
        <is>
          <t>Schedule blocks with unrecognized instructor</t>
        </is>
      </c>
      <c r="C13" s="27">
        <f>COUNTIF(nrSCH_InstrOK,"UNRECOGNIZED")</f>
        <v/>
      </c>
      <c r="D13" s="20" t="n">
        <v>0</v>
      </c>
      <c r="E13" s="28">
        <f>IF(COUNTIF(nrSCH_InstrOK,"UNRECOGNIZED")=0,"OK","CHECK")</f>
        <v/>
      </c>
      <c r="F13" s="15">
        <f>"Instructor text matches nobody on the Instructors roster - fix spelling or add them"</f>
        <v/>
      </c>
    </row>
    <row r="14">
      <c r="B14" s="3" t="inlineStr">
        <is>
          <t>Blocks taught outside the topic's certified bank</t>
        </is>
      </c>
      <c r="C14" s="27">
        <f>COUNTIF(nrSCH_BankOK,"NOT IN BANK")</f>
        <v/>
      </c>
      <c r="D14" s="20" t="n">
        <v>0</v>
      </c>
      <c r="E14" s="28">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27">
        <f>SUMPRODUCT((nrInstrOnSched="Yes")*(LEFT(nrInstrCertStat,7)="EXPIRED"))</f>
        <v/>
      </c>
      <c r="D15" s="20" t="n">
        <v>0</v>
      </c>
      <c r="E15" s="28">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27">
        <f>SUMPRODUCT((nrInstrOnSched="Yes")*((nrInstrCertStat="MISSING EXPIRATION")+(LEFT(nrInstrCertStat,5)="RENEW")))</f>
        <v/>
      </c>
      <c r="D16" s="20" t="n">
        <v>0</v>
      </c>
      <c r="E16" s="28">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27">
        <f>SUMPRODUCT((nrSCH_TimeCheck&lt;&gt;"")*(nrSCH_TimeCheck&lt;&gt;"OK"))</f>
        <v/>
      </c>
      <c r="D17" s="20" t="n">
        <v>0</v>
      </c>
      <c r="E17" s="28">
        <f>IF(SUMPRODUCT((nrSCH_TimeCheck&lt;&gt;"")*(nrSCH_TimeCheck&lt;&gt;"OK"))=0,"OK","CHECK")</f>
        <v/>
      </c>
      <c r="F17" s="15">
        <f>"End time is at or before Start: the block's hours are wrong, which moves delivered chapter hours and the academy-length figure"</f>
        <v/>
      </c>
    </row>
    <row r="18">
      <c r="B18" s="3" t="inlineStr">
        <is>
          <t>Overdue / late retests (incl. unusable dates)</t>
        </is>
      </c>
      <c r="C18" s="27">
        <f>COUNTIF(nrES_RetStat,"OVERDUE")+COUNTIF(nrES_RetStat,"CHECK DATE")+COUNTIF(nrES_RetStat,"LATE RETEST*")+COUNTIF(nrES_RetStat,"RETEST UNDATED")+COUNTIF(nrES_RetStat,"RETEST DATE UNCHECKED")</f>
        <v/>
      </c>
      <c r="D18" s="20" t="n">
        <v>0</v>
      </c>
      <c r="E18" s="28">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27">
        <f>SUMPRODUCT((nrCadetStatus="Active")*(nrATTmakeupOK="No"))</f>
        <v/>
      </c>
      <c r="D19" s="20" t="n">
        <v>0</v>
      </c>
      <c r="E19" s="28">
        <f>IF(SUMPRODUCT((nrCadetStatus="Active")*(nrATTmakeupOK="No"))=0,"OK","CHECK")</f>
        <v/>
      </c>
      <c r="F19" s="15">
        <f>"Missed classroom minutes / PT sessions not yet made up (active cadets)"</f>
        <v/>
      </c>
    </row>
    <row r="20">
      <c r="B20" s="3" t="inlineStr">
        <is>
          <t>Active cadets failing a category</t>
        </is>
      </c>
      <c r="C20" s="27">
        <f>SUMPRODUCT((nrCadetStatus="Active")*(nrGRacademic="No"))</f>
        <v/>
      </c>
      <c r="D20" s="20" t="n">
        <v>0</v>
      </c>
      <c r="E20" s="28">
        <f>IF(SUMPRODUCT((nrCadetStatus="Active")*(nrGRacademic="No"))=0,"OK","CHECK")</f>
        <v/>
      </c>
      <c r="F20" s="15">
        <f>"70 in each category (policy 300.2)"</f>
        <v/>
      </c>
    </row>
    <row r="21">
      <c r="B21" s="3" t="inlineStr">
        <is>
          <t>Spelling interventions open</t>
        </is>
      </c>
      <c r="C21" s="27">
        <f>COUNTIF(nrSpellFlag,"INTERVENTION")</f>
        <v/>
      </c>
      <c r="D21" s="20" t="n">
        <v>0</v>
      </c>
      <c r="E21" s="28">
        <f>IF(COUNTIF(nrSpellFlag,"INTERVENTION")=0,"OK","CHECK")</f>
        <v/>
      </c>
      <c r="F21" s="15">
        <f>"Document intervention on Counseling log (300.4.B)"</f>
        <v/>
      </c>
    </row>
    <row r="22">
      <c r="B22" s="3" t="inlineStr">
        <is>
          <t>Cadets missing certification copies</t>
        </is>
      </c>
      <c r="C22" s="27">
        <f>SUMPRODUCT((nrCadetStatus="Active")*(nrCERTmissing&lt;&gt;""))</f>
        <v/>
      </c>
      <c r="D22" s="20" t="n">
        <v>0</v>
      </c>
      <c r="E22" s="28">
        <f>IF(SUMPRODUCT((nrCadetStatus="Active")*(nrCERTmissing&lt;&gt;""))=0,"OK","CHECK")</f>
        <v/>
      </c>
      <c r="F22" s="15">
        <f>"TIM, SFST, TCIC, CPR/AED, ALERRT, ICS copies - see Certifications sheet"</f>
        <v/>
      </c>
    </row>
    <row r="23">
      <c r="B23" s="3" t="inlineStr">
        <is>
          <t>Certification requirements waived as N/A</t>
        </is>
      </c>
      <c r="C23" s="27">
        <f>SUMPRODUCT((nrCadetStatus="Active")*(nrCERTwaived&lt;&gt;""))</f>
        <v/>
      </c>
      <c r="D23" s="20" t="n">
        <v>0</v>
      </c>
      <c r="E23" s="28">
        <f>IF(SUMPRODUCT((nrCadetStatus="Active")*(nrCERTwaived&lt;&gt;""))=0,"OK","CHECK")</f>
        <v/>
      </c>
      <c r="F23" s="15">
        <f>"Copy? = N/A removes that cert from the graduation gate entirely. Legitimate in places, but every waiver must be defensible - see the Certifications sheet's Waived (N/A) column for who and which"</f>
        <v/>
      </c>
    </row>
    <row r="24">
      <c r="B24" s="3" t="inlineStr">
        <is>
          <t>Cadets missing enrollment documents</t>
        </is>
      </c>
      <c r="C24" s="27">
        <f>SUMPRODUCT((nrCadetStatus="Active")*(nrENRall="No"))</f>
        <v/>
      </c>
      <c r="D24" s="20" t="n">
        <v>0</v>
      </c>
      <c r="E24" s="28">
        <f>IF(SUMPRODUCT((nrCadetStatus="Active")*(nrENRall="No"))=0,"OK","CHECK")</f>
        <v/>
      </c>
      <c r="F24" s="15">
        <f>"Rule 217.1 enrollment file: application, TCLEDDS L1, medical L2, psych L3, background, photo ID/DL and the Rule 215.9 rules acknowledgment - all seven on the Audit sheet grid. Also blocks graduation (GradChecklist Enroll Docs)"</f>
        <v/>
      </c>
    </row>
    <row r="25">
      <c r="B25" s="3" t="inlineStr">
        <is>
          <t>Firearms: both courses of fire not passed</t>
        </is>
      </c>
      <c r="C25" s="27">
        <f>SUMPRODUCT((nrCadetStatus="Active")*(nrSKbothCoF&lt;&gt;"")*(nrSKbothCoF&lt;&gt;"Yes"))</f>
        <v/>
      </c>
      <c r="D25" s="20" t="n">
        <v>0</v>
      </c>
      <c r="E25" s="28">
        <f>IF(SUMPRODUCT((nrCadetStatus="Active")*(nrSKbothCoF&lt;&gt;"")*(nrSKbothCoF&lt;&gt;"Yes"))=0,"OK","CHECK")</f>
        <v/>
      </c>
      <c r="F25" s="15">
        <f>"IRG requires 70%+ on BOTH firearms courses of fire (ch 41). '(one pending)' — only one course of fire on record — counts here"</f>
        <v/>
      </c>
    </row>
    <row r="26">
      <c r="B26" s="3" t="inlineStr">
        <is>
          <t>Cadets with a partially scored final PT</t>
        </is>
      </c>
      <c r="C26" s="27">
        <f>SUMPRODUCT((nrCadetStatus="Active")*(nrPT_FinalPass="Incomplete"))</f>
        <v/>
      </c>
      <c r="D26" s="20" t="n">
        <v>0</v>
      </c>
      <c r="E26" s="28">
        <f>IF(SUMPRODUCT((nrCadetStatus="Active")*(nrPT_FinalPass="Incomplete"))=0,"OK","CHECK")</f>
        <v/>
      </c>
      <c r="F26" s="15">
        <f>"Fewer than 7 of the 7 final PT events have rubric points on the PT sheet. The partial total is NOT a pass - it blocks graduation and the Final Exam (500.1.H) until every event is scored"</f>
        <v/>
      </c>
    </row>
    <row r="27">
      <c r="B27" s="3" t="inlineStr">
        <is>
          <t>Unexcused missed exams (2nd = removal review)</t>
        </is>
      </c>
      <c r="C27" s="27">
        <f>SUMPRODUCT((nrCadetStatus="Active")*(LEN(nrCKopenReviews)-LEN(SUBSTITUTE(nrCKopenReviews,"unexcused missed exams",""))&gt;0))</f>
        <v/>
      </c>
      <c r="D27" s="20" t="n">
        <v>0</v>
      </c>
      <c r="E27" s="28">
        <f>IF(SUMPRODUCT((nrCadetStatus="Active")*(LEN(nrCKopenReviews)-LEN(SUBSTITUTE(nrCKopenReviews,"unexcused missed exams",""))&gt;0))=0,"OK","CHECK")</f>
        <v/>
      </c>
      <c r="F27" s="15">
        <f>"Policy: unexcused absence from an exam records a 0 and starts the retest clock; a SECOND occurrence opens a removal review that blocks graduation until the board closes it on the DismissalLog (Closes Trigger = Unexcused missed exams)"</f>
        <v/>
      </c>
    </row>
    <row r="28">
      <c r="B28" s="3" t="inlineStr">
        <is>
          <t>Exams still owed on an excused absence</t>
        </is>
      </c>
      <c r="C28" s="27">
        <f>SUMPRODUCT((nrCadetStatus="Active")*(nrCKexamsPending="No"))</f>
        <v/>
      </c>
      <c r="D28" s="20" t="n">
        <v>0</v>
      </c>
      <c r="E28" s="28">
        <f>IF(SUMPRODUCT((nrCadetStatus="Active")*(nrCKexamsPending="No"))=0,"OK","CHECK")</f>
        <v/>
      </c>
      <c r="F28" s="15">
        <f>"Excused absence delays the FIRST attempt - the exam is still owed and blocks graduation until it is taken"</f>
        <v/>
      </c>
    </row>
    <row r="29">
      <c r="B29" s="3" t="inlineStr">
        <is>
          <t>Advisory board met within last 12 months</t>
        </is>
      </c>
      <c r="C29" s="27">
        <f>IF(COUNT(nrAB_Date)=0,"none",TEXT(MAX(nrAB_Date),"mm/dd/yyyy"))</f>
        <v/>
      </c>
      <c r="D29" s="20" t="inlineStr">
        <is>
          <t>recent</t>
        </is>
      </c>
      <c r="E29" s="28">
        <f>IF(COUNT(nrAB_Date)=0,"CHECK",IF(MAX(nrAB_Date)&gt;=TODAY()-366,"OK","CHECK"))</f>
        <v/>
      </c>
      <c r="F29" s="15">
        <f>"Board meets 1-2x/year; running list + minutes folder on AdvisoryBoard sheet"</f>
        <v/>
      </c>
    </row>
    <row r="30">
      <c r="B30" s="3" t="inlineStr">
        <is>
          <t>Governance alignment done for this academy</t>
        </is>
      </c>
      <c r="C30" s="27">
        <f>cfgBoardReviewed&amp;" / "&amp;cfgRulesAligned</f>
        <v/>
      </c>
      <c r="D30" s="20" t="inlineStr">
        <is>
          <t>Yes / Yes</t>
        </is>
      </c>
      <c r="E30" s="28">
        <f>IF(AND(cfgBoardReviewed="Yes",cfgRulesAligned="Yes"),"OK","CHECK")</f>
        <v/>
      </c>
      <c r="F30" s="15">
        <f>"Board minutes reviewed + rule changes applied to this workbook (Startup Review)"</f>
        <v/>
      </c>
    </row>
    <row r="31">
      <c r="B31" s="3" t="inlineStr">
        <is>
          <t>Policy manual version recorded</t>
        </is>
      </c>
      <c r="C31" s="27">
        <f>IF(cfgPolicyVersion="","(blank)",cfgPolicyVersion)</f>
        <v/>
      </c>
      <c r="D31" s="20" t="inlineStr">
        <is>
          <t>set</t>
        </is>
      </c>
      <c r="E31" s="28">
        <f>IF(cfgPolicyVersion="","CHECK","OK")</f>
        <v/>
      </c>
      <c r="F31" s="15">
        <f>"Which policy manual this academy runs under (AdvisoryBoard sheet)"</f>
        <v/>
      </c>
    </row>
    <row r="32">
      <c r="B32" s="3" t="inlineStr">
        <is>
          <t>Log rows with unrecognized cadet name</t>
        </is>
      </c>
      <c r="C32" s="27">
        <f>COUNTIF(nrES_PID,"?")+COUNTIF(nrAT_PID,"?")+COUNTIF(nrMK_PID,"?")+COUNTIF(nrSK_PID,"?")+COUNTIF(nrIN_PID,"?")+COUNTIF(nrCO_PID,"?")+COUNTIF(nrME_PID,"?")+COUNTIF(nrMD_PID,"?")</f>
        <v/>
      </c>
      <c r="D32" s="20" t="n">
        <v>0</v>
      </c>
      <c r="E32" s="28">
        <f>IF(COUNTIF(nrES_PID,"?")+COUNTIF(nrAT_PID,"?")+COUNTIF(nrMK_PID,"?")+COUNTIF(nrSK_PID,"?")+COUNTIF(nrIN_PID,"?")+COUNTIF(nrCO_PID,"?")+COUNTIF(nrME_PID,"?")+COUNTIF(nrMD_PID,"?")=0,"OK","CHECK")</f>
        <v/>
      </c>
      <c r="F32" s="15">
        <f>"A log row's cadet name matches nobody on the Cadets roster - that cadet's scores/events are orphaned; fix the spelling"</f>
        <v/>
      </c>
    </row>
    <row r="33">
      <c r="B33" s="3" t="inlineStr">
        <is>
          <t>Duplicate cadet PID or name on the roster</t>
        </is>
      </c>
      <c r="C33" s="27">
        <f>SUMPRODUCT((rngCadetPIDs&lt;&gt;"")*(COUNTIF(rngCadetPIDs,rngCadetPIDs)&gt;1))+SUMPRODUCT((rngCadetNames&lt;&gt;"")*(COUNTIF(rngCadetNames,rngCadetNames)&gt;1))</f>
        <v/>
      </c>
      <c r="D33" s="20" t="n">
        <v>0</v>
      </c>
      <c r="E33" s="28">
        <f>IF(SUMPRODUCT((rngCadetPIDs&lt;&gt;"")*(COUNTIF(rngCadetPIDs,rngCadetPIDs)&gt;1))+SUMPRODUCT((rngCadetNames&lt;&gt;"")*(COUNTIF(rngCadetNames,rngCadetNames)&gt;1))=0,"OK","CHECK")</f>
        <v/>
      </c>
      <c r="F33" s="15">
        <f>"Two Cadets rows sharing a PID (or a name) merge both cadets' grades, attendance and gates - and swap them onto each other's transcript. The duplicate cells are highlighted red on Cadets"</f>
        <v/>
      </c>
    </row>
    <row r="34">
      <c r="B34" s="3" t="inlineStr">
        <is>
          <t>Exam rows failing Row Check</t>
        </is>
      </c>
      <c r="C34" s="27">
        <f>SUMPRODUCT((nrES_RowCheck&lt;&gt;"")*(nrES_RowCheck&lt;&gt;"OK"))</f>
        <v/>
      </c>
      <c r="D34" s="20" t="n">
        <v>0</v>
      </c>
      <c r="E34" s="28">
        <f>IF(SUMPRODUCT((nrES_RowCheck&lt;&gt;"")*(nrES_RowCheck&lt;&gt;"OK"))=0,"OK","CHECK")</f>
        <v/>
      </c>
      <c r="F34" s="15">
        <f>"ExamScores Row Check: a non-numeric or out-of-range Raw Score, a duplicate RecordID, an attempt 2 with no attempt 1 on file, or a retest row logged with no score - each silently distorts the category average or stops the 5-class-day retest clock"</f>
        <v/>
      </c>
    </row>
    <row r="35">
      <c r="B35" s="3" t="inlineStr">
        <is>
          <t>Makeup rows failing Row Check</t>
        </is>
      </c>
      <c r="C35" s="27">
        <f>SUMPRODUCT((nrMK_RowCheck&lt;&gt;"")*(nrMK_RowCheck&lt;&gt;"OK"))</f>
        <v/>
      </c>
      <c r="D35" s="20" t="n">
        <v>0</v>
      </c>
      <c r="E35" s="28">
        <f>IF(SUMPRODUCT((nrMK_RowCheck&lt;&gt;"")*(nrMK_RowCheck&lt;&gt;"OK"))=0,"OK","CHECK")</f>
        <v/>
      </c>
      <c r="F35"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6">
      <c r="B36" s="3" t="inlineStr">
        <is>
          <t>Attendance rows failing Row Check</t>
        </is>
      </c>
      <c r="C36" s="27">
        <f>SUMPRODUCT((nrAT_RowCheck&lt;&gt;"")*(nrAT_RowCheck&lt;&gt;"OK"))</f>
        <v/>
      </c>
      <c r="D36" s="20" t="n">
        <v>0</v>
      </c>
      <c r="E36" s="28">
        <f>IF(SUMPRODUCT((nrAT_RowCheck&lt;&gt;"")*(nrAT_RowCheck&lt;&gt;"OK"))=0,"OK","CHECK")</f>
        <v/>
      </c>
      <c r="F36"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7">
      <c r="B37" s="3" t="inlineStr">
        <is>
          <t>Open dismissal reviews (active cadets)</t>
        </is>
      </c>
      <c r="C37" s="27">
        <f>SUMPRODUCT((nrCadetStatus="Active")*(nrCKdismissRev="Yes"))</f>
        <v/>
      </c>
      <c r="D37" s="20" t="n">
        <v>0</v>
      </c>
      <c r="E37" s="28">
        <f>IF(SUMPRODUCT((nrCadetStatus="Active")*(nrCKdismissRev="Yes"))=0,"OK","CHECK")</f>
        <v/>
      </c>
      <c r="F37"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8">
      <c r="B38" s="3" t="inlineStr">
        <is>
          <t>Extra closure dates that are not dates</t>
        </is>
      </c>
      <c r="C38" s="27">
        <f>SUMPRODUCT((nrExtraClosureCheck&lt;&gt;"")*(LEFT(nrExtraClosureCheck,2)&lt;&gt;"OK"))</f>
        <v/>
      </c>
      <c r="D38" s="20" t="n">
        <v>0</v>
      </c>
      <c r="E38" s="28">
        <f>IF(SUMPRODUCT((nrExtraClosureCheck&lt;&gt;"")*(LEFT(nrExtraClosureCheck,2)&lt;&gt;"OK"))=0,"OK","CHECK")</f>
        <v/>
      </c>
      <c r="F38" s="15">
        <f>"Control &gt; Extra Closure Dates: a pasted text date or a label is ignored by the class-day calendar, so the academy silently runs a day long and every Day #, retest deadline, memo due date and writing date shifts"</f>
        <v/>
      </c>
    </row>
    <row r="39">
      <c r="B39" s="3" t="inlineStr">
        <is>
          <t>Skills rows failing Row Check</t>
        </is>
      </c>
      <c r="C39" s="27">
        <f>SUMPRODUCT((nrSK_RowCheck&lt;&gt;"")*(nrSK_RowCheck&lt;&gt;"OK"))</f>
        <v/>
      </c>
      <c r="D39" s="20" t="n">
        <v>0</v>
      </c>
      <c r="E39" s="28">
        <f>IF(SUMPRODUCT((nrSK_RowCheck&lt;&gt;"")*(nrSK_RowCheck&lt;&gt;"OK"))=0,"OK","CHECK")</f>
        <v/>
      </c>
      <c r="F39"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40">
      <c r="B40" s="3" t="inlineStr">
        <is>
          <t>Spelling rows failing Row Check</t>
        </is>
      </c>
      <c r="C40" s="27">
        <f>SUMPRODUCT((nrSpellRowCheck&lt;&gt;"")*(nrSpellRowCheck&lt;&gt;"OK"))</f>
        <v/>
      </c>
      <c r="D40" s="20" t="n">
        <v>0</v>
      </c>
      <c r="E40" s="28">
        <f>IF(SUMPRODUCT((nrSpellRowCheck&lt;&gt;"")*(nrSpellRowCheck&lt;&gt;"OK"))=0,"OK","CHECK")</f>
        <v/>
      </c>
      <c r="F40" s="15">
        <f>"A spelling score that is text or outside 0-100 inflates the cadet average and can hide the policy 300.4.B intervention flag"</f>
        <v/>
      </c>
    </row>
    <row r="41">
      <c r="B41" s="3" t="inlineStr">
        <is>
          <t>Memos with an unusable due date</t>
        </is>
      </c>
      <c r="C41" s="27">
        <f>COUNTIF(nrME_Status,"CHECK DATE")</f>
        <v/>
      </c>
      <c r="D41" s="20" t="n">
        <v>0</v>
      </c>
      <c r="E41" s="28">
        <f>IF(COUNTIF(nrME_Status,"CHECK DATE")=0,"OK","CHECK")</f>
        <v/>
      </c>
      <c r="F41"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1">
    <cfRule type="expression" priority="1" dxfId="0">
      <formula>$E6&lt;&gt;"OK"</formula>
    </cfRule>
    <cfRule type="expression" priority="2" dxfId="3">
      <formula>$E6="OK"</formula>
    </cfRule>
  </conditionalFormatting>
  <pageMargins left="0.75" right="0.75" top="1" bottom="1" header="0.5" footer="0.5"/>
</worksheet>
</file>

<file path=xl/worksheets/sheet60.xml><?xml version="1.0" encoding="utf-8"?>
<worksheet xmlns="http://schemas.openxmlformats.org/spreadsheetml/2006/main">
  <sheetPr>
    <tabColor rgb="00808080"/>
    <outlinePr summaryBelow="1" summaryRight="1"/>
    <pageSetUpPr/>
  </sheetPr>
  <dimension ref="A1:E90"/>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f>IF(ChapterMaster!D50="","",ChapterMaster!D50)</f>
        <v/>
      </c>
    </row>
    <row r="51">
      <c r="B51" t="inlineStr">
        <is>
          <t>Traffic Code</t>
        </is>
      </c>
    </row>
    <row r="52">
      <c r="B52" t="inlineStr">
        <is>
          <t>Crash Investigation</t>
        </is>
      </c>
    </row>
    <row r="53">
      <c r="B53" t="inlineStr">
        <is>
          <t>TIM</t>
        </is>
      </c>
    </row>
    <row r="54">
      <c r="B54" t="inlineStr">
        <is>
          <t>Criminal Investigations - General Investigations</t>
        </is>
      </c>
    </row>
    <row r="55">
      <c r="B55" t="inlineStr">
        <is>
          <t>Criminal Investigations - Auto Theft</t>
        </is>
      </c>
    </row>
    <row r="56">
      <c r="B56" t="inlineStr">
        <is>
          <t>Criminal Investigations - Crime Scene</t>
        </is>
      </c>
    </row>
    <row r="57">
      <c r="B57" t="inlineStr">
        <is>
          <t>Criminal Investigations - Booking Operations</t>
        </is>
      </c>
    </row>
    <row r="58">
      <c r="B58" t="inlineStr">
        <is>
          <t>Criminal Investigations - Interview Techniques</t>
        </is>
      </c>
    </row>
    <row r="59">
      <c r="B59" t="inlineStr">
        <is>
          <t>Criminal Investigations - Case Management</t>
        </is>
      </c>
    </row>
    <row r="60">
      <c r="B60" t="inlineStr">
        <is>
          <t>Criminal Investigations - Media Relations</t>
        </is>
      </c>
    </row>
    <row r="61">
      <c r="B61" t="inlineStr">
        <is>
          <t>Test 1</t>
        </is>
      </c>
    </row>
    <row r="62">
      <c r="B62" t="inlineStr">
        <is>
          <t>Test 2</t>
        </is>
      </c>
    </row>
    <row r="63">
      <c r="B63" t="inlineStr">
        <is>
          <t>Test 3</t>
        </is>
      </c>
    </row>
    <row r="64">
      <c r="B64" t="inlineStr">
        <is>
          <t>Test 4</t>
        </is>
      </c>
    </row>
    <row r="65">
      <c r="B65" t="inlineStr">
        <is>
          <t>Test 5</t>
        </is>
      </c>
    </row>
    <row r="66">
      <c r="B66" t="inlineStr">
        <is>
          <t>Test 6</t>
        </is>
      </c>
    </row>
    <row r="67">
      <c r="B67" t="inlineStr">
        <is>
          <t>Test 7</t>
        </is>
      </c>
    </row>
    <row r="68">
      <c r="B68" t="inlineStr">
        <is>
          <t>Test 8</t>
        </is>
      </c>
    </row>
    <row r="69">
      <c r="B69" t="inlineStr">
        <is>
          <t>Test 9</t>
        </is>
      </c>
    </row>
    <row r="70">
      <c r="B70" t="inlineStr">
        <is>
          <t>Test 10</t>
        </is>
      </c>
    </row>
    <row r="71">
      <c r="B71" t="inlineStr">
        <is>
          <t>Test 11</t>
        </is>
      </c>
    </row>
    <row r="72">
      <c r="B72" t="inlineStr">
        <is>
          <t>Test 12</t>
        </is>
      </c>
    </row>
    <row r="73">
      <c r="B73" t="inlineStr">
        <is>
          <t>Test 13</t>
        </is>
      </c>
    </row>
    <row r="74">
      <c r="B74" t="inlineStr">
        <is>
          <t>Test 14</t>
        </is>
      </c>
    </row>
    <row r="75">
      <c r="B75" t="inlineStr">
        <is>
          <t>Test 15</t>
        </is>
      </c>
    </row>
    <row r="76">
      <c r="B76" t="inlineStr">
        <is>
          <t>Test 16</t>
        </is>
      </c>
    </row>
    <row r="77">
      <c r="B77" t="inlineStr">
        <is>
          <t>Test 17</t>
        </is>
      </c>
    </row>
    <row r="78">
      <c r="B78" t="inlineStr">
        <is>
          <t>Review</t>
        </is>
      </c>
    </row>
    <row r="79">
      <c r="B79" t="inlineStr">
        <is>
          <t>Digital Forensics</t>
        </is>
      </c>
    </row>
    <row r="80">
      <c r="B80" t="inlineStr">
        <is>
          <t>Lunch</t>
        </is>
      </c>
    </row>
    <row r="81">
      <c r="B81" t="inlineStr">
        <is>
          <t>PT - Base Level Evaluation</t>
        </is>
      </c>
    </row>
    <row r="82">
      <c r="B82" t="inlineStr">
        <is>
          <t>PT</t>
        </is>
      </c>
    </row>
    <row r="83">
      <c r="B83" t="inlineStr">
        <is>
          <t>PT - Ju Jitsu</t>
        </is>
      </c>
    </row>
    <row r="84">
      <c r="B84" t="inlineStr">
        <is>
          <t>PT - Final</t>
        </is>
      </c>
    </row>
    <row r="85">
      <c r="B85" t="inlineStr">
        <is>
          <t>PT - "The Murph"</t>
        </is>
      </c>
    </row>
    <row r="86">
      <c r="B86" t="inlineStr">
        <is>
          <t>Final Test</t>
        </is>
      </c>
    </row>
    <row r="87">
      <c r="B87" t="inlineStr">
        <is>
          <t>State Test</t>
        </is>
      </c>
    </row>
    <row r="88">
      <c r="B88" t="inlineStr">
        <is>
          <t>Test Review</t>
        </is>
      </c>
    </row>
    <row r="89">
      <c r="B89" t="inlineStr">
        <is>
          <t>Final Re-Test (If Needed)</t>
        </is>
      </c>
    </row>
    <row r="90">
      <c r="B90"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1.xml><?xml version="1.0" encoding="utf-8"?>
<worksheet xmlns="http://schemas.openxmlformats.org/spreadsheetml/2006/main">
  <sheetPr>
    <tabColor rgb="001E7145"/>
    <outlinePr summaryBelow="1" summaryRight="1"/>
    <pageSetUpPr/>
  </sheetPr>
  <dimension ref="A1:C322"/>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'Settings'!$C$24</t>
        </is>
      </c>
    </row>
    <row r="9">
      <c r="B9" s="14" t="inlineStr">
        <is>
          <t>cfgAttendanceCriticalPct</t>
        </is>
      </c>
      <c r="C9" s="2" t="inlineStr">
        <is>
          <t>'Settings'!$C$25</t>
        </is>
      </c>
    </row>
    <row r="10">
      <c r="B10" s="14" t="inlineStr">
        <is>
          <t>cfgBoardReviewed</t>
        </is>
      </c>
      <c r="C10" s="2" t="inlineStr">
        <is>
          <t>'AdvisoryBoard'!$D$7</t>
        </is>
      </c>
    </row>
    <row r="11">
      <c r="B11" s="14" t="inlineStr">
        <is>
          <t>cfgCurrentExamNum</t>
        </is>
      </c>
      <c r="C11" s="2" t="inlineStr">
        <is>
          <t>'Settings'!$C$27</t>
        </is>
      </c>
    </row>
    <row r="12">
      <c r="B12" s="14" t="inlineStr">
        <is>
          <t>cfgCurrentSpellingNum</t>
        </is>
      </c>
      <c r="C12" s="2" t="inlineStr">
        <is>
          <t>'Settings'!$C$28</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'Settings'!$C$34</t>
        </is>
      </c>
    </row>
    <row r="16">
      <c r="B16" s="14" t="inlineStr">
        <is>
          <t>cfgFlagCategoryMargin</t>
        </is>
      </c>
      <c r="C16" s="2" t="inlineStr">
        <is>
          <t>'Settings'!$C$33</t>
        </is>
      </c>
    </row>
    <row r="17">
      <c r="B17" s="14" t="inlineStr">
        <is>
          <t>cfgFlagConsecFails</t>
        </is>
      </c>
      <c r="C17" s="2" t="inlineStr">
        <is>
          <t>'Settings'!$C$31</t>
        </is>
      </c>
    </row>
    <row r="18">
      <c r="B18" s="14" t="inlineStr">
        <is>
          <t>cfgFlagGradeDrop</t>
        </is>
      </c>
      <c r="C18" s="2" t="inlineStr">
        <is>
          <t>'Settings'!$C$32</t>
        </is>
      </c>
    </row>
    <row r="19">
      <c r="B19" s="14" t="inlineStr">
        <is>
          <t>cfgFlagOpenIncidents</t>
        </is>
      </c>
      <c r="C19" s="2" t="inlineStr">
        <is>
          <t>'Settings'!$C$35</t>
        </is>
      </c>
    </row>
    <row r="20">
      <c r="B20" s="14" t="inlineStr">
        <is>
          <t>cfgFlagOverdueWriting</t>
        </is>
      </c>
      <c r="C20" s="2" t="inlineStr">
        <is>
          <t>'Settings'!$C$36</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'Settings'!$C$26</t>
        </is>
      </c>
    </row>
    <row r="24">
      <c r="B24" s="14" t="inlineStr">
        <is>
          <t>cfgMakeupAdvisoryMin</t>
        </is>
      </c>
      <c r="C24" s="2" t="inlineStr">
        <is>
          <t>'Settings'!$C$21</t>
        </is>
      </c>
    </row>
    <row r="25">
      <c r="B25" s="14" t="inlineStr">
        <is>
          <t>cfgMakeupCriticalMin</t>
        </is>
      </c>
      <c r="C25" s="2" t="inlineStr">
        <is>
          <t>'Settings'!$C$22</t>
        </is>
      </c>
    </row>
    <row r="26">
      <c r="B26" s="14" t="inlineStr">
        <is>
          <t>cfgMemoDueClassDays</t>
        </is>
      </c>
      <c r="C26" s="2" t="inlineStr">
        <is>
          <t>'Settings'!$C$15</t>
        </is>
      </c>
    </row>
    <row r="27">
      <c r="B27" s="14" t="inlineStr">
        <is>
          <t>cfgPTCapSessions</t>
        </is>
      </c>
      <c r="C27" s="2" t="inlineStr">
        <is>
          <t>'Settings'!$C$23</t>
        </is>
      </c>
    </row>
    <row r="28">
      <c r="B28" s="14" t="inlineStr">
        <is>
          <t>cfgPTFinalMinPoints</t>
        </is>
      </c>
      <c r="C28" s="2" t="inlineStr">
        <is>
          <t>'Settings'!$C$30</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'Settings'!$C$29</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'sysAudit'!$B$6:$B$41</t>
        </is>
      </c>
    </row>
    <row r="107">
      <c r="B107" s="14" t="inlineStr">
        <is>
          <t>nrAUDstatus</t>
        </is>
      </c>
      <c r="C107" s="2" t="inlineStr">
        <is>
          <t>'sysAudit'!$E$6:$E$41</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'InstructorBanks'!$C$6:$L$81</t>
        </is>
      </c>
    </row>
    <row r="114">
      <c r="B114" s="14" t="inlineStr">
        <is>
          <t>nrBankSel</t>
        </is>
      </c>
      <c r="C114" s="2" t="inlineStr">
        <is>
          <t>'InstructorBanks'!$M$6:$V$81</t>
        </is>
      </c>
    </row>
    <row r="115">
      <c r="B115" s="14" t="inlineStr">
        <is>
          <t>nrBankTopics</t>
        </is>
      </c>
      <c r="C115" s="2" t="inlineStr">
        <is>
          <t>'InstructorBanks'!$B$6:$B$81</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nrCERTwaived</t>
        </is>
      </c>
      <c r="C122" s="2" t="inlineStr">
        <is>
          <t>'Certifications'!$V$6:$V$55</t>
        </is>
      </c>
    </row>
    <row r="123">
      <c r="B123" s="14" t="inlineStr">
        <is>
          <t>nrCHassess</t>
        </is>
      </c>
      <c r="C123" s="2" t="inlineStr">
        <is>
          <t>'ChapterMaster'!$O$6:$O$50</t>
        </is>
      </c>
    </row>
    <row r="124">
      <c r="B124" s="14" t="inlineStr">
        <is>
          <t>nrCHbio</t>
        </is>
      </c>
      <c r="C124" s="2" t="inlineStr">
        <is>
          <t>'ChapterMaster'!$M$6:$M$50</t>
        </is>
      </c>
    </row>
    <row r="125">
      <c r="B125" s="14" t="inlineStr">
        <is>
          <t>nrCHdeliv</t>
        </is>
      </c>
      <c r="C125" s="2" t="inlineStr">
        <is>
          <t>'ChapterMaster'!$G$6:$G$50</t>
        </is>
      </c>
    </row>
    <row r="126">
      <c r="B126" s="14" t="inlineStr">
        <is>
          <t>nrCHevals</t>
        </is>
      </c>
      <c r="C126" s="2" t="inlineStr">
        <is>
          <t>'ChapterMaster'!$Q$6:$Q$50</t>
        </is>
      </c>
    </row>
    <row r="127">
      <c r="B127" s="14" t="inlineStr">
        <is>
          <t>nrCHfileOK</t>
        </is>
      </c>
      <c r="C127" s="2" t="inlineStr">
        <is>
          <t>'ChapterMaster'!$U$6:$U$50</t>
        </is>
      </c>
    </row>
    <row r="128">
      <c r="B128" s="14" t="inlineStr">
        <is>
          <t>nrCHfirst</t>
        </is>
      </c>
      <c r="C128" s="2" t="inlineStr">
        <is>
          <t>'ChapterMaster'!$I$6:$I$50</t>
        </is>
      </c>
    </row>
    <row r="129">
      <c r="B129" s="14" t="inlineStr">
        <is>
          <t>nrCHgrade</t>
        </is>
      </c>
      <c r="C129" s="2" t="inlineStr">
        <is>
          <t>'ChapterMaster'!$P$6:$P$50</t>
        </is>
      </c>
    </row>
    <row r="130">
      <c r="B130" s="14" t="inlineStr">
        <is>
          <t>nrCHhandoutOpt</t>
        </is>
      </c>
      <c r="C130" s="2" t="inlineStr">
        <is>
          <t>'ChapterMaster'!$R$6:$R$50</t>
        </is>
      </c>
    </row>
    <row r="131">
      <c r="B131" s="14" t="inlineStr">
        <is>
          <t>nrCHinstr</t>
        </is>
      </c>
      <c r="C131" s="2" t="inlineStr">
        <is>
          <t>'ChapterMaster'!$K$6:$K$50</t>
        </is>
      </c>
    </row>
    <row r="132">
      <c r="B132" s="14" t="inlineStr">
        <is>
          <t>nrCHlesson</t>
        </is>
      </c>
      <c r="C132" s="2" t="inlineStr">
        <is>
          <t>'ChapterMaster'!$L$6:$L$50</t>
        </is>
      </c>
    </row>
    <row r="133">
      <c r="B133" s="14" t="inlineStr">
        <is>
          <t>nrCHmin</t>
        </is>
      </c>
      <c r="C133" s="2" t="inlineStr">
        <is>
          <t>'ChapterMaster'!$E$6:$E$50</t>
        </is>
      </c>
    </row>
    <row r="134">
      <c r="B134" s="14" t="inlineStr">
        <is>
          <t>nrCHmod</t>
        </is>
      </c>
      <c r="C134" s="2" t="inlineStr">
        <is>
          <t>'ChapterMaster'!$B$6:$B$50</t>
        </is>
      </c>
    </row>
    <row r="135">
      <c r="B135" s="14" t="inlineStr">
        <is>
          <t>nrCHname</t>
        </is>
      </c>
      <c r="C135" s="2" t="inlineStr">
        <is>
          <t>'ChapterMaster'!$D$6:$D$50</t>
        </is>
      </c>
    </row>
    <row r="136">
      <c r="B136" s="14" t="inlineStr">
        <is>
          <t>nrCHnum</t>
        </is>
      </c>
      <c r="C136" s="2" t="inlineStr">
        <is>
          <t>'ChapterMaster'!$C$6:$C$50</t>
        </is>
      </c>
    </row>
    <row r="137">
      <c r="B137" s="14" t="inlineStr">
        <is>
          <t>nrCHplan</t>
        </is>
      </c>
      <c r="C137" s="2" t="inlineStr">
        <is>
          <t>'ChapterMaster'!$F$6:$F$50</t>
        </is>
      </c>
    </row>
    <row r="138">
      <c r="B138" s="14" t="inlineStr">
        <is>
          <t>nrCHsignin</t>
        </is>
      </c>
      <c r="C138" s="2" t="inlineStr">
        <is>
          <t>'ChapterMaster'!$N$6:$N$50</t>
        </is>
      </c>
    </row>
    <row r="139">
      <c r="B139" s="14" t="inlineStr">
        <is>
          <t>nrCHspecial</t>
        </is>
      </c>
      <c r="C139" s="2" t="inlineStr">
        <is>
          <t>'ChapterMaster'!$S$6:$S$50</t>
        </is>
      </c>
    </row>
    <row r="140">
      <c r="B140" s="14" t="inlineStr">
        <is>
          <t>nrCHspecialMet</t>
        </is>
      </c>
      <c r="C140" s="2" t="inlineStr">
        <is>
          <t>'ChapterMaster'!$T$6:$T$50</t>
        </is>
      </c>
    </row>
    <row r="141">
      <c r="B141" s="14" t="inlineStr">
        <is>
          <t>nrCHtotalDelivered</t>
        </is>
      </c>
      <c r="C141" s="2" t="inlineStr">
        <is>
          <t>'ChapterMaster'!$G$52</t>
        </is>
      </c>
    </row>
    <row r="142">
      <c r="B142" s="14" t="inlineStr">
        <is>
          <t>nrCKblocking</t>
        </is>
      </c>
      <c r="C142" s="2" t="inlineStr">
        <is>
          <t>'sysChecks'!$O$6:$O$55</t>
        </is>
      </c>
    </row>
    <row r="143">
      <c r="B143" s="14" t="inlineStr">
        <is>
          <t>nrCKdismissRev</t>
        </is>
      </c>
      <c r="C143" s="2" t="inlineStr">
        <is>
          <t>'sysChecks'!$M$6:$M$55</t>
        </is>
      </c>
    </row>
    <row r="144">
      <c r="B144" s="14" t="inlineStr">
        <is>
          <t>nrCKenrollDocs</t>
        </is>
      </c>
      <c r="C144" s="2" t="inlineStr">
        <is>
          <t>'sysChecks'!$W$6:$W$55</t>
        </is>
      </c>
    </row>
    <row r="145">
      <c r="B145" s="14" t="inlineStr">
        <is>
          <t>nrCKexamsPending</t>
        </is>
      </c>
      <c r="C145" s="2" t="inlineStr">
        <is>
          <t>'sysChecks'!$V$6:$V$55</t>
        </is>
      </c>
    </row>
    <row r="146">
      <c r="B146" s="14" t="inlineStr">
        <is>
          <t>nrCKexamsRecorded</t>
        </is>
      </c>
      <c r="C146" s="2" t="inlineStr">
        <is>
          <t>'sysChecks'!$R$6:$R$55</t>
        </is>
      </c>
    </row>
    <row r="147">
      <c r="B147" s="14" t="inlineStr">
        <is>
          <t>nrCKfinalExamElig</t>
        </is>
      </c>
      <c r="C147" s="2" t="inlineStr">
        <is>
          <t>'sysChecks'!$P$6:$P$55</t>
        </is>
      </c>
    </row>
    <row r="148">
      <c r="B148" s="14" t="inlineStr">
        <is>
          <t>nrCKfirearmsCoF</t>
        </is>
      </c>
      <c r="C148" s="2" t="inlineStr">
        <is>
          <t>'sysChecks'!$T$6:$T$55</t>
        </is>
      </c>
    </row>
    <row r="149">
      <c r="B149" s="14" t="inlineStr">
        <is>
          <t>nrCKgradElig</t>
        </is>
      </c>
      <c r="C149" s="2" t="inlineStr">
        <is>
          <t>'sysChecks'!$N$6:$N$55</t>
        </is>
      </c>
    </row>
    <row r="150">
      <c r="B150" s="14" t="inlineStr">
        <is>
          <t>nrCKopenReviews</t>
        </is>
      </c>
      <c r="C150" s="2" t="inlineStr">
        <is>
          <t>'sysChecks'!$U$6:$U$55</t>
        </is>
      </c>
    </row>
    <row r="151">
      <c r="B151" s="14" t="inlineStr">
        <is>
          <t>nrCKskillsAssessed</t>
        </is>
      </c>
      <c r="C151" s="2" t="inlineStr">
        <is>
          <t>'sysChecks'!$S$6:$S$55</t>
        </is>
      </c>
    </row>
    <row r="152">
      <c r="B152" s="14" t="inlineStr">
        <is>
          <t>nrCO_Date</t>
        </is>
      </c>
      <c r="C152" s="2" t="inlineStr">
        <is>
          <t>'Counseling'!$C$6:$C$405</t>
        </is>
      </c>
    </row>
    <row r="153">
      <c r="B153" s="14" t="inlineStr">
        <is>
          <t>nrCO_Desc</t>
        </is>
      </c>
      <c r="C153" s="2" t="inlineStr">
        <is>
          <t>'Counseling'!$H$6:$H$405</t>
        </is>
      </c>
    </row>
    <row r="154">
      <c r="B154" s="14" t="inlineStr">
        <is>
          <t>nrCO_PID</t>
        </is>
      </c>
      <c r="C154" s="2" t="inlineStr">
        <is>
          <t>'Counseling'!$E$6:$E$405</t>
        </is>
      </c>
    </row>
    <row r="155">
      <c r="B155" s="14" t="inlineStr">
        <is>
          <t>nrCO_Report</t>
        </is>
      </c>
      <c r="C155" s="2" t="inlineStr">
        <is>
          <t>'Counseling'!$J$6:$J$405</t>
        </is>
      </c>
    </row>
    <row r="156">
      <c r="B156" s="14" t="inlineStr">
        <is>
          <t>nrCO_Status</t>
        </is>
      </c>
      <c r="C156" s="2" t="inlineStr">
        <is>
          <t>'Counseling'!$M$6:$M$405</t>
        </is>
      </c>
    </row>
    <row r="157">
      <c r="B157" s="14" t="inlineStr">
        <is>
          <t>nrCO_Type</t>
        </is>
      </c>
      <c r="C157" s="2" t="inlineStr">
        <is>
          <t>'Counseling'!$F$6:$F$405</t>
        </is>
      </c>
    </row>
    <row r="158">
      <c r="B158" s="14" t="inlineStr">
        <is>
          <t>nrCadetAgency</t>
        </is>
      </c>
      <c r="C158" s="2" t="inlineStr">
        <is>
          <t>'Cadets'!$H$6:$H$55</t>
        </is>
      </c>
    </row>
    <row r="159">
      <c r="B159" s="14" t="inlineStr">
        <is>
          <t>nrCadetAgencyID</t>
        </is>
      </c>
      <c r="C159" s="2" t="inlineStr">
        <is>
          <t>'Cadets'!$G$6:$G$55</t>
        </is>
      </c>
    </row>
    <row r="160">
      <c r="B160" s="14" t="inlineStr">
        <is>
          <t>nrCadetStatus</t>
        </is>
      </c>
      <c r="C160" s="2" t="inlineStr">
        <is>
          <t>'Cadets'!$I$6:$I$55</t>
        </is>
      </c>
    </row>
    <row r="161">
      <c r="B161" s="14" t="inlineStr">
        <is>
          <t>nrDIS_Approval</t>
        </is>
      </c>
      <c r="C161" s="2" t="inlineStr">
        <is>
          <t>'DismissalLog'!$K$6:$K$105</t>
        </is>
      </c>
    </row>
    <row r="162">
      <c r="B162" s="14" t="inlineStr">
        <is>
          <t>nrDIS_Closes</t>
        </is>
      </c>
      <c r="C162" s="2" t="inlineStr">
        <is>
          <t>'DismissalLog'!$P$6:$P$105</t>
        </is>
      </c>
    </row>
    <row r="163">
      <c r="B163" s="14" t="inlineStr">
        <is>
          <t>nrDIS_Outcome</t>
        </is>
      </c>
      <c r="C163" s="2" t="inlineStr">
        <is>
          <t>'DismissalLog'!$J$6:$J$105</t>
        </is>
      </c>
    </row>
    <row r="164">
      <c r="B164" s="14" t="inlineStr">
        <is>
          <t>nrDIS_PID</t>
        </is>
      </c>
      <c r="C164" s="2" t="inlineStr">
        <is>
          <t>'DismissalLog'!$D$6:$D$105</t>
        </is>
      </c>
    </row>
    <row r="165">
      <c r="B165" s="14" t="inlineStr">
        <is>
          <t>nrDL_Date</t>
        </is>
      </c>
      <c r="C165" s="2" t="inlineStr">
        <is>
          <t>'DailyLog'!$B$6:$B$175</t>
        </is>
      </c>
    </row>
    <row r="166">
      <c r="B166" s="14" t="inlineStr">
        <is>
          <t>nrELagency</t>
        </is>
      </c>
      <c r="C166" s="2" t="inlineStr">
        <is>
          <t>'EmailLog'!$C$6:$C$505</t>
        </is>
      </c>
    </row>
    <row r="167">
      <c r="B167" s="14" t="inlineStr">
        <is>
          <t>nrELdate</t>
        </is>
      </c>
      <c r="C167" s="2" t="inlineStr">
        <is>
          <t>'EmailLog'!$B$6:$B$505</t>
        </is>
      </c>
    </row>
    <row r="168">
      <c r="B168" s="14" t="inlineStr">
        <is>
          <t>nrENRall</t>
        </is>
      </c>
      <c r="C168" s="2" t="inlineStr">
        <is>
          <t>'Audit'!$J$73:$J$122</t>
        </is>
      </c>
    </row>
    <row r="169">
      <c r="B169" s="14" t="inlineStr">
        <is>
          <t>nrEPVgrid</t>
        </is>
      </c>
      <c r="C169" s="2" t="inlineStr">
        <is>
          <t>'EmailPreview'!$B$9:$J$58</t>
        </is>
      </c>
    </row>
    <row r="170">
      <c r="B170" s="14" t="inlineStr">
        <is>
          <t>nrEPVsinceRow</t>
        </is>
      </c>
      <c r="C170" s="2" t="inlineStr">
        <is>
          <t>'EmailPreview'!$B$62</t>
        </is>
      </c>
    </row>
    <row r="171">
      <c r="B171" s="14" t="inlineStr">
        <is>
          <t>nrES_Absence</t>
        </is>
      </c>
      <c r="C171" s="2" t="inlineStr">
        <is>
          <t>'ExamScores'!$Y$6:$Y$1505</t>
        </is>
      </c>
    </row>
    <row r="172">
      <c r="B172" s="14" t="inlineStr">
        <is>
          <t>nrES_Att</t>
        </is>
      </c>
      <c r="C172" s="2" t="inlineStr">
        <is>
          <t>'ExamScores'!$K$6:$K$1505</t>
        </is>
      </c>
    </row>
    <row r="173">
      <c r="B173" s="14" t="inlineStr">
        <is>
          <t>nrES_AttPass</t>
        </is>
      </c>
      <c r="C173" s="2" t="inlineStr">
        <is>
          <t>'ExamScores'!$N$6:$N$1505</t>
        </is>
      </c>
    </row>
    <row r="174">
      <c r="B174" s="14" t="inlineStr">
        <is>
          <t>nrES_Code</t>
        </is>
      </c>
      <c r="C174" s="2" t="inlineStr">
        <is>
          <t>'ExamScores'!$F$6:$F$1505</t>
        </is>
      </c>
    </row>
    <row r="175">
      <c r="B175" s="14" t="inlineStr">
        <is>
          <t>nrES_Date</t>
        </is>
      </c>
      <c r="C175" s="2" t="inlineStr">
        <is>
          <t>'ExamScores'!$S$6:$S$1505</t>
        </is>
      </c>
    </row>
    <row r="176">
      <c r="B176" s="14" t="inlineStr">
        <is>
          <t>nrES_Dis</t>
        </is>
      </c>
      <c r="C176" s="2" t="inlineStr">
        <is>
          <t>'ExamScores'!$R$6:$R$1505</t>
        </is>
      </c>
    </row>
    <row r="177">
      <c r="B177" s="14" t="inlineStr">
        <is>
          <t>nrES_Final</t>
        </is>
      </c>
      <c r="C177" s="2" t="inlineStr">
        <is>
          <t>'ExamScores'!$P$6:$P$1505</t>
        </is>
      </c>
    </row>
    <row r="178">
      <c r="B178" s="14" t="inlineStr">
        <is>
          <t>nrES_PID</t>
        </is>
      </c>
      <c r="C178" s="2" t="inlineStr">
        <is>
          <t>'ExamScores'!$D$6:$D$1505</t>
        </is>
      </c>
    </row>
    <row r="179">
      <c r="B179" s="14" t="inlineStr">
        <is>
          <t>nrES_Raw</t>
        </is>
      </c>
      <c r="C179" s="2" t="inlineStr">
        <is>
          <t>'ExamScores'!$L$6:$L$1505</t>
        </is>
      </c>
    </row>
    <row r="180">
      <c r="B180" s="14" t="inlineStr">
        <is>
          <t>nrES_Rec</t>
        </is>
      </c>
      <c r="C180" s="2" t="inlineStr">
        <is>
          <t>'ExamScores'!$M$6:$M$1505</t>
        </is>
      </c>
    </row>
    <row r="181">
      <c r="B181" s="14" t="inlineStr">
        <is>
          <t>nrES_RecID</t>
        </is>
      </c>
      <c r="C181" s="2" t="inlineStr">
        <is>
          <t>'ExamScores'!$B$6:$B$1505</t>
        </is>
      </c>
    </row>
    <row r="182">
      <c r="B182" s="14" t="inlineStr">
        <is>
          <t>nrES_RetDue</t>
        </is>
      </c>
      <c r="C182" s="2" t="inlineStr">
        <is>
          <t>'ExamScores'!$T$6:$T$1505</t>
        </is>
      </c>
    </row>
    <row r="183">
      <c r="B183" s="14" t="inlineStr">
        <is>
          <t>nrES_RetReq</t>
        </is>
      </c>
      <c r="C183" s="2" t="inlineStr">
        <is>
          <t>'ExamScores'!$Q$6:$Q$1505</t>
        </is>
      </c>
    </row>
    <row r="184">
      <c r="B184" s="14" t="inlineStr">
        <is>
          <t>nrES_RetStat</t>
        </is>
      </c>
      <c r="C184" s="2" t="inlineStr">
        <is>
          <t>'ExamScores'!$U$6:$U$1505</t>
        </is>
      </c>
    </row>
    <row r="185">
      <c r="B185" s="14" t="inlineStr">
        <is>
          <t>nrES_RowCheck</t>
        </is>
      </c>
      <c r="C185" s="2" t="inlineStr">
        <is>
          <t>'ExamScores'!$X$6:$X$1505</t>
        </is>
      </c>
    </row>
    <row r="186">
      <c r="B186" s="14" t="inlineStr">
        <is>
          <t>nrES_Seq</t>
        </is>
      </c>
      <c r="C186" s="2" t="inlineStr">
        <is>
          <t>'ExamScores'!$I$6:$I$1505</t>
        </is>
      </c>
    </row>
    <row r="187">
      <c r="B187" s="14" t="inlineStr">
        <is>
          <t>nrES_Type</t>
        </is>
      </c>
      <c r="C187" s="2" t="inlineStr">
        <is>
          <t>'ExamScores'!$H$6:$H$1505</t>
        </is>
      </c>
    </row>
    <row r="188">
      <c r="B188" s="14" t="inlineStr">
        <is>
          <t>nrExtraClosureCheck</t>
        </is>
      </c>
      <c r="C188" s="2" t="inlineStr">
        <is>
          <t>'Control'!$G$6:$G$20</t>
        </is>
      </c>
    </row>
    <row r="189">
      <c r="B189" s="14" t="inlineStr">
        <is>
          <t>nrExtraClosures</t>
        </is>
      </c>
      <c r="C189" s="2" t="inlineStr">
        <is>
          <t>'Control'!$F$6:$F$20</t>
        </is>
      </c>
    </row>
    <row r="190">
      <c r="B190" s="14" t="inlineStr">
        <is>
          <t>nrFLcount</t>
        </is>
      </c>
      <c r="C190" s="2" t="inlineStr">
        <is>
          <t>'sysFlags'!$S$6:$S$55</t>
        </is>
      </c>
    </row>
    <row r="191">
      <c r="B191" s="14" t="inlineStr">
        <is>
          <t>nrFLmissedExam</t>
        </is>
      </c>
      <c r="C191" s="2" t="inlineStr">
        <is>
          <t>'sysFlags'!$U$6:$U$55</t>
        </is>
      </c>
    </row>
    <row r="192">
      <c r="B192" s="14" t="inlineStr">
        <is>
          <t>nrFLreasons</t>
        </is>
      </c>
      <c r="C192" s="2" t="inlineStr">
        <is>
          <t>'sysFlags'!$T$6:$T$55</t>
        </is>
      </c>
    </row>
    <row r="193">
      <c r="B193" s="14" t="inlineStr">
        <is>
          <t>nrGRacademic</t>
        </is>
      </c>
      <c r="C193" s="2" t="inlineStr">
        <is>
          <t>'sysGrades'!$V$6:$V$55</t>
        </is>
      </c>
    </row>
    <row r="194">
      <c r="B194" s="14" t="inlineStr">
        <is>
          <t>nrGRconsec</t>
        </is>
      </c>
      <c r="C194" s="2" t="inlineStr">
        <is>
          <t>'sysGrades'!$AC$6:$AC$55</t>
        </is>
      </c>
    </row>
    <row r="195">
      <c r="B195" s="14" t="inlineStr">
        <is>
          <t>nrGRcurrent</t>
        </is>
      </c>
      <c r="C195" s="2" t="inlineStr">
        <is>
          <t>'sysGrades'!$M$6:$M$55</t>
        </is>
      </c>
    </row>
    <row r="196">
      <c r="B196" s="14" t="inlineStr">
        <is>
          <t>nrGRdisrev</t>
        </is>
      </c>
      <c r="C196" s="2" t="inlineStr">
        <is>
          <t>'sysGrades'!$P$6:$P$55</t>
        </is>
      </c>
    </row>
    <row r="197">
      <c r="B197" s="14" t="inlineStr">
        <is>
          <t>nrGRfinal</t>
        </is>
      </c>
      <c r="C197" s="2" t="inlineStr">
        <is>
          <t>'sysGrades'!$N$6:$N$55</t>
        </is>
      </c>
    </row>
    <row r="198">
      <c r="B198" s="14" t="inlineStr">
        <is>
          <t>nrGRfinalExam</t>
        </is>
      </c>
      <c r="C198" s="2" t="inlineStr">
        <is>
          <t>'sysGrades'!$L$6:$L$55</t>
        </is>
      </c>
    </row>
    <row r="199">
      <c r="B199" s="14" t="inlineStr">
        <is>
          <t>nrGRgradedrop</t>
        </is>
      </c>
      <c r="C199" s="2" t="inlineStr">
        <is>
          <t>'sysGrades'!$AB$6:$AB$55</t>
        </is>
      </c>
    </row>
    <row r="200">
      <c r="B200" s="14" t="inlineStr">
        <is>
          <t>nrGRmajavg</t>
        </is>
      </c>
      <c r="C200" s="2" t="inlineStr">
        <is>
          <t>'sysGrades'!$I$6:$I$55</t>
        </is>
      </c>
    </row>
    <row r="201">
      <c r="B201" s="14" t="inlineStr">
        <is>
          <t>nrGRminavg</t>
        </is>
      </c>
      <c r="C201" s="2" t="inlineStr">
        <is>
          <t>'sysGrades'!$J$6:$J$55</t>
        </is>
      </c>
    </row>
    <row r="202">
      <c r="B202" s="14" t="inlineStr">
        <is>
          <t>nrGRrank</t>
        </is>
      </c>
      <c r="C202" s="2" t="inlineStr">
        <is>
          <t>'sysGrades'!$U$6:$U$55</t>
        </is>
      </c>
    </row>
    <row r="203">
      <c r="B203" s="14" t="inlineStr">
        <is>
          <t>nrGRretakes</t>
        </is>
      </c>
      <c r="C203" s="2" t="inlineStr">
        <is>
          <t>'sysGrades'!$O$6:$O$55</t>
        </is>
      </c>
    </row>
    <row r="204">
      <c r="B204" s="14" t="inlineStr">
        <is>
          <t>nrHolidays1</t>
        </is>
      </c>
      <c r="C204" s="2" t="inlineStr">
        <is>
          <t>'Control'!$C$6:$C$16</t>
        </is>
      </c>
    </row>
    <row r="205">
      <c r="B205" s="14" t="inlineStr">
        <is>
          <t>nrHolidays2</t>
        </is>
      </c>
      <c r="C205" s="2" t="inlineStr">
        <is>
          <t>'Control'!$D$6:$D$16</t>
        </is>
      </c>
    </row>
    <row r="206">
      <c r="B206" s="14" t="inlineStr">
        <is>
          <t>nrINCelig</t>
        </is>
      </c>
      <c r="C206" s="2" t="inlineStr">
        <is>
          <t>'sysIncidents'!$K$6:$K$55</t>
        </is>
      </c>
    </row>
    <row r="207">
      <c r="B207" s="14" t="inlineStr">
        <is>
          <t>nrINCopenNeg</t>
        </is>
      </c>
      <c r="C207" s="2" t="inlineStr">
        <is>
          <t>'sysIncidents'!$H$6:$H$55</t>
        </is>
      </c>
    </row>
    <row r="208">
      <c r="B208" s="14" t="inlineStr">
        <is>
          <t>nrIN_Chain</t>
        </is>
      </c>
      <c r="C208" s="2" t="inlineStr">
        <is>
          <t>'Incidents'!$L$6:$L$405</t>
        </is>
      </c>
    </row>
    <row r="209">
      <c r="B209" s="14" t="inlineStr">
        <is>
          <t>nrIN_Date</t>
        </is>
      </c>
      <c r="C209" s="2" t="inlineStr">
        <is>
          <t>'Incidents'!$C$6:$C$405</t>
        </is>
      </c>
    </row>
    <row r="210">
      <c r="B210" s="14" t="inlineStr">
        <is>
          <t>nrIN_Desc</t>
        </is>
      </c>
      <c r="C210" s="2" t="inlineStr">
        <is>
          <t>'Incidents'!$I$6:$I$405</t>
        </is>
      </c>
    </row>
    <row r="211">
      <c r="B211" s="14" t="inlineStr">
        <is>
          <t>nrIN_Dir</t>
        </is>
      </c>
      <c r="C211" s="2" t="inlineStr">
        <is>
          <t>'Incidents'!$F$6:$F$405</t>
        </is>
      </c>
    </row>
    <row r="212">
      <c r="B212" s="14" t="inlineStr">
        <is>
          <t>nrIN_PID</t>
        </is>
      </c>
      <c r="C212" s="2" t="inlineStr">
        <is>
          <t>'Incidents'!$E$6:$E$405</t>
        </is>
      </c>
    </row>
    <row r="213">
      <c r="B213" s="14" t="inlineStr">
        <is>
          <t>nrIN_Report</t>
        </is>
      </c>
      <c r="C213" s="2" t="inlineStr">
        <is>
          <t>'Incidents'!$O$6:$O$405</t>
        </is>
      </c>
    </row>
    <row r="214">
      <c r="B214" s="14" t="inlineStr">
        <is>
          <t>nrIN_Res</t>
        </is>
      </c>
      <c r="C214" s="2" t="inlineStr">
        <is>
          <t>'Incidents'!$M$6:$M$405</t>
        </is>
      </c>
    </row>
    <row r="215">
      <c r="B215" s="14" t="inlineStr">
        <is>
          <t>nrIN_Sev</t>
        </is>
      </c>
      <c r="C215" s="2" t="inlineStr">
        <is>
          <t>'Incidents'!$G$6:$G$405</t>
        </is>
      </c>
    </row>
    <row r="216">
      <c r="B216" s="14" t="inlineStr">
        <is>
          <t>nrInstrCertStat</t>
        </is>
      </c>
      <c r="C216" s="2" t="inlineStr">
        <is>
          <t>'Instructors'!$O$6:$O$95</t>
        </is>
      </c>
    </row>
    <row r="217">
      <c r="B217" s="14" t="inlineStr">
        <is>
          <t>nrInstrChTaught</t>
        </is>
      </c>
      <c r="C217" s="2" t="inlineStr">
        <is>
          <t>'Instructors'!$M$6:$M$95</t>
        </is>
      </c>
    </row>
    <row r="218">
      <c r="B218" s="14" t="inlineStr">
        <is>
          <t>nrInstrLastTaught</t>
        </is>
      </c>
      <c r="C218" s="2" t="inlineStr">
        <is>
          <t>'Instructors'!$N$6:$N$95</t>
        </is>
      </c>
    </row>
    <row r="219">
      <c r="B219" s="14" t="inlineStr">
        <is>
          <t>nrInstrNames</t>
        </is>
      </c>
      <c r="C219" s="2" t="inlineStr">
        <is>
          <t>'Instructors'!$B$6:$B$95</t>
        </is>
      </c>
    </row>
    <row r="220">
      <c r="B220" s="14" t="inlineStr">
        <is>
          <t>nrInstrOnSched</t>
        </is>
      </c>
      <c r="C220" s="2" t="inlineStr">
        <is>
          <t>'Instructors'!$L$6:$L$95</t>
        </is>
      </c>
    </row>
    <row r="221">
      <c r="B221" s="14" t="inlineStr">
        <is>
          <t>nrInstrReady</t>
        </is>
      </c>
      <c r="C221" s="2" t="inlineStr">
        <is>
          <t>'Instructors'!$K$6:$K$95</t>
        </is>
      </c>
    </row>
    <row r="222">
      <c r="B222" s="14" t="inlineStr">
        <is>
          <t>nrMD_PID</t>
        </is>
      </c>
      <c r="C222" s="2" t="inlineStr">
        <is>
          <t>'Medical'!$E$6:$E$205</t>
        </is>
      </c>
    </row>
    <row r="223">
      <c r="B223" s="14" t="inlineStr">
        <is>
          <t>nrMD_Restr</t>
        </is>
      </c>
      <c r="C223" s="2" t="inlineStr">
        <is>
          <t>'Medical'!$H$6:$H$205</t>
        </is>
      </c>
    </row>
    <row r="224">
      <c r="B224" s="14" t="inlineStr">
        <is>
          <t>nrMD_Status</t>
        </is>
      </c>
      <c r="C224" s="2" t="inlineStr">
        <is>
          <t>'Medical'!$M$6:$M$205</t>
        </is>
      </c>
    </row>
    <row r="225">
      <c r="B225" s="14" t="inlineStr">
        <is>
          <t>nrME_Assigned</t>
        </is>
      </c>
      <c r="C225" s="2" t="inlineStr">
        <is>
          <t>'Memos'!$C$6:$C$305</t>
        </is>
      </c>
    </row>
    <row r="226">
      <c r="B226" s="14" t="inlineStr">
        <is>
          <t>nrME_Cadet</t>
        </is>
      </c>
      <c r="C226" s="2" t="inlineStr">
        <is>
          <t>'Memos'!$D$6:$D$305</t>
        </is>
      </c>
    </row>
    <row r="227">
      <c r="B227" s="14" t="inlineStr">
        <is>
          <t>nrME_Due</t>
        </is>
      </c>
      <c r="C227" s="2" t="inlineStr">
        <is>
          <t>'Memos'!$J$6:$J$305</t>
        </is>
      </c>
    </row>
    <row r="228">
      <c r="B228" s="14" t="inlineStr">
        <is>
          <t>nrME_PID</t>
        </is>
      </c>
      <c r="C228" s="2" t="inlineStr">
        <is>
          <t>'Memos'!$E$6:$E$305</t>
        </is>
      </c>
    </row>
    <row r="229">
      <c r="B229" s="14" t="inlineStr">
        <is>
          <t>nrME_Received</t>
        </is>
      </c>
      <c r="C229" s="2" t="inlineStr">
        <is>
          <t>'Memos'!$K$6:$K$305</t>
        </is>
      </c>
    </row>
    <row r="230">
      <c r="B230" s="14" t="inlineStr">
        <is>
          <t>nrME_Ref</t>
        </is>
      </c>
      <c r="C230" s="2" t="inlineStr">
        <is>
          <t>'Memos'!$F$6:$F$305</t>
        </is>
      </c>
    </row>
    <row r="231">
      <c r="B231" s="14" t="inlineStr">
        <is>
          <t>nrME_Report</t>
        </is>
      </c>
      <c r="C231" s="2" t="inlineStr">
        <is>
          <t>'Memos'!$M$6:$M$305</t>
        </is>
      </c>
    </row>
    <row r="232">
      <c r="B232" s="14" t="inlineStr">
        <is>
          <t>nrME_Status</t>
        </is>
      </c>
      <c r="C232" s="2" t="inlineStr">
        <is>
          <t>'Memos'!$L$6:$L$305</t>
        </is>
      </c>
    </row>
    <row r="233">
      <c r="B233" s="14" t="inlineStr">
        <is>
          <t>nrME_Subject</t>
        </is>
      </c>
      <c r="C233" s="2" t="inlineStr">
        <is>
          <t>'Memos'!$G$6:$G$305</t>
        </is>
      </c>
    </row>
    <row r="234">
      <c r="B234" s="14" t="inlineStr">
        <is>
          <t>nrMK_Credit</t>
        </is>
      </c>
      <c r="C234" s="2" t="inlineStr">
        <is>
          <t>'Makeup'!$L$6:$L$505</t>
        </is>
      </c>
    </row>
    <row r="235">
      <c r="B235" s="14" t="inlineStr">
        <is>
          <t>nrMK_Date</t>
        </is>
      </c>
      <c r="C235" s="2" t="inlineStr">
        <is>
          <t>'Makeup'!$C$6:$C$505</t>
        </is>
      </c>
    </row>
    <row r="236">
      <c r="B236" s="14" t="inlineStr">
        <is>
          <t>nrMK_Link</t>
        </is>
      </c>
      <c r="C236" s="2" t="inlineStr">
        <is>
          <t>'Makeup'!$I$6:$I$505</t>
        </is>
      </c>
    </row>
    <row r="237">
      <c r="B237" s="14" t="inlineStr">
        <is>
          <t>nrMK_Min</t>
        </is>
      </c>
      <c r="C237" s="2" t="inlineStr">
        <is>
          <t>'Makeup'!$G$6:$G$505</t>
        </is>
      </c>
    </row>
    <row r="238">
      <c r="B238" s="14" t="inlineStr">
        <is>
          <t>nrMK_PID</t>
        </is>
      </c>
      <c r="C238" s="2" t="inlineStr">
        <is>
          <t>'Makeup'!$E$6:$E$505</t>
        </is>
      </c>
    </row>
    <row r="239">
      <c r="B239" s="14" t="inlineStr">
        <is>
          <t>nrMK_RowCheck</t>
        </is>
      </c>
      <c r="C239" s="2" t="inlineStr">
        <is>
          <t>'Makeup'!$N$6:$N$505</t>
        </is>
      </c>
    </row>
    <row r="240">
      <c r="B240" s="14" t="inlineStr">
        <is>
          <t>nrMK_Sess</t>
        </is>
      </c>
      <c r="C240" s="2" t="inlineStr">
        <is>
          <t>'Makeup'!$H$6:$H$505</t>
        </is>
      </c>
    </row>
    <row r="241">
      <c r="B241" s="14" t="inlineStr">
        <is>
          <t>nrMK_Type</t>
        </is>
      </c>
      <c r="C241" s="2" t="inlineStr">
        <is>
          <t>'Makeup'!$F$6:$F$505</t>
        </is>
      </c>
    </row>
    <row r="242">
      <c r="B242" s="14" t="inlineStr">
        <is>
          <t>nrPRGitems</t>
        </is>
      </c>
      <c r="C242" s="2" t="inlineStr">
        <is>
          <t>'Audit'!$B$52:$B$69</t>
        </is>
      </c>
    </row>
    <row r="243">
      <c r="B243" s="14" t="inlineStr">
        <is>
          <t>nrPRGmet</t>
        </is>
      </c>
      <c r="C243" s="2" t="inlineStr">
        <is>
          <t>'Audit'!$F$52:$F$69</t>
        </is>
      </c>
    </row>
    <row r="244">
      <c r="B244" s="14" t="inlineStr">
        <is>
          <t>nrPTBandEvents</t>
        </is>
      </c>
      <c r="C244" s="2" t="inlineStr">
        <is>
          <t>'Settings'!$B$44:$B$48</t>
        </is>
      </c>
    </row>
    <row r="245">
      <c r="B245" s="14" t="inlineStr">
        <is>
          <t>nrPTBands</t>
        </is>
      </c>
      <c r="C245" s="2" t="inlineStr">
        <is>
          <t>'Settings'!$D$44:$H$48</t>
        </is>
      </c>
    </row>
    <row r="246">
      <c r="B246" s="14" t="inlineStr">
        <is>
          <t>nrPTTierPts</t>
        </is>
      </c>
      <c r="C246" s="2" t="inlineStr">
        <is>
          <t>'Settings'!$D$43:$H$43</t>
        </is>
      </c>
    </row>
    <row r="247">
      <c r="B247" s="14" t="inlineStr">
        <is>
          <t>nrPT_BasePass</t>
        </is>
      </c>
      <c r="C247" s="2" t="inlineStr">
        <is>
          <t>'PT'!$K$6:$K$55</t>
        </is>
      </c>
    </row>
    <row r="248">
      <c r="B248" s="14" t="inlineStr">
        <is>
          <t>nrPT_FinalPass</t>
        </is>
      </c>
      <c r="C248" s="2" t="inlineStr">
        <is>
          <t>'PT'!$AB$6:$AB$55</t>
        </is>
      </c>
    </row>
    <row r="249">
      <c r="B249" s="14" t="inlineStr">
        <is>
          <t>nrPT_FinalPts</t>
        </is>
      </c>
      <c r="C249" s="2" t="inlineStr">
        <is>
          <t>'PT'!$AA$6:$AA$55</t>
        </is>
      </c>
    </row>
    <row r="250">
      <c r="B250" s="14" t="inlineStr">
        <is>
          <t>nrPT_Improve</t>
        </is>
      </c>
      <c r="C250" s="2" t="inlineStr">
        <is>
          <t>'PT'!$AC$6:$AC$55</t>
        </is>
      </c>
    </row>
    <row r="251">
      <c r="B251" s="14" t="inlineStr">
        <is>
          <t>nrSCH_Act</t>
        </is>
      </c>
      <c r="C251" s="2" t="inlineStr">
        <is>
          <t>'Schedule'!$G$6:$G$905</t>
        </is>
      </c>
    </row>
    <row r="252">
      <c r="B252" s="14" t="inlineStr">
        <is>
          <t>nrSCH_BankOK</t>
        </is>
      </c>
      <c r="C252" s="2" t="inlineStr">
        <is>
          <t>'Schedule'!$P$6:$P$905</t>
        </is>
      </c>
    </row>
    <row r="253">
      <c r="B253" s="14" t="inlineStr">
        <is>
          <t>nrSCH_ChNum</t>
        </is>
      </c>
      <c r="C253" s="2" t="inlineStr">
        <is>
          <t>'Schedule'!$H$6:$H$905</t>
        </is>
      </c>
    </row>
    <row r="254">
      <c r="B254" s="14" t="inlineStr">
        <is>
          <t>nrSCH_Date</t>
        </is>
      </c>
      <c r="C254" s="2" t="inlineStr">
        <is>
          <t>'Schedule'!$B$6:$B$905</t>
        </is>
      </c>
    </row>
    <row r="255">
      <c r="B255" s="14" t="inlineStr">
        <is>
          <t>nrSCH_End</t>
        </is>
      </c>
      <c r="C255" s="2" t="inlineStr">
        <is>
          <t>'Schedule'!$E$6:$E$905</t>
        </is>
      </c>
    </row>
    <row r="256">
      <c r="B256" s="14" t="inlineStr">
        <is>
          <t>nrSCH_Hrs</t>
        </is>
      </c>
      <c r="C256" s="2" t="inlineStr">
        <is>
          <t>'Schedule'!$F$6:$F$905</t>
        </is>
      </c>
    </row>
    <row r="257">
      <c r="B257" s="14" t="inlineStr">
        <is>
          <t>nrSCH_Instr</t>
        </is>
      </c>
      <c r="C257" s="2" t="inlineStr">
        <is>
          <t>'Schedule'!$I$6:$I$905</t>
        </is>
      </c>
    </row>
    <row r="258">
      <c r="B258" s="14" t="inlineStr">
        <is>
          <t>nrSCH_InstrOK</t>
        </is>
      </c>
      <c r="C258" s="2" t="inlineStr">
        <is>
          <t>'Schedule'!$N$6:$N$905</t>
        </is>
      </c>
    </row>
    <row r="259">
      <c r="B259" s="14" t="inlineStr">
        <is>
          <t>nrSCH_Loc</t>
        </is>
      </c>
      <c r="C259" s="2" t="inlineStr">
        <is>
          <t>'Schedule'!$J$6:$J$905</t>
        </is>
      </c>
    </row>
    <row r="260">
      <c r="B260" s="14" t="inlineStr">
        <is>
          <t>nrSCH_Start</t>
        </is>
      </c>
      <c r="C260" s="2" t="inlineStr">
        <is>
          <t>'Schedule'!$D$6:$D$905</t>
        </is>
      </c>
    </row>
    <row r="261">
      <c r="B261" s="14" t="inlineStr">
        <is>
          <t>nrSCH_TimeCheck</t>
        </is>
      </c>
      <c r="C261" s="2" t="inlineStr">
        <is>
          <t>'Schedule'!$O$6:$O$905</t>
        </is>
      </c>
    </row>
    <row r="262">
      <c r="B262" s="14" t="inlineStr">
        <is>
          <t>nrSEstatus</t>
        </is>
      </c>
      <c r="C262" s="2" t="inlineStr">
        <is>
          <t>'StateExam'!$K$6:$K$55</t>
        </is>
      </c>
    </row>
    <row r="263">
      <c r="B263" s="14" t="inlineStr">
        <is>
          <t>nrSGclassavg</t>
        </is>
      </c>
      <c r="C263" s="2" t="inlineStr">
        <is>
          <t>'ScoresGrid'!$D$57:$AB$57</t>
        </is>
      </c>
    </row>
    <row r="264">
      <c r="B264" s="14" t="inlineStr">
        <is>
          <t>nrSKC_Failed</t>
        </is>
      </c>
      <c r="C264" s="2" t="inlineStr">
        <is>
          <t>'SkillsCheck'!$N$6:$N$55</t>
        </is>
      </c>
    </row>
    <row r="265">
      <c r="B265" s="14" t="inlineStr">
        <is>
          <t>nrSKC_NotAssessed</t>
        </is>
      </c>
      <c r="C265" s="2" t="inlineStr">
        <is>
          <t>'SkillsCheck'!$O$6:$O$55</t>
        </is>
      </c>
    </row>
    <row r="266">
      <c r="B266" s="14" t="inlineStr">
        <is>
          <t>nrSKC_OK</t>
        </is>
      </c>
      <c r="C266" s="2" t="inlineStr">
        <is>
          <t>'SkillsCheck'!$P$6:$P$55</t>
        </is>
      </c>
    </row>
    <row r="267">
      <c r="B267" s="14" t="inlineStr">
        <is>
          <t>nrSK_Att</t>
        </is>
      </c>
      <c r="C267" s="2" t="inlineStr">
        <is>
          <t>'Skills'!$I$6:$I$605</t>
        </is>
      </c>
    </row>
    <row r="268">
      <c r="B268" s="14" t="inlineStr">
        <is>
          <t>nrSK_Cat</t>
        </is>
      </c>
      <c r="C268" s="2" t="inlineStr">
        <is>
          <t>'Skills'!$E$6:$E$605</t>
        </is>
      </c>
    </row>
    <row r="269">
      <c r="B269" s="14" t="inlineStr">
        <is>
          <t>nrSK_CoF</t>
        </is>
      </c>
      <c r="C269" s="2" t="inlineStr">
        <is>
          <t>'Skills'!$R$6:$R$605</t>
        </is>
      </c>
    </row>
    <row r="270">
      <c r="B270" s="14" t="inlineStr">
        <is>
          <t>nrSK_Dis</t>
        </is>
      </c>
      <c r="C270" s="2" t="inlineStr">
        <is>
          <t>'Skills'!$P$6:$P$605</t>
        </is>
      </c>
    </row>
    <row r="271">
      <c r="B271" s="14" t="inlineStr">
        <is>
          <t>nrSK_PID</t>
        </is>
      </c>
      <c r="C271" s="2" t="inlineStr">
        <is>
          <t>'Skills'!$D$6:$D$605</t>
        </is>
      </c>
    </row>
    <row r="272">
      <c r="B272" s="14" t="inlineStr">
        <is>
          <t>nrSK_Res</t>
        </is>
      </c>
      <c r="C272" s="2" t="inlineStr">
        <is>
          <t>'Skills'!$J$6:$J$605</t>
        </is>
      </c>
    </row>
    <row r="273">
      <c r="B273" s="14" t="inlineStr">
        <is>
          <t>nrSK_RowCheck</t>
        </is>
      </c>
      <c r="C273" s="2" t="inlineStr">
        <is>
          <t>'Skills'!$S$6:$S$605</t>
        </is>
      </c>
    </row>
    <row r="274">
      <c r="B274" s="14" t="inlineStr">
        <is>
          <t>nrSK_Score</t>
        </is>
      </c>
      <c r="C274" s="2" t="inlineStr">
        <is>
          <t>'Skills'!$K$6:$K$605</t>
        </is>
      </c>
    </row>
    <row r="275">
      <c r="B275" s="14" t="inlineStr">
        <is>
          <t>nrSK_Status</t>
        </is>
      </c>
      <c r="C275" s="2" t="inlineStr">
        <is>
          <t>'Skills'!$O$6:$O$605</t>
        </is>
      </c>
    </row>
    <row r="276">
      <c r="B276" s="14" t="inlineStr">
        <is>
          <t>nrSKbothCoF</t>
        </is>
      </c>
      <c r="C276" s="2" t="inlineStr">
        <is>
          <t>'sysSkills'!$P$6:$P$55</t>
        </is>
      </c>
    </row>
    <row r="277">
      <c r="B277" s="14" t="inlineStr">
        <is>
          <t>nrSKelig</t>
        </is>
      </c>
      <c r="C277" s="2" t="inlineStr">
        <is>
          <t>'sysSkills'!$K$6:$K$55</t>
        </is>
      </c>
    </row>
    <row r="278">
      <c r="B278" s="14" t="inlineStr">
        <is>
          <t>nrSKfailedout</t>
        </is>
      </c>
      <c r="C278" s="2" t="inlineStr">
        <is>
          <t>'sysSkills'!$J$6:$J$55</t>
        </is>
      </c>
    </row>
    <row r="279">
      <c r="B279" s="14" t="inlineStr">
        <is>
          <t>nrSKfirearmsAvg</t>
        </is>
      </c>
      <c r="C279" s="2" t="inlineStr">
        <is>
          <t>'sysSkills'!$L$6:$L$55</t>
        </is>
      </c>
    </row>
    <row r="280">
      <c r="B280" s="14" t="inlineStr">
        <is>
          <t>nrSUBname</t>
        </is>
      </c>
      <c r="C280" s="2" t="inlineStr">
        <is>
          <t>'ChapterMaster'!$B$57:$B$71</t>
        </is>
      </c>
    </row>
    <row r="281">
      <c r="B281" s="14" t="inlineStr">
        <is>
          <t>nrSUBparent</t>
        </is>
      </c>
      <c r="C281" s="2" t="inlineStr">
        <is>
          <t>'ChapterMaster'!$E$57:$E$71</t>
        </is>
      </c>
    </row>
    <row r="282">
      <c r="B282" s="14" t="inlineStr">
        <is>
          <t>nrSUBtarget</t>
        </is>
      </c>
      <c r="C282" s="2" t="inlineStr">
        <is>
          <t>'ChapterMaster'!$F$57:$F$71</t>
        </is>
      </c>
    </row>
    <row r="283">
      <c r="B283" s="14" t="inlineStr">
        <is>
          <t>nrScheduleItems</t>
        </is>
      </c>
      <c r="C283" s="2" t="inlineStr">
        <is>
          <t>'sysListsHelper'!$B$6:$B$90</t>
        </is>
      </c>
    </row>
    <row r="284">
      <c r="B284" s="14" t="inlineStr">
        <is>
          <t>nrSpellAvg</t>
        </is>
      </c>
      <c r="C284" s="2" t="inlineStr">
        <is>
          <t>'Spelling'!$P$6:$P$55</t>
        </is>
      </c>
    </row>
    <row r="285">
      <c r="B285" s="14" t="inlineStr">
        <is>
          <t>nrSpellClassAvg</t>
        </is>
      </c>
      <c r="C285" s="2" t="inlineStr">
        <is>
          <t>'Spelling'!$D$58:$O$58</t>
        </is>
      </c>
    </row>
    <row r="286">
      <c r="B286" s="14" t="inlineStr">
        <is>
          <t>nrSpellCounts</t>
        </is>
      </c>
      <c r="C286" s="2" t="inlineStr">
        <is>
          <t>'Spelling'!$D$57:$O$57</t>
        </is>
      </c>
    </row>
    <row r="287">
      <c r="B287" s="14" t="inlineStr">
        <is>
          <t>nrSpellFlag</t>
        </is>
      </c>
      <c r="C287" s="2" t="inlineStr">
        <is>
          <t>'Spelling'!$R$6:$R$55</t>
        </is>
      </c>
    </row>
    <row r="288">
      <c r="B288" s="14" t="inlineStr">
        <is>
          <t>nrSpellRowCheck</t>
        </is>
      </c>
      <c r="C288" s="2" t="inlineStr">
        <is>
          <t>'Spelling'!$S$6:$S$55</t>
        </is>
      </c>
    </row>
    <row r="289">
      <c r="B289" s="14" t="inlineStr">
        <is>
          <t>nrSpellTaken</t>
        </is>
      </c>
      <c r="C289" s="2" t="inlineStr">
        <is>
          <t>'Spelling'!$Q$6:$Q$55</t>
        </is>
      </c>
    </row>
    <row r="290">
      <c r="B290" s="14" t="inlineStr">
        <is>
          <t>nrSpellTestNums</t>
        </is>
      </c>
      <c r="C290" s="2" t="inlineStr">
        <is>
          <t>'Spelling'!$D$59:$O$59</t>
        </is>
      </c>
    </row>
    <row r="291">
      <c r="B291" s="14" t="inlineStr">
        <is>
          <t>nrSpellWords</t>
        </is>
      </c>
      <c r="C291" s="2" t="inlineStr">
        <is>
          <t>'SpellingMaster'!$C$6:$N$30</t>
        </is>
      </c>
    </row>
    <row r="292">
      <c r="B292" s="14" t="inlineStr">
        <is>
          <t>nrWRcomplete</t>
        </is>
      </c>
      <c r="C292" s="2" t="inlineStr">
        <is>
          <t>'Writing'!$AR$6:$AR$55</t>
        </is>
      </c>
    </row>
    <row r="293">
      <c r="B293" s="14" t="inlineStr">
        <is>
          <t>nrWRcurrent</t>
        </is>
      </c>
      <c r="C293" s="2" t="inlineStr">
        <is>
          <t>'Writing'!$AT$6:$AT$55</t>
        </is>
      </c>
    </row>
    <row r="294">
      <c r="B294" s="14" t="inlineStr">
        <is>
          <t>nrWRoverdue</t>
        </is>
      </c>
      <c r="C294" s="2" t="inlineStr">
        <is>
          <t>'Writing'!$AS$6:$AS$55</t>
        </is>
      </c>
    </row>
    <row r="295">
      <c r="B295" s="14" t="inlineStr">
        <is>
          <t>rngAgencyActive</t>
        </is>
      </c>
      <c r="C295" s="2" t="inlineStr">
        <is>
          <t>'Agencies'!$H$6:$H$50</t>
        </is>
      </c>
    </row>
    <row r="296">
      <c r="B296" s="14" t="inlineStr">
        <is>
          <t>rngAgencyEmails</t>
        </is>
      </c>
      <c r="C296" s="2" t="inlineStr">
        <is>
          <t>'Agencies'!$E$6:$E$50</t>
        </is>
      </c>
    </row>
    <row r="297">
      <c r="B297" s="14" t="inlineStr">
        <is>
          <t>rngAgencyIDs</t>
        </is>
      </c>
      <c r="C297" s="2" t="inlineStr">
        <is>
          <t>'Agencies'!$B$6:$B$50</t>
        </is>
      </c>
    </row>
    <row r="298">
      <c r="B298" s="14" t="inlineStr">
        <is>
          <t>rngAgencyNames</t>
        </is>
      </c>
      <c r="C298" s="2" t="inlineStr">
        <is>
          <t>'Agencies'!$C$6:$C$50</t>
        </is>
      </c>
    </row>
    <row r="299">
      <c r="B299" s="14" t="inlineStr">
        <is>
          <t>rngCadetNames</t>
        </is>
      </c>
      <c r="C299" s="2" t="inlineStr">
        <is>
          <t>'Cadets'!$F$6:$F$55</t>
        </is>
      </c>
    </row>
    <row r="300">
      <c r="B300" s="14" t="inlineStr">
        <is>
          <t>rngCadetPIDs</t>
        </is>
      </c>
      <c r="C300" s="2" t="inlineStr">
        <is>
          <t>'Cadets'!$B$6:$B$55</t>
        </is>
      </c>
    </row>
    <row r="301">
      <c r="B301" s="14" t="inlineStr">
        <is>
          <t>rngEMcode</t>
        </is>
      </c>
      <c r="C301" s="2" t="inlineStr">
        <is>
          <t>'ExamMaster'!$B$6:$B$30</t>
        </is>
      </c>
    </row>
    <row r="302">
      <c r="B302" s="14" t="inlineStr">
        <is>
          <t>rngEMname</t>
        </is>
      </c>
      <c r="C302" s="2" t="inlineStr">
        <is>
          <t>'ExamMaster'!$C$6:$C$30</t>
        </is>
      </c>
    </row>
    <row r="303">
      <c r="B303" s="14" t="inlineStr">
        <is>
          <t>rngEMpass</t>
        </is>
      </c>
      <c r="C303" s="2" t="inlineStr">
        <is>
          <t>'ExamMaster'!$E$6:$E$30</t>
        </is>
      </c>
    </row>
    <row r="304">
      <c r="B304" s="14" t="inlineStr">
        <is>
          <t>rngEMseq</t>
        </is>
      </c>
      <c r="C304" s="2" t="inlineStr">
        <is>
          <t>'ExamMaster'!$F$6:$F$30</t>
        </is>
      </c>
    </row>
    <row r="305">
      <c r="B305" s="14" t="inlineStr">
        <is>
          <t>rngEMtype</t>
        </is>
      </c>
      <c r="C305" s="2" t="inlineStr">
        <is>
          <t>'ExamMaster'!$D$6:$D$30</t>
        </is>
      </c>
    </row>
    <row r="306">
      <c r="B306" s="14" t="inlineStr">
        <is>
          <t>rngEPch</t>
        </is>
      </c>
      <c r="C306" s="2" t="inlineStr">
        <is>
          <t>'ExamPlan'!$H$6:$H$30</t>
        </is>
      </c>
    </row>
    <row r="307">
      <c r="B307" s="14" t="inlineStr">
        <is>
          <t>rngEPcode</t>
        </is>
      </c>
      <c r="C307" s="2" t="inlineStr">
        <is>
          <t>'ExamPlan'!$C$6:$C$30</t>
        </is>
      </c>
    </row>
    <row r="308">
      <c r="B308" s="14" t="inlineStr">
        <is>
          <t>rngEPdate</t>
        </is>
      </c>
      <c r="C308" s="2" t="inlineStr">
        <is>
          <t>'ExamPlan'!$I$6:$I$30</t>
        </is>
      </c>
    </row>
    <row r="309">
      <c r="B309" s="14" t="inlineStr">
        <is>
          <t>rngEPname</t>
        </is>
      </c>
      <c r="C309" s="2" t="inlineStr">
        <is>
          <t>'ExamPlan'!$D$6:$D$30</t>
        </is>
      </c>
    </row>
    <row r="310">
      <c r="B310" s="14" t="inlineStr">
        <is>
          <t>rngEPpass</t>
        </is>
      </c>
      <c r="C310" s="2" t="inlineStr">
        <is>
          <t>'ExamPlan'!$F$6:$F$30</t>
        </is>
      </c>
    </row>
    <row r="311">
      <c r="B311" s="14" t="inlineStr">
        <is>
          <t>rngEPseq</t>
        </is>
      </c>
      <c r="C311" s="2" t="inlineStr">
        <is>
          <t>'ExamPlan'!$G$6:$G$30</t>
        </is>
      </c>
    </row>
    <row r="312">
      <c r="B312" s="14" t="inlineStr">
        <is>
          <t>rngEPtype</t>
        </is>
      </c>
      <c r="C312" s="2" t="inlineStr">
        <is>
          <t>'ExamPlan'!$E$6:$E$30</t>
        </is>
      </c>
    </row>
    <row r="313">
      <c r="B313" s="14" t="inlineStr">
        <is>
          <t>rngEPuse</t>
        </is>
      </c>
      <c r="C313" s="2" t="inlineStr">
        <is>
          <t>'ExamPlan'!$B$6:$B$30</t>
        </is>
      </c>
    </row>
    <row r="314">
      <c r="B314" s="14" t="inlineStr">
        <is>
          <t>rngSM_cat</t>
        </is>
      </c>
      <c r="C314" s="2" t="inlineStr">
        <is>
          <t>'SkillsMaster'!$B$6:$B$15</t>
        </is>
      </c>
    </row>
    <row r="315">
      <c r="B315" s="14" t="inlineStr">
        <is>
          <t>rngSM_max</t>
        </is>
      </c>
      <c r="C315" s="2" t="inlineStr">
        <is>
          <t>'SkillsMaster'!$C$6:$C$15</t>
        </is>
      </c>
    </row>
    <row r="316">
      <c r="B316" s="14" t="inlineStr">
        <is>
          <t>rngSM_mode</t>
        </is>
      </c>
      <c r="C316" s="2" t="inlineStr">
        <is>
          <t>'SkillsMaster'!$D$6:$D$15</t>
        </is>
      </c>
    </row>
    <row r="317">
      <c r="B317" s="14" t="inlineStr">
        <is>
          <t>rngSM_pass</t>
        </is>
      </c>
      <c r="C317" s="2" t="inlineStr">
        <is>
          <t>'SkillsMaster'!$E$6:$E$15</t>
        </is>
      </c>
    </row>
    <row r="318">
      <c r="B318" s="14" t="inlineStr">
        <is>
          <t>rngWMassigned</t>
        </is>
      </c>
      <c r="C318" s="2" t="inlineStr">
        <is>
          <t>'WritingMaster'!$K$6:$K$45</t>
        </is>
      </c>
    </row>
    <row r="319">
      <c r="B319" s="14" t="inlineStr">
        <is>
          <t>rngWMdue</t>
        </is>
      </c>
      <c r="C319" s="2" t="inlineStr">
        <is>
          <t>'WritingMaster'!$L$6:$L$45</t>
        </is>
      </c>
    </row>
    <row r="320">
      <c r="B320" s="14" t="inlineStr">
        <is>
          <t>rngWMnum</t>
        </is>
      </c>
      <c r="C320" s="2" t="inlineStr">
        <is>
          <t>'WritingMaster'!$B$6:$B$45</t>
        </is>
      </c>
    </row>
    <row r="321">
      <c r="B321" s="14" t="inlineStr">
        <is>
          <t>rngWMprompt</t>
        </is>
      </c>
      <c r="C321" s="2" t="inlineStr">
        <is>
          <t>'WritingMaster'!$M$6:$M$45</t>
        </is>
      </c>
    </row>
    <row r="322">
      <c r="B322" s="14" t="inlineStr">
        <is>
          <t>rngWMtitle</t>
        </is>
      </c>
      <c r="C322"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2026-09-04T23:38:51Z</dcterms:created>
  <dcterms:modified xsi:type="dcterms:W3CDTF">2026-09-04T23:38:56Z</dcterms:modified>
</cp:coreProperties>
</file>